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_saga" sheetId="1" r:id="rId5"/>
    <sheet state="hidden" name="cal_parsed" sheetId="2" r:id="rId6"/>
    <sheet state="visible" name="c_saga_v2" sheetId="3" r:id="rId7"/>
    <sheet state="visible" name="c_day" sheetId="4" r:id="rId8"/>
    <sheet state="visible" name="c_day_v2" sheetId="5" r:id="rId9"/>
    <sheet state="visible" name="SP" sheetId="6" r:id="rId10"/>
    <sheet state="visible" name="SP_lb" sheetId="7" r:id="rId11"/>
    <sheet state="visible" name="RR" sheetId="8" r:id="rId12"/>
    <sheet state="visible" name="RR_v2" sheetId="9" r:id="rId13"/>
    <sheet state="visible" name="J" sheetId="10" r:id="rId14"/>
    <sheet state="visible" name="J_v2" sheetId="11" r:id="rId15"/>
    <sheet state="visible" name="HH" sheetId="12" r:id="rId16"/>
    <sheet state="visible" name="HH_v2" sheetId="13" r:id="rId17"/>
    <sheet state="visible" name="BB" sheetId="14" r:id="rId18"/>
    <sheet state="visible" name="BB_v2" sheetId="15" r:id="rId19"/>
    <sheet state="visible" name="Ki" sheetId="16" r:id="rId20"/>
    <sheet state="visible" name="Ki_v2" sheetId="17" r:id="rId21"/>
    <sheet state="visible" name="NS" sheetId="18" r:id="rId22"/>
    <sheet state="visible" name="NS_v2" sheetId="19" r:id="rId23"/>
    <sheet state="visible" name="Ph" sheetId="20" r:id="rId24"/>
    <sheet state="visible" name="Ph_v2" sheetId="21" r:id="rId25"/>
    <sheet state="visible" name="F" sheetId="22" r:id="rId26"/>
    <sheet state="visible" name="F_v2" sheetId="23" r:id="rId27"/>
    <sheet state="visible" name="Race" sheetId="24" r:id="rId28"/>
    <sheet state="visible" name="Race_v2" sheetId="25" r:id="rId29"/>
    <sheet state="visible" name="TaD" sheetId="26" r:id="rId30"/>
    <sheet state="visible" name="TaD_v2" sheetId="27" r:id="rId31"/>
    <sheet state="visible" name="TE" sheetId="28" r:id="rId32"/>
    <sheet state="visible" name="RM" sheetId="29" r:id="rId33"/>
    <sheet state="visible" name="cal_curr" sheetId="30" r:id="rId34"/>
    <sheet state="visible" name="cal_new" sheetId="31" r:id="rId35"/>
    <sheet state="visible" name="Sim per Segment" sheetId="32" r:id="rId36"/>
    <sheet state="visible" name="EcoGainsSim_HC" sheetId="33" r:id="rId37"/>
    <sheet state="visible" name="EcoGainsSim_Daily" sheetId="34" r:id="rId38"/>
    <sheet state="hidden" name="oldEcoGainsSim_PlybyPly" sheetId="35" r:id="rId39"/>
    <sheet state="hidden" name="EcoPackGains" sheetId="36" r:id="rId40"/>
    <sheet state="hidden" name="PackConfig" sheetId="37" r:id="rId41"/>
    <sheet state="hidden" name="AlbumConfig" sheetId="38" r:id="rId42"/>
    <sheet state="hidden" name="CardPoolConfig" sheetId="39" r:id="rId43"/>
    <sheet state="hidden" name="PlayerBehavior" sheetId="40" r:id="rId44"/>
    <sheet state="hidden" name="SimSummary" sheetId="41" r:id="rId45"/>
    <sheet state="hidden" name="SimOutput" sheetId="42" r:id="rId46"/>
    <sheet state="visible" name="EcoGainsSim_PlybyPly" sheetId="43" r:id="rId47"/>
    <sheet state="visible" name="data_gains" sheetId="44" r:id="rId48"/>
    <sheet state="visible" name="data_seg_beh" sheetId="45" r:id="rId49"/>
    <sheet state="visible" name="data_event_inst" sheetId="46" r:id="rId50"/>
    <sheet state="visible" name="data_event_accrual" sheetId="47" r:id="rId51"/>
    <sheet state="visible" name="data_event_kite_accrual" sheetId="48" r:id="rId52"/>
    <sheet state="visible" name="data_RM" sheetId="49" r:id="rId53"/>
    <sheet state="visible" name="data_streaks" sheetId="50" r:id="rId5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This shows Player attendance throughout the 28 day Season with account for weekday preference.
Each number represents the number of levels Players completed each day</t>
      </text>
    </comment>
    <comment authorId="0" ref="G2">
      <text>
        <t xml:space="preserve">Probability weight of Players attending on these specific days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sharedStrings.xml><?xml version="1.0" encoding="utf-8"?>
<sst xmlns="http://schemas.openxmlformats.org/spreadsheetml/2006/main" count="21448" uniqueCount="2051">
  <si>
    <t>Saga Progression - OLD Config</t>
  </si>
  <si>
    <t>Node</t>
  </si>
  <si>
    <t>Levels Req</t>
  </si>
  <si>
    <t>HC Reward</t>
  </si>
  <si>
    <t>👁</t>
  </si>
  <si>
    <t>SPT</t>
  </si>
  <si>
    <t>Red</t>
  </si>
  <si>
    <t>Chuck</t>
  </si>
  <si>
    <t>Bomb</t>
  </si>
  <si>
    <t>Slingshot</t>
  </si>
  <si>
    <t>Shuffle</t>
  </si>
  <si>
    <t>Comet</t>
  </si>
  <si>
    <t>Unlimited Lives</t>
  </si>
  <si>
    <t>Unlimited Red</t>
  </si>
  <si>
    <t>Unlimited Chuck</t>
  </si>
  <si>
    <t>Unlimited Bomb</t>
  </si>
  <si>
    <t>Coin Val</t>
  </si>
  <si>
    <t>cur</t>
  </si>
  <si>
    <t>image</t>
  </si>
  <si>
    <t>Coins</t>
  </si>
  <si>
    <t>Total per cycle</t>
  </si>
  <si>
    <t>HC per level</t>
  </si>
  <si>
    <t>calendar</t>
  </si>
  <si>
    <t>event</t>
  </si>
  <si>
    <t>start</t>
  </si>
  <si>
    <t>dur</t>
  </si>
  <si>
    <t>cal_curr</t>
  </si>
  <si>
    <t>Target Day</t>
  </si>
  <si>
    <t>Top Players Leaderboard</t>
  </si>
  <si>
    <t>Jigsaw Puzzle</t>
  </si>
  <si>
    <t>Photoshoot</t>
  </si>
  <si>
    <t>Bomb's Ballet Show</t>
  </si>
  <si>
    <t>Progress Pack</t>
  </si>
  <si>
    <t>Season Offers</t>
  </si>
  <si>
    <t>Season Pass</t>
  </si>
  <si>
    <t>Team Event</t>
  </si>
  <si>
    <t>Top Teams Leaderboard</t>
  </si>
  <si>
    <t>Team Race</t>
  </si>
  <si>
    <t>Kite Festival</t>
  </si>
  <si>
    <t>Hatchling Hideaway</t>
  </si>
  <si>
    <t>Special Offer</t>
  </si>
  <si>
    <t>Flash Race</t>
  </si>
  <si>
    <t>Chuck's Challenge</t>
  </si>
  <si>
    <t>Bomb's Challenge</t>
  </si>
  <si>
    <t>Flock Flurry</t>
  </si>
  <si>
    <t>Level Race</t>
  </si>
  <si>
    <t>Red's Challenge</t>
  </si>
  <si>
    <t>Night Sky</t>
  </si>
  <si>
    <t>cal_new</t>
  </si>
  <si>
    <t>Rainbow Maker</t>
  </si>
  <si>
    <t>Saga Progression - NEW Config (5-segment scheme)</t>
  </si>
  <si>
    <t>0-9</t>
  </si>
  <si>
    <t>10-19</t>
  </si>
  <si>
    <t>20-39</t>
  </si>
  <si>
    <t>40-99</t>
  </si>
  <si>
    <t>100+</t>
  </si>
  <si>
    <t>all segs</t>
  </si>
  <si>
    <t>Original</t>
  </si>
  <si>
    <t>Old Nerf</t>
  </si>
  <si>
    <t>% of not nerfed</t>
  </si>
  <si>
    <t>Daily Rewards - OLD Config</t>
  </si>
  <si>
    <t>Day</t>
  </si>
  <si>
    <t>Variant 1</t>
  </si>
  <si>
    <t>Coin</t>
  </si>
  <si>
    <t>Avg HC/day (7d)</t>
  </si>
  <si>
    <t>Variant 2</t>
  </si>
  <si>
    <t>Variant 3</t>
  </si>
  <si>
    <t>Variant 4</t>
  </si>
  <si>
    <t>Variant 5</t>
  </si>
  <si>
    <t>Daily Rewards - NEW Config</t>
  </si>
  <si>
    <t>% of old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</si>
  <si>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</si>
  <si>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</si>
  <si>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</si>
  <si>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</si>
  <si>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</si>
  <si>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</si>
  <si>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</si>
  <si>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</si>
  <si>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</si>
  <si>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</si>
  <si>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</si>
  <si>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</si>
  <si>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</si>
  <si>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</si>
  <si>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</si>
  <si>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</si>
  <si>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</si>
  <si>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Config Panel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</si>
  <si>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</si>
  <si>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</si>
  <si>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</si>
  <si>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</si>
  <si>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</si>
  <si>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</si>
  <si>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</si>
  <si>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</si>
  <si>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</si>
  <si>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</si>
  <si>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</si>
  <si>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</si>
  <si>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</si>
  <si>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</si>
  <si>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</si>
  <si>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</si>
  <si>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</si>
  <si>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</si>
  <si>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</si>
  <si>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</si>
  <si>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</si>
  <si>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</si>
  <si>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</si>
  <si>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</si>
  <si>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</si>
  <si>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</si>
  <si>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</si>
  <si>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</si>
  <si>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</si>
  <si>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</si>
  <si>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</si>
  <si>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</si>
  <si>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</si>
  <si>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</si>
  <si>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</si>
  <si>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</si>
  <si>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</si>
  <si>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</si>
  <si>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</si>
  <si>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</si>
  <si>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tokenMultiplier</t>
  </si>
  <si>
    <t>scoreDoubler</t>
  </si>
  <si>
    <t>Milestone</t>
  </si>
  <si>
    <t>Cumul token req</t>
  </si>
  <si>
    <t>Player Reach Simulation (per event day) - SIMULATED</t>
  </si>
  <si>
    <t>Percentile</t>
  </si>
  <si>
    <t>Avg</t>
  </si>
  <si>
    <t>Payer</t>
  </si>
  <si>
    <t>NONPAYER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</si>
  <si>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</si>
  <si>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</si>
  <si>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</si>
  <si>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</si>
  <si>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</si>
  <si>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</si>
  <si>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</si>
  <si>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</si>
  <si>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</si>
  <si>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</si>
  <si>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</si>
  <si>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</si>
  <si>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</si>
  <si>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</si>
  <si>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</si>
  <si>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</si>
  <si>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</si>
  <si>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</si>
  <si>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</si>
  <si>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</si>
  <si>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accuracy</t>
  </si>
  <si>
    <t>Gate</t>
  </si>
  <si>
    <t>Tiles</t>
  </si>
  <si>
    <t>Cum tokens req</t>
  </si>
  <si>
    <t>treasure-dig: player finds gems ~80% of taps → needs tiles ÷ accuracy tokens per gate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</si>
  <si>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</si>
  <si>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</si>
  <si>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</si>
  <si>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</si>
  <si>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</si>
  <si>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</si>
  <si>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</si>
  <si>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p50</t>
  </si>
  <si>
    <t>leagueGroupSize</t>
  </si>
  <si>
    <t>Event Duration (days)</t>
  </si>
  <si>
    <t>milestonesRequiredForLeaderboard</t>
  </si>
  <si>
    <t>scoreAddition</t>
  </si>
  <si>
    <t>assetBundle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</si>
  <si>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</si>
  <si>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</si>
  <si>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</si>
  <si>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</si>
  <si>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</si>
  <si>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</si>
  <si>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</si>
  <si>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</si>
  <si>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</si>
  <si>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</si>
  <si>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</si>
  <si>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</si>
  <si>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</si>
  <si>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</si>
  <si>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</si>
  <si>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</si>
  <si>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</si>
  <si>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</si>
  <si>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</si>
  <si>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</si>
  <si>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</si>
  <si>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</si>
  <si>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</si>
  <si>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</si>
  <si>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</si>
  <si>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</si>
  <si>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lastTierUnlockRequirement</t>
  </si>
  <si>
    <t>manualRewardClaiming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</si>
  <si>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</si>
  <si>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</si>
  <si>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</si>
  <si>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</si>
  <si>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</si>
  <si>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</si>
  <si>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</si>
  <si>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</si>
  <si>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</si>
  <si>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</si>
  <si>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</si>
  <si>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</si>
  <si>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</si>
  <si>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</si>
  <si>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</si>
  <si>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</si>
  <si>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</si>
  <si>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</si>
  <si>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</si>
  <si>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</si>
  <si>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</si>
  <si>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</si>
  <si>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</si>
  <si>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</si>
  <si>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</si>
  <si>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</si>
  <si>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</si>
  <si>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</si>
  <si>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</si>
  <si>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</si>
  <si>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</si>
  <si>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</si>
  <si>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</si>
  <si>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</si>
  <si>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</si>
  <si>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</si>
  <si>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</si>
  <si>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</si>
  <si>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</si>
  <si>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</si>
  <si>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</si>
  <si>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</si>
  <si>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</si>
  <si>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</si>
  <si>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</si>
  <si>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</si>
  <si>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</si>
  <si>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</si>
  <si>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</si>
  <si>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Cum item price</t>
  </si>
  <si>
    <t>simplified: items bought sequentially in item-id order (choice ignored)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</si>
  <si>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</si>
  <si>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</si>
  <si>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</si>
  <si>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</si>
  <si>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</si>
  <si>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</si>
  <si>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</si>
  <si>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</si>
  <si>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</si>
  <si>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</si>
  <si>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</si>
  <si>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</si>
  <si>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</si>
  <si>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</si>
  <si>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</si>
  <si>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</si>
  <si>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</si>
  <si>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</si>
  <si>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</si>
  <si>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</si>
  <si>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</si>
  <si>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</si>
  <si>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</si>
  <si>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</si>
  <si>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</si>
  <si>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</si>
  <si>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</si>
  <si>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Red Challenge</t>
  </si>
  <si>
    <t>Chuck Challenge</t>
  </si>
  <si>
    <t>Bomb Challenge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</si>
  <si>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</si>
  <si>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</si>
  <si>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</si>
  <si>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</si>
  <si>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</si>
  <si>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</si>
  <si>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</si>
  <si>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</si>
  <si>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</si>
  <si>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</si>
  <si>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</si>
  <si>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Leaderboard Goals and Rewards</t>
  </si>
  <si>
    <t>LB#</t>
  </si>
  <si>
    <t>Target Day (LB)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</si>
  <si>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</si>
  <si>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</si>
  <si>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</si>
  <si>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</si>
  <si>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</si>
  <si>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</si>
  <si>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</si>
  <si>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</si>
  <si>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</si>
  <si>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</si>
  <si>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</si>
  <si>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</si>
  <si>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</si>
  <si>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</si>
  <si>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MILESTONE CONFIG 4 day</t>
  </si>
  <si>
    <t>Matchables Req</t>
  </si>
  <si>
    <t>Req Accum</t>
  </si>
  <si>
    <t>Chest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</si>
  <si>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</si>
  <si>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</si>
  <si>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</si>
  <si>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</si>
  <si>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</si>
  <si>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</si>
  <si>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</si>
  <si>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</si>
  <si>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</si>
  <si>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</si>
  <si>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Mystery Puzzle</t>
  </si>
  <si>
    <t>RESOURCE GAINS (33 day period)</t>
  </si>
  <si>
    <t>Ignore PAID being broken for now as we don't care about those</t>
  </si>
  <si>
    <t>◆ HC</t>
  </si>
  <si>
    <t>◄ CURRENT (actuals: data + calc) ►</t>
  </si>
  <si>
    <t>◄ SIMULATED (EcoGainsSim v4: sim + calc) ►</t>
  </si>
  <si>
    <t>Δ</t>
  </si>
  <si>
    <t>Segment</t>
  </si>
  <si>
    <t>PAID</t>
  </si>
  <si>
    <t>ADS</t>
  </si>
  <si>
    <t>CORE</t>
  </si>
  <si>
    <t>META</t>
  </si>
  <si>
    <t>PAYER</t>
  </si>
  <si>
    <t>◆ Slingshot</t>
  </si>
  <si>
    <t>◆ Shuffle</t>
  </si>
  <si>
    <t>◆ Comet</t>
  </si>
  <si>
    <t>◆ Red</t>
  </si>
  <si>
    <t>◆ Chuck</t>
  </si>
  <si>
    <t>◆ Bomb</t>
  </si>
  <si>
    <t>◆ UL Bomb</t>
  </si>
  <si>
    <t>◆ UL Chuck</t>
  </si>
  <si>
    <t>◆ UL Red</t>
  </si>
  <si>
    <t>◆ Unlimited Lives</t>
  </si>
  <si>
    <t>Per-earner gains over the 33-day</t>
  </si>
  <si>
    <t>other diffs</t>
  </si>
  <si>
    <t>0-9 Segment - Over Time Period  (uses 1-9 gains data)</t>
  </si>
  <si>
    <t>0-9 Segment - Over Time Period - Difference</t>
  </si>
  <si>
    <t>old</t>
  </si>
  <si>
    <t>new</t>
  </si>
  <si>
    <t>Source</t>
  </si>
  <si>
    <t>HC</t>
  </si>
  <si>
    <t>UL Bomb</t>
  </si>
  <si>
    <t>UL Chuck</t>
  </si>
  <si>
    <t>UL Red</t>
  </si>
  <si>
    <t>instances</t>
  </si>
  <si>
    <t>event-days</t>
  </si>
  <si>
    <t>Ads</t>
  </si>
  <si>
    <t/>
  </si>
  <si>
    <t>Core</t>
  </si>
  <si>
    <t>Daily Gift</t>
  </si>
  <si>
    <t>Daily Night Sky Prize</t>
  </si>
  <si>
    <t>Jigsaw</t>
  </si>
  <si>
    <t>Other</t>
  </si>
  <si>
    <t>Saga</t>
  </si>
  <si>
    <t>Season Pass (Free)</t>
  </si>
  <si>
    <t>FlowerCoop</t>
  </si>
  <si>
    <t>IAPs</t>
  </si>
  <si>
    <t>10-19 Segment - Over Time Period</t>
  </si>
  <si>
    <t>10-19 Segment - Over Time Period - Difference</t>
  </si>
  <si>
    <t>20-39 Segment - Over Time Period</t>
  </si>
  <si>
    <t>20-39 Segment - Over Time Period - Difference</t>
  </si>
  <si>
    <t>40-99 Segment - Over Time Period</t>
  </si>
  <si>
    <t>40-99 Segment - Over Time Period - Difference</t>
  </si>
  <si>
    <t>100+ Segment - Over Time Period</t>
  </si>
  <si>
    <t>100+ Segment - Over Time Period - Difference</t>
  </si>
  <si>
    <t>Daily Resource gains over the 33-day</t>
  </si>
  <si>
    <t>ALL</t>
  </si>
  <si>
    <t>◄ CURRENT (cal_curr, measured) ►</t>
  </si>
  <si>
    <t>◄ NEW (cal_new, simulated) ►</t>
  </si>
  <si>
    <t>Δ  NEW − CURRENT (same day)</t>
  </si>
  <si>
    <t>DoW</t>
  </si>
  <si>
    <t>Wed</t>
  </si>
  <si>
    <t>Thu</t>
  </si>
  <si>
    <t>Fri</t>
  </si>
  <si>
    <t>Sat</t>
  </si>
  <si>
    <t>Sun</t>
  </si>
  <si>
    <t>Mon</t>
  </si>
  <si>
    <t>Tue</t>
  </si>
  <si>
    <t>TOTAL</t>
  </si>
  <si>
    <t>LEGEND / ALLOCATION RULES (claim-day realistic - EcoGainsSim_Daily.gs)</t>
  </si>
  <si>
    <t>Window totals are exactly the main sim’s numbers (CURRENT = measured on cal_curr, NEW = simulated on cal_new); this view only places them on days -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</si>
  <si>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</si>
  <si>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- flagged).</t>
  </si>
  <si>
    <t>Core / Saga / Daily Gift pay daily ∝ weekday/weekend active rate; Night Sky over its daily instances. Non-calendar sources (Ads, Teams, Season Pass, Other, IAPs; River Rush current side) are flat ÷33 - their DIFF is uniform.</t>
  </si>
  <si>
    <t>Weekend rows (Fri/Sat/Sun) are tinted. Filters: Payer / Segment / Source - Source=ALL sums every category; pick one to isolate its daily contribution.</t>
  </si>
  <si>
    <t xml:space="preserve">Note: This is a spreadsheet that is supposed to simulate players' play-by-play experience on a specific day in the calendar. The main goal of this type of simulation is to show interactions between different combinations of events </t>
  </si>
  <si>
    <t>Day to Simulate</t>
  </si>
  <si>
    <t>Player Segment</t>
  </si>
  <si>
    <t>Levels Played</t>
  </si>
  <si>
    <t>Inventory</t>
  </si>
  <si>
    <t>Source Gains</t>
  </si>
  <si>
    <t>Play #</t>
  </si>
  <si>
    <t>Level Index</t>
  </si>
  <si>
    <t>Win?</t>
  </si>
  <si>
    <t>Current Streak Size</t>
  </si>
  <si>
    <t>Spend</t>
  </si>
  <si>
    <t>YES</t>
  </si>
  <si>
    <t>{Coins: 100, Chuck: 1}</t>
  </si>
  <si>
    <t>{}</t>
  </si>
  <si>
    <t>{Red: 1}</t>
  </si>
  <si>
    <t>TLE ACTIVE DAYS (shared)</t>
  </si>
  <si>
    <t>Active Days</t>
  </si>
  <si>
    <t>Notes</t>
  </si>
  <si>
    <t>Schedule</t>
  </si>
  <si>
    <t>Time-limited event</t>
  </si>
  <si>
    <t>1/0/0/0/1/0/0/0/1/0/0/0/1/0/0/0/1/0/0/0/1/0/0/0/1/0/0/0/1</t>
  </si>
  <si>
    <t>0/1/0/0/0/1/0/0/0/1/0/0/0/1/0/0/0/1/0/0/0/1/0/0/0/1/0/0/0</t>
  </si>
  <si>
    <t>0/0/1/0/0/0/1/0/0/0/1/0/0/0/1/0/0/0/1/0/0/0/1/0/0/0/1/0/0</t>
  </si>
  <si>
    <t>0/0/0/1/0/0/0/1/0/0/0/1/0/0/0/1/0/0/0/1/0/0/0/1/0/0/0/1/0</t>
  </si>
  <si>
    <t>Permanent (always 28)</t>
  </si>
  <si>
    <t>1/1/1/1/1/1/1/1/1/1/1/1/1/1/1/1/1/1/1/1/1/1/1/1/1/1/1/1/1</t>
  </si>
  <si>
    <t>Season Pass (Paid)</t>
  </si>
  <si>
    <t>Hatching Hideaway</t>
  </si>
  <si>
    <t>0/0/0/0/0/0/0/0/0/1/1/1/0/0/0/0/0/0/0/0/0/1/1/1/0/0/0/0/0</t>
  </si>
  <si>
    <t>0/0/0/0/0/0/1/1/1/0/0/0/0/0/0/0/0/0/1/1/1/0/0/0/0/0/0/0/0</t>
  </si>
  <si>
    <t>0/0/0/1/1/1/0/0/0/0/0/0/0/0/0/1/1/1/0/0/0/0/0/0/0/0/0/1/1</t>
  </si>
  <si>
    <t>Photoshop</t>
  </si>
  <si>
    <t>1/1/1/0/0/0/0/0/0/0/0/0/1/1/1/0/0/0/0/0/0/0/0/0/1/1/1/0/0</t>
  </si>
  <si>
    <t>0/0/0/0/0/0/0/1/1/1/1/1/1/1/0/0/0/0/0/0/0/1/1/1/1/1/1/1/0</t>
  </si>
  <si>
    <t>0/0/0/0/0/0/0/0/0/1/1/1/0/0/0/0/0/0/0/0/0/0/0/0/0/0/0/0/0</t>
  </si>
  <si>
    <t>1/1/1/1/1/1/1/0/0/0/0/0/0/0/1/1/1/1/1/1/1/0/0/0/0/0/0/0/1</t>
  </si>
  <si>
    <t>IAP</t>
  </si>
  <si>
    <t>0/1/0/1/0/1/0/1/0/1/0/1/0/1/0/1/0/1/0/1/0/1/0/1/0/1/0/1/0</t>
  </si>
  <si>
    <t>Daily</t>
  </si>
  <si>
    <t>PACKS</t>
  </si>
  <si>
    <t>Player Type</t>
  </si>
  <si>
    <t>1-star 28d</t>
  </si>
  <si>
    <t>2-star 28d</t>
  </si>
  <si>
    <t>3-star 28d</t>
  </si>
  <si>
    <t>4-star 28d</t>
  </si>
  <si>
    <t>5-star 28d</t>
  </si>
  <si>
    <t>6-star 28d</t>
  </si>
  <si>
    <t>Total 28d</t>
  </si>
  <si>
    <t>Casual (Free)</t>
  </si>
  <si>
    <t>-</t>
  </si>
  <si>
    <t>Casual (Payer)</t>
  </si>
  <si>
    <t>Mid-Core (Free)</t>
  </si>
  <si>
    <t>Mid-Core (Payer)</t>
  </si>
  <si>
    <t>Hardcore (Free)</t>
  </si>
  <si>
    <t>Hardcore (Payer)</t>
  </si>
  <si>
    <t>SEASON BASICS</t>
  </si>
  <si>
    <t>Parameter</t>
  </si>
  <si>
    <t>Value</t>
  </si>
  <si>
    <t>Total Cards per Season</t>
  </si>
  <si>
    <t>used in the sim script</t>
  </si>
  <si>
    <t>Number of Sets</t>
  </si>
  <si>
    <t>Cards per Set</t>
  </si>
  <si>
    <t>Season Duration (days)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</si>
  <si>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</si>
  <si>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</si>
  <si>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</si>
  <si>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</si>
  <si>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</si>
  <si>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</si>
  <si>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</si>
  <si>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</si>
  <si>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</si>
  <si>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</si>
  <si>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PACK RARITY PROBABILITIES</t>
  </si>
  <si>
    <t>Pack Type</t>
  </si>
  <si>
    <t>Cards/Open</t>
  </si>
  <si>
    <t>Sum</t>
  </si>
  <si>
    <t>1-star Pack</t>
  </si>
  <si>
    <t>2-star Pack</t>
  </si>
  <si>
    <t>3-star Pack</t>
  </si>
  <si>
    <t>4-star Pack</t>
  </si>
  <si>
    <t>5-star Pack</t>
  </si>
  <si>
    <t>6-star Pack</t>
  </si>
  <si>
    <r>
      <rPr>
        <color rgb="FFFF0000"/>
      </rPr>
      <t xml:space="preserve">REMEMBER THE RULES OF 5-star and 6-star Cards (look here - </t>
    </r>
    <r>
      <rPr>
        <color rgb="FFFF0000"/>
        <u/>
      </rPr>
      <t>https://royalkingdom.com/en/collection)</t>
    </r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</si>
  <si>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</si>
  <si>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</si>
  <si>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</si>
  <si>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</si>
  <si>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</si>
  <si>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</si>
  <si>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</si>
  <si>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</si>
  <si>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</si>
  <si>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</si>
  <si>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</si>
  <si>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</si>
  <si>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SNAP POOL</t>
  </si>
  <si>
    <t>Rarity</t>
  </si>
  <si>
    <t>Qty Count</t>
  </si>
  <si>
    <t>Rewards</t>
  </si>
  <si>
    <t>SET REWARDS</t>
  </si>
  <si>
    <t xml:space="preserve"> TEMP REWARDS</t>
  </si>
  <si>
    <t>Set ID</t>
  </si>
  <si>
    <t>Set 2</t>
  </si>
  <si>
    <t>Set 3</t>
  </si>
  <si>
    <t>Set 4</t>
  </si>
  <si>
    <t>Set 5</t>
  </si>
  <si>
    <t>Set 6</t>
  </si>
  <si>
    <t>Set 7</t>
  </si>
  <si>
    <t>Set 8</t>
  </si>
  <si>
    <t>ALBUM REWARDS</t>
  </si>
  <si>
    <t>Album ID</t>
  </si>
  <si>
    <t>Album 2</t>
  </si>
  <si>
    <t>Album 3</t>
  </si>
  <si>
    <t>CARD CATALOG</t>
  </si>
  <si>
    <t>Params</t>
  </si>
  <si>
    <t>Pooool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</si>
  <si>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</si>
  <si>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</si>
  <si>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</si>
  <si>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</si>
  <si>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</si>
  <si>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</si>
  <si>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</si>
  <si>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</si>
  <si>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</si>
  <si>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</si>
  <si>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</si>
  <si>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number of opens: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</si>
  <si>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</si>
  <si>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</si>
  <si>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</si>
  <si>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</si>
  <si>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</si>
  <si>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</si>
  <si>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</si>
  <si>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</si>
  <si>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</si>
  <si>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</si>
  <si>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</si>
  <si>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</si>
  <si>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</si>
  <si>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</si>
  <si>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</si>
  <si>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</si>
  <si>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</si>
  <si>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</si>
  <si>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</si>
  <si>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</si>
  <si>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</si>
  <si>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</si>
  <si>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</si>
  <si>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</si>
  <si>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</si>
  <si>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</si>
  <si>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</si>
  <si>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</si>
  <si>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</si>
  <si>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</si>
  <si>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CARD_11_s2</t>
  </si>
  <si>
    <t>Kraken Lair - Ink Cloud</t>
  </si>
  <si>
    <t>Skull Isle - Map 1★ #A52</t>
  </si>
  <si>
    <t>CARD_12_s2</t>
  </si>
  <si>
    <t>Kraken Lair - Pearl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</si>
  <si>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</si>
  <si>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</si>
  <si>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</si>
  <si>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</si>
  <si>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</si>
  <si>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</si>
  <si>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</si>
  <si>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</si>
  <si>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</si>
  <si>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</si>
  <si>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</si>
  <si>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</si>
  <si>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</si>
  <si>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</si>
  <si>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</si>
  <si>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</si>
  <si>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</si>
  <si>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CARD_18_s2</t>
  </si>
  <si>
    <t>Kraken Lair - Eyepatch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</si>
  <si>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</si>
  <si>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</si>
  <si>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</si>
  <si>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</si>
  <si>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</si>
  <si>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</si>
  <si>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</si>
  <si>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</si>
  <si>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</si>
  <si>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</si>
  <si>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</si>
  <si>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</si>
  <si>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</si>
  <si>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</si>
  <si>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</si>
  <si>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</si>
  <si>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</si>
  <si>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</si>
  <si>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</si>
  <si>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</si>
  <si>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</si>
  <si>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</si>
  <si>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</si>
  <si>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</si>
  <si>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</si>
  <si>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</si>
  <si>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</si>
  <si>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</si>
  <si>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</si>
  <si>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</si>
  <si>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</si>
  <si>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</si>
  <si>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</si>
  <si>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</si>
  <si>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</si>
  <si>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</si>
  <si>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</si>
  <si>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</si>
  <si>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</si>
  <si>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</si>
  <si>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</si>
  <si>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</si>
  <si>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</si>
  <si>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</si>
  <si>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</si>
  <si>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</si>
  <si>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</si>
  <si>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</si>
  <si>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</si>
  <si>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</si>
  <si>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</si>
  <si>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</si>
  <si>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</si>
  <si>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</si>
  <si>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</si>
  <si>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</si>
  <si>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Cards Player Got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</si>
  <si>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</si>
  <si>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</si>
  <si>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</si>
  <si>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</si>
  <si>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</si>
  <si>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</si>
  <si>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</si>
  <si>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</si>
  <si>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</si>
  <si>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</si>
  <si>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</si>
  <si>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</si>
  <si>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</si>
  <si>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</si>
  <si>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</si>
  <si>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</si>
  <si>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</si>
  <si>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</si>
  <si>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</si>
  <si>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</si>
  <si>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</si>
  <si>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</si>
  <si>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</si>
  <si>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</si>
  <si>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</si>
  <si>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</si>
  <si>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</si>
  <si>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</si>
  <si>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</si>
  <si>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</si>
  <si>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</si>
  <si>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</si>
  <si>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</si>
  <si>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</si>
  <si>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</si>
  <si>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</si>
  <si>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</si>
  <si>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</si>
  <si>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</si>
  <si>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</si>
  <si>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</si>
  <si>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</si>
  <si>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</si>
  <si>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</si>
  <si>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</si>
  <si>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</si>
  <si>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</si>
  <si>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</si>
  <si>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</si>
  <si>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</si>
  <si>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</si>
  <si>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</si>
  <si>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</si>
  <si>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</si>
  <si>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</si>
  <si>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</si>
  <si>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</si>
  <si>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</si>
  <si>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</si>
  <si>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</si>
  <si>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</si>
  <si>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</si>
  <si>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</si>
  <si>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</si>
  <si>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</si>
  <si>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</si>
  <si>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</si>
  <si>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</si>
  <si>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</si>
  <si>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</si>
  <si>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</si>
  <si>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</si>
  <si>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</si>
  <si>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</si>
  <si>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</si>
  <si>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</si>
  <si>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</si>
  <si>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</si>
  <si>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</si>
  <si>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</si>
  <si>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</si>
  <si>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</si>
  <si>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</si>
  <si>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</si>
  <si>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</si>
  <si>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</si>
  <si>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</si>
  <si>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</si>
  <si>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</si>
  <si>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</si>
  <si>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</si>
  <si>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</si>
  <si>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</si>
  <si>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</si>
  <si>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</si>
  <si>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Kraken Lair (Set 2)</t>
  </si>
  <si>
    <t>Gold Cove (Set 3)</t>
  </si>
  <si>
    <t>Ghost Ship (Set 4)</t>
  </si>
  <si>
    <t>Storm Port (Set 5)</t>
  </si>
  <si>
    <t>Cannon Fort (Set 6)</t>
  </si>
  <si>
    <t>Siren Reef (Set 7)</t>
  </si>
  <si>
    <t>Dead Man Bay (Set 8)</t>
  </si>
  <si>
    <t>COUNTA IS BEING A BITCH, VALUE UNDER THIS SHOULDN'T BE ANYTHING EXCEPT FOR 0</t>
  </si>
  <si>
    <t>SET COMPOSITION SUMMARY</t>
  </si>
  <si>
    <t>Set</t>
  </si>
  <si>
    <t>6★</t>
  </si>
  <si>
    <t>SET REWARDS - DREAM ALBUM</t>
  </si>
  <si>
    <t>Unl. Lives</t>
  </si>
  <si>
    <t>Unl. Red</t>
  </si>
  <si>
    <t>Unl. Chuck</t>
  </si>
  <si>
    <t>Unl. Bomb</t>
  </si>
  <si>
    <t>SET REWARDS - GRAND ALBUM</t>
  </si>
  <si>
    <t>SET REWARDS - SUPERIOR ALBUM</t>
  </si>
  <si>
    <t>ALBUM COMPLETION REWARDS</t>
  </si>
  <si>
    <t>Album Tier</t>
  </si>
  <si>
    <t>Dream Album</t>
  </si>
  <si>
    <t>Grand Album</t>
  </si>
  <si>
    <t>Superior Album</t>
  </si>
  <si>
    <t>CARD POOL</t>
  </si>
  <si>
    <t>Unique Count</t>
  </si>
  <si>
    <t>% prob</t>
  </si>
  <si>
    <t>How do you deal with real probabilities of the pool vs set probabilities in the Packs</t>
  </si>
  <si>
    <t>I think, since each packs just assigns it's own probability we treat it like a weight (similar as we do in this sim)</t>
  </si>
  <si>
    <t>And then apply this weight for each occurance of the Card of that Star and roll on that total pool</t>
  </si>
  <si>
    <t>Simulated Result</t>
  </si>
  <si>
    <t>number of cards (from opens):</t>
  </si>
  <si>
    <t>Starting Pool</t>
  </si>
  <si>
    <t>Summary</t>
  </si>
  <si>
    <t>experienced %</t>
  </si>
  <si>
    <t>Skull Isle - Compass 1★ #A52</t>
  </si>
  <si>
    <t>Skull Isle - Compass 1★ #507</t>
  </si>
  <si>
    <t>Skull Isle - Compass 1★ #FBC</t>
  </si>
  <si>
    <t>Skull Isle - Compass 1★ #A71</t>
  </si>
  <si>
    <t>Skull Isle - Map 1★ #564</t>
  </si>
  <si>
    <t>Skull Isle - Map 1★ #019</t>
  </si>
  <si>
    <t>Skull Isle - Map 1★ #ACE</t>
  </si>
  <si>
    <t>Skull Isle - Map 1★ #583</t>
  </si>
  <si>
    <t>Skull Isle - Map 1★ #038</t>
  </si>
  <si>
    <t>Skull Isle - Map 1★ #AED</t>
  </si>
  <si>
    <t>Skull Isle - Map 1★ #5A2</t>
  </si>
  <si>
    <t>Skull Isle - Map 1★ #057</t>
  </si>
  <si>
    <t>Skull Isle - Spyglass 1★ #076</t>
  </si>
  <si>
    <t>Skull Isle - Spyglass 1★ #B2B</t>
  </si>
  <si>
    <t>Skull Isle - Spyglass 1★ #5E0</t>
  </si>
  <si>
    <t>Skull Isle - Spyglass 1★ #095</t>
  </si>
  <si>
    <t>Skull Isle - Spyglass 1★ #B4A</t>
  </si>
  <si>
    <t>Skull Isle - Spyglass 1★ #5FF</t>
  </si>
  <si>
    <t>Skull Isle - Spyglass 1★ #0B4</t>
  </si>
  <si>
    <t>Skull Isle - Spyglass 1★ #B69</t>
  </si>
  <si>
    <t>Skull Isle - Spyglass 1★ #61E</t>
  </si>
  <si>
    <t>Skull Isle - Spyglass 1★ #0D3</t>
  </si>
  <si>
    <t>Skull Isle - Spyglass 1★ #B88</t>
  </si>
  <si>
    <t>Skull Isle - Spyglass 1★ #63D</t>
  </si>
  <si>
    <t>Skull Isle - Anchor 1★ #0F2</t>
  </si>
  <si>
    <t>Skull Isle - Anchor 1★ #BA7</t>
  </si>
  <si>
    <t>Skull Isle - Anchor 1★ #65C</t>
  </si>
  <si>
    <t>Skull Isle - Anchor 1★ #111</t>
  </si>
  <si>
    <t>Skull Isle - Anchor 1★ #BC6</t>
  </si>
  <si>
    <t>Skull Isle - Anchor 1★ #67B</t>
  </si>
  <si>
    <t>Skull Isle - Anchor 1★ #130</t>
  </si>
  <si>
    <t>Skull Isle - Anchor 1★ #BE5</t>
  </si>
  <si>
    <t>Skull Isle - Anchor 1★ #69A</t>
  </si>
  <si>
    <t>Skull Isle - Anchor 1★ #14F</t>
  </si>
  <si>
    <t>Skull Isle - Anchor 1★ #C04</t>
  </si>
  <si>
    <t>Skull Isle - Anchor 1★ #6B9</t>
  </si>
  <si>
    <t>Skull Isle - Anchor 1★ #16E</t>
  </si>
  <si>
    <t>Skull Isle - Anchor 1★ #C23</t>
  </si>
  <si>
    <t>Skull Isle - Helm 2★ #6D8</t>
  </si>
  <si>
    <t>Skull Isle - Helm 2★ #18D</t>
  </si>
  <si>
    <t>Skull Isle - Helm 2★ #C42</t>
  </si>
  <si>
    <t>Skull Isle - Helm 2★ #6F7</t>
  </si>
  <si>
    <t>Skull Isle - Helm 2★ #1AC</t>
  </si>
  <si>
    <t>Skull Isle - Helm 2★ #C61</t>
  </si>
  <si>
    <t>Skull Isle - Helm 2★ #716</t>
  </si>
  <si>
    <t>Skull Isle - Helm 2★ #1CB</t>
  </si>
  <si>
    <t>Skull Isle - Helm 2★ #C80</t>
  </si>
  <si>
    <t>Skull Isle - Helm 2★ #735</t>
  </si>
  <si>
    <t>Skull Isle - Helm 2★ #1EA</t>
  </si>
  <si>
    <t>Skull Isle - Helm 2★ #C9F</t>
  </si>
  <si>
    <t>Skull Isle - Helm 2★ #754</t>
  </si>
  <si>
    <t>Skull Isle - Cutlass 2★ #209</t>
  </si>
  <si>
    <t>Skull Isle - Cutlass 2★ #CBE</t>
  </si>
  <si>
    <t>Skull Isle - Cutlass 2★ #773</t>
  </si>
  <si>
    <t>Skull Isle - Cutlass 2★ #228</t>
  </si>
  <si>
    <t>Skull Isle - Cutlass 2★ #CDD</t>
  </si>
  <si>
    <t>Skull Isle - Cutlass 2★ #792</t>
  </si>
  <si>
    <t>Skull Isle - Cutlass 2★ #247</t>
  </si>
  <si>
    <t>Skull Isle - Cutlass 2★ #CFC</t>
  </si>
  <si>
    <t>Skull Isle - Cutlass 2★ #7B1</t>
  </si>
  <si>
    <t>Skull Isle - Cutlass 2★ #266</t>
  </si>
  <si>
    <t>Skull Isle - Cutlass 2★ #D1B</t>
  </si>
  <si>
    <t>Skull Isle - Cutlass 2★ #7D0</t>
  </si>
  <si>
    <t>Skull Isle - Cutlass 2★ #285</t>
  </si>
  <si>
    <t>Skull Isle - Parrot 2★ #D3A</t>
  </si>
  <si>
    <t>Skull Isle - Parrot 2★ #7EF</t>
  </si>
  <si>
    <t>Skull Isle - Parrot 2★ #2A4</t>
  </si>
  <si>
    <t>Skull Isle - Parrot 2★ #D59</t>
  </si>
  <si>
    <t>Skull Isle - Parrot 2★ #80E</t>
  </si>
  <si>
    <t>Skull Isle - Parrot 2★ #2C3</t>
  </si>
  <si>
    <t>Skull Isle - Parrot 2★ #D78</t>
  </si>
  <si>
    <t>Skull Isle - Parrot 2★ #82D</t>
  </si>
  <si>
    <t>Skull Isle - Parrot 2★ #2E2</t>
  </si>
  <si>
    <t>Skull Isle - Parrot 2★ #D97</t>
  </si>
  <si>
    <t>Skull Isle - Parrot 2★ #84C</t>
  </si>
  <si>
    <t>Skull Isle - Parrot 2★ #301</t>
  </si>
  <si>
    <t>Skull Isle - Parrot 2★ #DB6</t>
  </si>
  <si>
    <t>Skull Isle - Chest 3★ #86B</t>
  </si>
  <si>
    <t>Skull Isle - Chest 3★ #320</t>
  </si>
  <si>
    <t>Skull Isle - Chest 3★ #DD5</t>
  </si>
  <si>
    <t>Skull Isle - Chest 3★ #88A</t>
  </si>
  <si>
    <t>Skull Isle - Chest 3★ #33F</t>
  </si>
  <si>
    <t>Skull Isle - Chest 3★ #DF4</t>
  </si>
  <si>
    <t>Skull Isle - Chest 3★ #8A9</t>
  </si>
  <si>
    <t>Skull Isle - Chest 3★ #35E</t>
  </si>
  <si>
    <t>Skull Isle - Chest 3★ #E13</t>
  </si>
  <si>
    <t>Skull Isle - Chest 3★ #8C8</t>
  </si>
  <si>
    <t>Skull Isle - Chest 3★ #37D</t>
  </si>
  <si>
    <t>Skull Isle - Chest 3★ #E32</t>
  </si>
  <si>
    <t>Skull Isle - Chest 3★ #8E7</t>
  </si>
  <si>
    <t>Skull Isle - Skull 3★ #39C</t>
  </si>
  <si>
    <t>Skull Isle - Skull 3★ #E51</t>
  </si>
  <si>
    <t>Skull Isle - Skull 3★ #906</t>
  </si>
  <si>
    <t>Skull Isle - Skull 3★ #3BB</t>
  </si>
  <si>
    <t>Skull Isle - Skull 3★ #E70</t>
  </si>
  <si>
    <t>Skull Isle - Skull 3★ #925</t>
  </si>
  <si>
    <t>Skull Isle - Skull 3★ #3DA</t>
  </si>
  <si>
    <t>Skull Isle - Skull 3★ #E8F</t>
  </si>
  <si>
    <t>Skull Isle - Skull 3★ #944</t>
  </si>
  <si>
    <t>Skull Isle - Skull 3★ #3F9</t>
  </si>
  <si>
    <t>Skull Isle - Skull 3★ #EAE</t>
  </si>
  <si>
    <t>Skull Isle - Skull 3★ #963</t>
  </si>
  <si>
    <t>Skull Isle - Skull 3★ #418</t>
  </si>
  <si>
    <t>Kraken Lair - Tentacle 1★ #ECD</t>
  </si>
  <si>
    <t>Kraken Lair - Tentacle 1★ #982</t>
  </si>
  <si>
    <t>Kraken Lair - Tentacle 1★ #437</t>
  </si>
  <si>
    <t>Kraken Lair - Tentacle 1★ #EEC</t>
  </si>
  <si>
    <t>Kraken Lair - Tentacle 1★ #9A1</t>
  </si>
  <si>
    <t>Kraken Lair - Tentacle 1★ #456</t>
  </si>
  <si>
    <t>Kraken Lair - Tentacle 1★ #F0B</t>
  </si>
  <si>
    <t>Kraken Lair - Tentacle 1★ #9C0</t>
  </si>
  <si>
    <t>Kraken Lair - Tentacle 1★ #475</t>
  </si>
  <si>
    <t>Kraken Lair - Tentacle 1★ #F2A</t>
  </si>
  <si>
    <t>Kraken Lair - Tentacle 1★ #9DF</t>
  </si>
  <si>
    <t>Kraken Lair - Tentacle 1★ #494</t>
  </si>
  <si>
    <t>Kraken Lair - Tentacle 1★ #F49</t>
  </si>
  <si>
    <t>Kraken Lair - Tentacle 1★ #9FE</t>
  </si>
  <si>
    <t>Kraken Lair - Ink Cloud 1★ #4B3</t>
  </si>
  <si>
    <t>Kraken Lair - Ink Cloud 1★ #F68</t>
  </si>
  <si>
    <t>Kraken Lair - Ink Cloud 1★ #A1D</t>
  </si>
  <si>
    <t>Kraken Lair - Ink Cloud 1★ #4D2</t>
  </si>
  <si>
    <t>Kraken Lair - Ink Cloud 1★ #F87</t>
  </si>
  <si>
    <t>Kraken Lair - Ink Cloud 1★ #A3C</t>
  </si>
  <si>
    <t>Kraken Lair - Ink Cloud 1★ #4F1</t>
  </si>
  <si>
    <t>Kraken Lair - Ink Cloud 1★ #FA6</t>
  </si>
  <si>
    <t>Kraken Lair - Ink Cloud 1★ #A5B</t>
  </si>
  <si>
    <t>Kraken Lair - Ink Cloud 1★ #510</t>
  </si>
  <si>
    <t>Kraken Lair - Ink Cloud 1★ #FC5</t>
  </si>
  <si>
    <t>Kraken Lair - Ink Cloud 1★ #A7A</t>
  </si>
  <si>
    <t>Kraken Lair - Ink Cloud 1★ #52F</t>
  </si>
  <si>
    <t>Kraken Lair - Ink Cloud 1★ #FE4</t>
  </si>
  <si>
    <t>Kraken Lair - Pearl 1★ #A99</t>
  </si>
  <si>
    <t>Kraken Lair - Pearl 1★ #54E</t>
  </si>
  <si>
    <t>Kraken Lair - Pearl 1★ #003</t>
  </si>
  <si>
    <t>Kraken Lair - Pearl 1★ #AB8</t>
  </si>
  <si>
    <t>Kraken Lair - Pearl 1★ #56D</t>
  </si>
  <si>
    <t>Kraken Lair - Pearl 1★ #022</t>
  </si>
  <si>
    <t>Kraken Lair - Pearl 1★ #AD7</t>
  </si>
  <si>
    <t>Kraken Lair - Pearl 1★ #58C</t>
  </si>
  <si>
    <t>Kraken Lair - Pearl 1★ #041</t>
  </si>
  <si>
    <t>Kraken Lair - Pearl 1★ #AF6</t>
  </si>
  <si>
    <t>Kraken Lair - Pearl 1★ #5AB</t>
  </si>
  <si>
    <t>Kraken Lair - Pearl 1★ #060</t>
  </si>
  <si>
    <t>Kraken Lair - Pearl 1★ #B15</t>
  </si>
  <si>
    <t>Kraken Lair - Pearl 1★ #5CA</t>
  </si>
  <si>
    <t>Kraken Lair - Trident 1★ #07F</t>
  </si>
  <si>
    <t>Kraken Lair - Trident 1★ #B34</t>
  </si>
  <si>
    <t>Kraken Lair - Trident 1★ #5E9</t>
  </si>
  <si>
    <t>Kraken Lair - Trident 1★ #09E</t>
  </si>
  <si>
    <t>Kraken Lair - Trident 1★ #B53</t>
  </si>
  <si>
    <t>Kraken Lair - Trident 1★ #608</t>
  </si>
  <si>
    <t>Kraken Lair - Trident 1★ #0BD</t>
  </si>
  <si>
    <t>Kraken Lair - Trident 1★ #B72</t>
  </si>
  <si>
    <t>Kraken Lair - Trident 1★ #627</t>
  </si>
  <si>
    <t>Kraken Lair - Trident 1★ #0DC</t>
  </si>
  <si>
    <t>Kraken Lair - Trident 1★ #B91</t>
  </si>
  <si>
    <t>Kraken Lair - Trident 1★ #646</t>
  </si>
  <si>
    <t>Kraken Lair - Trident 1★ #0FB</t>
  </si>
  <si>
    <t>Kraken Lair - Trident 1★ #BB0</t>
  </si>
  <si>
    <t>Kraken Lair - Shell 2★ #665</t>
  </si>
  <si>
    <t>Kraken Lair - Shell 2★ #11A</t>
  </si>
  <si>
    <t>Kraken Lair - Shell 2★ #BCF</t>
  </si>
  <si>
    <t>Kraken Lair - Shell 2★ #684</t>
  </si>
  <si>
    <t>Kraken Lair - Shell 2★ #139</t>
  </si>
  <si>
    <t>Kraken Lair - Shell 2★ #BEE</t>
  </si>
  <si>
    <t>Kraken Lair - Shell 2★ #6A3</t>
  </si>
  <si>
    <t>Kraken Lair - Shell 2★ #158</t>
  </si>
  <si>
    <t>Kraken Lair - Shell 2★ #C0D</t>
  </si>
  <si>
    <t>Kraken Lair - Shell 2★ #6C2</t>
  </si>
  <si>
    <t>Kraken Lair - Shell 2★ #177</t>
  </si>
  <si>
    <t>Kraken Lair - Shell 2★ #C2C</t>
  </si>
  <si>
    <t>Kraken Lair - Shell 2★ #6E1</t>
  </si>
  <si>
    <t>Kraken Lair - Coral 2★ #196</t>
  </si>
  <si>
    <t>Kraken Lair - Coral 2★ #C4B</t>
  </si>
  <si>
    <t>Kraken Lair - Coral 2★ #700</t>
  </si>
  <si>
    <t>Kraken Lair - Coral 2★ #1B5</t>
  </si>
  <si>
    <t>Kraken Lair - Coral 2★ #C6A</t>
  </si>
  <si>
    <t>Kraken Lair - Coral 2★ #71F</t>
  </si>
  <si>
    <t>Kraken Lair - Coral 2★ #1D4</t>
  </si>
  <si>
    <t>Kraken Lair - Coral 2★ #C89</t>
  </si>
  <si>
    <t>Kraken Lair - Coral 2★ #73E</t>
  </si>
  <si>
    <t>Kraken Lair - Coral 2★ #1F3</t>
  </si>
  <si>
    <t>Kraken Lair - Coral 2★ #CA8</t>
  </si>
  <si>
    <t>Kraken Lair - Coral 2★ #75D</t>
  </si>
  <si>
    <t>Kraken Lair - Coral 2★ #212</t>
  </si>
  <si>
    <t>Kraken Lair - Lantern 3★ #CC7</t>
  </si>
  <si>
    <t>Kraken Lair - Lantern 3★ #77C</t>
  </si>
  <si>
    <t>Kraken Lair - Lantern 3★ #231</t>
  </si>
  <si>
    <t>Kraken Lair - Lantern 3★ #CE6</t>
  </si>
  <si>
    <t>Kraken Lair - Lantern 3★ #79B</t>
  </si>
  <si>
    <t>Kraken Lair - Lantern 3★ #250</t>
  </si>
  <si>
    <t>Kraken Lair - Lantern 3★ #D05</t>
  </si>
  <si>
    <t>Kraken Lair - Lantern 3★ #7BA</t>
  </si>
  <si>
    <t>Kraken Lair - Lantern 3★ #26F</t>
  </si>
  <si>
    <t>Kraken Lair - Lantern 3★ #D24</t>
  </si>
  <si>
    <t>Kraken Lair - Lantern 3★ #7D9</t>
  </si>
  <si>
    <t>Kraken Lair - Lantern 3★ #28E</t>
  </si>
  <si>
    <t>Kraken Lair - Lantern 3★ #D43</t>
  </si>
  <si>
    <t>Kraken Lair - Hook 3★ #7F8</t>
  </si>
  <si>
    <t>Kraken Lair - Hook 3★ #2AD</t>
  </si>
  <si>
    <t>Kraken Lair - Hook 3★ #D62</t>
  </si>
  <si>
    <t>Kraken Lair - Hook 3★ #817</t>
  </si>
  <si>
    <t>Kraken Lair - Hook 3★ #2CC</t>
  </si>
  <si>
    <t>Kraken Lair - Hook 3★ #D81</t>
  </si>
  <si>
    <t>Kraken Lair - Hook 3★ #836</t>
  </si>
  <si>
    <t>Kraken Lair - Hook 3★ #2EB</t>
  </si>
  <si>
    <t>Kraken Lair - Hook 3★ #DA0</t>
  </si>
  <si>
    <t>Kraken Lair - Hook 3★ #855</t>
  </si>
  <si>
    <t>Kraken Lair - Hook 3★ #30A</t>
  </si>
  <si>
    <t>Kraken Lair - Hook 3★ #DBF</t>
  </si>
  <si>
    <t>Kraken Lair - Hook 3★ #874</t>
  </si>
  <si>
    <t>Kraken Lair - Eyepatch 4★ #329</t>
  </si>
  <si>
    <t>Kraken Lair - Eyepatch 4★ #DDE</t>
  </si>
  <si>
    <t>Kraken Lair - Eyepatch 4★ #893</t>
  </si>
  <si>
    <t>Kraken Lair - Eyepatch 4★ #348</t>
  </si>
  <si>
    <t>Kraken Lair - Eyepatch 4★ #DFD</t>
  </si>
  <si>
    <t>Kraken Lair - Eyepatch 4★ #8B2</t>
  </si>
  <si>
    <t>Kraken Lair - Eyepatch 4★ #367</t>
  </si>
  <si>
    <t>Kraken Lair - Eyepatch 4★ #E1C</t>
  </si>
  <si>
    <t>Kraken Lair - Eyepatch 4★ #8D1</t>
  </si>
  <si>
    <t>Kraken Lair - Eyepatch 4★ #386</t>
  </si>
  <si>
    <t>Kraken Lair - Eyepatch 4★ #E3B</t>
  </si>
  <si>
    <t>Kraken Lair - Eyepatch 4★ #8F0</t>
  </si>
  <si>
    <t>Gold Cove - Doubloon 1★ #3A5</t>
  </si>
  <si>
    <t>Gold Cove - Doubloon 1★ #E5A</t>
  </si>
  <si>
    <t>Gold Cove - Doubloon 1★ #90F</t>
  </si>
  <si>
    <t>Gold Cove - Doubloon 1★ #3C4</t>
  </si>
  <si>
    <t>Gold Cove - Doubloon 1★ #E79</t>
  </si>
  <si>
    <t>Gold Cove - Doubloon 1★ #92E</t>
  </si>
  <si>
    <t>Gold Cove - Doubloon 1★ #3E3</t>
  </si>
  <si>
    <t>Gold Cove - Doubloon 1★ #E98</t>
  </si>
  <si>
    <t>Gold Cove - Doubloon 1★ #94D</t>
  </si>
  <si>
    <t>Gold Cove - Doubloon 1★ #402</t>
  </si>
  <si>
    <t>Gold Cove - Doubloon 1★ #EB7</t>
  </si>
  <si>
    <t>Gold Cove - Doubloon 1★ #96C</t>
  </si>
  <si>
    <t>Gold Cove - Doubloon 1★ #421</t>
  </si>
  <si>
    <t>Gold Cove - Ruby 1★ #ED6</t>
  </si>
  <si>
    <t>Gold Cove - Ruby 1★ #98B</t>
  </si>
  <si>
    <t>Gold Cove - Ruby 1★ #440</t>
  </si>
  <si>
    <t>Gold Cove - Ruby 1★ #EF5</t>
  </si>
  <si>
    <t>Gold Cove - Ruby 1★ #9AA</t>
  </si>
  <si>
    <t>Gold Cove - Ruby 1★ #45F</t>
  </si>
  <si>
    <t>Gold Cove - Ruby 1★ #F14</t>
  </si>
  <si>
    <t>Gold Cove - Ruby 1★ #9C9</t>
  </si>
  <si>
    <t>Gold Cove - Ruby 1★ #47E</t>
  </si>
  <si>
    <t>Gold Cove - Ruby 1★ #F33</t>
  </si>
  <si>
    <t>Gold Cove - Ruby 1★ #9E8</t>
  </si>
  <si>
    <t>Gold Cove - Ruby 1★ #49D</t>
  </si>
  <si>
    <t>Gold Cove - Ruby 1★ #F52</t>
  </si>
  <si>
    <t>Gold Cove - Emerald 1★ #A07</t>
  </si>
  <si>
    <t>Gold Cove - Emerald 1★ #4BC</t>
  </si>
  <si>
    <t>Gold Cove - Emerald 1★ #F71</t>
  </si>
  <si>
    <t>Gold Cove - Emerald 1★ #A26</t>
  </si>
  <si>
    <t>Gold Cove - Emerald 1★ #4DB</t>
  </si>
  <si>
    <t>Gold Cove - Emerald 1★ #F90</t>
  </si>
  <si>
    <t>Gold Cove - Emerald 1★ #A45</t>
  </si>
  <si>
    <t>Gold Cove - Emerald 1★ #4FA</t>
  </si>
  <si>
    <t>Gold Cove - Emerald 1★ #FAF</t>
  </si>
  <si>
    <t>Gold Cove - Emerald 1★ #A64</t>
  </si>
  <si>
    <t>Gold Cove - Emerald 1★ #519</t>
  </si>
  <si>
    <t>Gold Cove - Emerald 1★ #FCE</t>
  </si>
  <si>
    <t>Gold Cove - Emerald 1★ #A83</t>
  </si>
  <si>
    <t>Gold Cove - Diamond 2★ #538</t>
  </si>
  <si>
    <t>Gold Cove - Diamond 2★ #FED</t>
  </si>
  <si>
    <t>Gold Cove - Diamond 2★ #AA2</t>
  </si>
  <si>
    <t>Gold Cove - Diamond 2★ #557</t>
  </si>
  <si>
    <t>Gold Cove - Diamond 2★ #00C</t>
  </si>
  <si>
    <t>Gold Cove - Diamond 2★ #AC1</t>
  </si>
  <si>
    <t>Gold Cove - Diamond 2★ #576</t>
  </si>
  <si>
    <t>Gold Cove - Diamond 2★ #02B</t>
  </si>
  <si>
    <t>Gold Cove - Diamond 2★ #AE0</t>
  </si>
  <si>
    <t>Gold Cove - Diamond 2★ #595</t>
  </si>
  <si>
    <t>Gold Cove - Diamond 2★ #04A</t>
  </si>
  <si>
    <t>Gold Cove - Diamond 2★ #AFF</t>
  </si>
  <si>
    <t>Gold Cove - Diamond 2★ #5B4</t>
  </si>
  <si>
    <t>Gold Cove - Crown 2★ #069</t>
  </si>
  <si>
    <t>Gold Cove - Crown 2★ #B1E</t>
  </si>
  <si>
    <t>Gold Cove - Crown 2★ #5D3</t>
  </si>
  <si>
    <t>Gold Cove - Crown 2★ #088</t>
  </si>
  <si>
    <t>Gold Cove - Crown 2★ #B3D</t>
  </si>
  <si>
    <t>Gold Cove - Crown 2★ #5F2</t>
  </si>
  <si>
    <t>Gold Cove - Crown 2★ #0A7</t>
  </si>
  <si>
    <t>Gold Cove - Crown 2★ #B5C</t>
  </si>
  <si>
    <t>Gold Cove - Crown 2★ #611</t>
  </si>
  <si>
    <t>Gold Cove - Crown 2★ #0C6</t>
  </si>
  <si>
    <t>Gold Cove - Crown 2★ #B7B</t>
  </si>
  <si>
    <t>Gold Cove - Crown 2★ #630</t>
  </si>
  <si>
    <t>Gold Cove - Crown 2★ #0E5</t>
  </si>
  <si>
    <t>Gold Cove - Goblet 3★ #B9A</t>
  </si>
  <si>
    <t>Gold Cove - Goblet 3★ #64F</t>
  </si>
  <si>
    <t>Gold Cove - Goblet 3★ #104</t>
  </si>
  <si>
    <t>Gold Cove - Goblet 3★ #BB9</t>
  </si>
  <si>
    <t>Gold Cove - Goblet 3★ #66E</t>
  </si>
  <si>
    <t>Gold Cove - Goblet 3★ #123</t>
  </si>
  <si>
    <t>Gold Cove - Goblet 3★ #BD8</t>
  </si>
  <si>
    <t>Gold Cove - Goblet 3★ #68D</t>
  </si>
  <si>
    <t>Gold Cove - Goblet 3★ #142</t>
  </si>
  <si>
    <t>Gold Cove - Goblet 3★ #BF7</t>
  </si>
  <si>
    <t>Gold Cove - Goblet 3★ #6AC</t>
  </si>
  <si>
    <t>Gold Cove - Goblet 3★ #161</t>
  </si>
  <si>
    <t>Gold Cove - Goblet 3★ #C16</t>
  </si>
  <si>
    <t>Gold Cove - Necklace 4★ #6CB</t>
  </si>
  <si>
    <t>Gold Cove - Necklace 4★ #180</t>
  </si>
  <si>
    <t>Gold Cove - Necklace 4★ #C35</t>
  </si>
  <si>
    <t>Gold Cove - Necklace 4★ #6EA</t>
  </si>
  <si>
    <t>Gold Cove - Necklace 4★ #19F</t>
  </si>
  <si>
    <t>Gold Cove - Necklace 4★ #C54</t>
  </si>
  <si>
    <t>Gold Cove - Necklace 4★ #709</t>
  </si>
  <si>
    <t>Gold Cove - Necklace 4★ #1BE</t>
  </si>
  <si>
    <t>Gold Cove - Necklace 4★ #C73</t>
  </si>
  <si>
    <t>Gold Cove - Necklace 4★ #728</t>
  </si>
  <si>
    <t>Gold Cove - Necklace 4★ #1DD</t>
  </si>
  <si>
    <t>Gold Cove - Necklace 4★ #C92</t>
  </si>
  <si>
    <t>Gold Cove - Ring 4★ #747</t>
  </si>
  <si>
    <t>Gold Cove - Ring 4★ #1FC</t>
  </si>
  <si>
    <t>Gold Cove - Ring 4★ #CB1</t>
  </si>
  <si>
    <t>Gold Cove - Ring 4★ #766</t>
  </si>
  <si>
    <t>Gold Cove - Ring 4★ #21B</t>
  </si>
  <si>
    <t>Gold Cove - Ring 4★ #CD0</t>
  </si>
  <si>
    <t>Gold Cove - Ring 4★ #785</t>
  </si>
  <si>
    <t>Gold Cove - Ring 4★ #23A</t>
  </si>
  <si>
    <t>Gold Cove - Ring 4★ #CEF</t>
  </si>
  <si>
    <t>Gold Cove - Ring 4★ #7A4</t>
  </si>
  <si>
    <t>Gold Cove - Ring 4★ #259</t>
  </si>
  <si>
    <t>Gold Cove - Scepter 5★ #D0E</t>
  </si>
  <si>
    <t>Gold Cove - Scepter 5★ #7C3</t>
  </si>
  <si>
    <t>Gold Cove - Scepter 5★ #278</t>
  </si>
  <si>
    <t>Gold Cove - Scepter 5★ #D2D</t>
  </si>
  <si>
    <t>Gold Cove - Scepter 5★ #7E2</t>
  </si>
  <si>
    <t>Gold Cove - Scepter 5★ #297</t>
  </si>
  <si>
    <t>Ghost Ship - Fog Horn 1★ #D4C</t>
  </si>
  <si>
    <t>Ghost Ship - Fog Horn 1★ #801</t>
  </si>
  <si>
    <t>Ghost Ship - Fog Horn 1★ #2B6</t>
  </si>
  <si>
    <t>Ghost Ship - Fog Horn 1★ #D6B</t>
  </si>
  <si>
    <t>Ghost Ship - Fog Horn 1★ #820</t>
  </si>
  <si>
    <t>Ghost Ship - Fog Horn 1★ #2D5</t>
  </si>
  <si>
    <t>Ghost Ship - Fog Horn 1★ #D8A</t>
  </si>
  <si>
    <t>Ghost Ship - Fog Horn 1★ #83F</t>
  </si>
  <si>
    <t>Ghost Ship - Fog Horn 1★ #2F4</t>
  </si>
  <si>
    <t>Ghost Ship - Fog Horn 1★ #DA9</t>
  </si>
  <si>
    <t>Ghost Ship - Fog Horn 1★ #85E</t>
  </si>
  <si>
    <t>Ghost Ship - Fog Horn 1★ #313</t>
  </si>
  <si>
    <t>Ghost Ship - Fog Horn 1★ #DC8</t>
  </si>
  <si>
    <t>Ghost Ship - Sail 1★ #87D</t>
  </si>
  <si>
    <t>Ghost Ship - Sail 1★ #332</t>
  </si>
  <si>
    <t>Ghost Ship - Sail 1★ #DE7</t>
  </si>
  <si>
    <t>Ghost Ship - Sail 1★ #89C</t>
  </si>
  <si>
    <t>Ghost Ship - Sail 1★ #351</t>
  </si>
  <si>
    <t>Ghost Ship - Sail 1★ #E06</t>
  </si>
  <si>
    <t>Ghost Ship - Sail 1★ #8BB</t>
  </si>
  <si>
    <t>Ghost Ship - Sail 1★ #370</t>
  </si>
  <si>
    <t>Ghost Ship - Sail 1★ #E25</t>
  </si>
  <si>
    <t>Ghost Ship - Sail 1★ #8DA</t>
  </si>
  <si>
    <t>Ghost Ship - Sail 1★ #38F</t>
  </si>
  <si>
    <t>Ghost Ship - Sail 1★ #E44</t>
  </si>
  <si>
    <t>Ghost Ship - Sail 1★ #8F9</t>
  </si>
  <si>
    <t>Ghost Ship - Ghost Lamp 2★ #3AE</t>
  </si>
  <si>
    <t>Ghost Ship - Ghost Lamp 2★ #E63</t>
  </si>
  <si>
    <t>Ghost Ship - Ghost Lamp 2★ #918</t>
  </si>
  <si>
    <t>Ghost Ship - Ghost Lamp 2★ #3CD</t>
  </si>
  <si>
    <t>Ghost Ship - Ghost Lamp 2★ #E82</t>
  </si>
  <si>
    <t>Ghost Ship - Ghost Lamp 2★ #937</t>
  </si>
  <si>
    <t>Ghost Ship - Ghost Lamp 2★ #3EC</t>
  </si>
  <si>
    <t>Ghost Ship - Ghost Lamp 2★ #EA1</t>
  </si>
  <si>
    <t>Ghost Ship - Ghost Lamp 2★ #956</t>
  </si>
  <si>
    <t>Ghost Ship - Ghost Lamp 2★ #40B</t>
  </si>
  <si>
    <t>Ghost Ship - Ghost Lamp 2★ #EC0</t>
  </si>
  <si>
    <t>Ghost Ship - Ghost Lamp 2★ #975</t>
  </si>
  <si>
    <t>Ghost Ship - Ghost Lamp 2★ #42A</t>
  </si>
  <si>
    <t>Ghost Ship - Key 2★ #EDF</t>
  </si>
  <si>
    <t>Ghost Ship - Key 2★ #994</t>
  </si>
  <si>
    <t>Ghost Ship - Key 2★ #449</t>
  </si>
  <si>
    <t>Ghost Ship - Key 2★ #EFE</t>
  </si>
  <si>
    <t>Ghost Ship - Key 2★ #9B3</t>
  </si>
  <si>
    <t>Ghost Ship - Key 2★ #468</t>
  </si>
  <si>
    <t>Ghost Ship - Key 2★ #F1D</t>
  </si>
  <si>
    <t>Ghost Ship - Key 2★ #9D2</t>
  </si>
  <si>
    <t>Ghost Ship - Key 2★ #487</t>
  </si>
  <si>
    <t>Ghost Ship - Key 2★ #F3C</t>
  </si>
  <si>
    <t>Ghost Ship - Key 2★ #9F1</t>
  </si>
  <si>
    <t>Ghost Ship - Key 2★ #4A6</t>
  </si>
  <si>
    <t>Ghost Ship - Key 2★ #F5B</t>
  </si>
  <si>
    <t>Ghost Ship - Plank 3★ #A10</t>
  </si>
  <si>
    <t>Ghost Ship - Plank 3★ #4C5</t>
  </si>
  <si>
    <t>Ghost Ship - Plank 3★ #F7A</t>
  </si>
  <si>
    <t>Ghost Ship - Plank 3★ #A2F</t>
  </si>
  <si>
    <t>Ghost Ship - Plank 3★ #4E4</t>
  </si>
  <si>
    <t>Ghost Ship - Plank 3★ #F99</t>
  </si>
  <si>
    <t>Ghost Ship - Plank 3★ #A4E</t>
  </si>
  <si>
    <t>Ghost Ship - Plank 3★ #503</t>
  </si>
  <si>
    <t>Ghost Ship - Plank 3★ #FB8</t>
  </si>
  <si>
    <t>Ghost Ship - Plank 3★ #A6D</t>
  </si>
  <si>
    <t>Ghost Ship - Plank 3★ #522</t>
  </si>
  <si>
    <t>Ghost Ship - Plank 3★ #FD7</t>
  </si>
  <si>
    <t>Ghost Ship - Plank 3★ #A8C</t>
  </si>
  <si>
    <t>Ghost Ship - Nest 3★ #541</t>
  </si>
  <si>
    <t>Ghost Ship - Nest 3★ #FF6</t>
  </si>
  <si>
    <t>Ghost Ship - Nest 3★ #AAB</t>
  </si>
  <si>
    <t>Ghost Ship - Nest 3★ #560</t>
  </si>
  <si>
    <t>Ghost Ship - Nest 3★ #015</t>
  </si>
  <si>
    <t>Ghost Ship - Nest 3★ #ACA</t>
  </si>
  <si>
    <t>Ghost Ship - Nest 3★ #57F</t>
  </si>
  <si>
    <t>Ghost Ship - Nest 3★ #034</t>
  </si>
  <si>
    <t>Ghost Ship - Nest 3★ #AE9</t>
  </si>
  <si>
    <t>Ghost Ship - Nest 3★ #59E</t>
  </si>
  <si>
    <t>Ghost Ship - Nest 3★ #053</t>
  </si>
  <si>
    <t>Ghost Ship - Nest 3★ #B08</t>
  </si>
  <si>
    <t>Ghost Ship - Nest 3★ #5BD</t>
  </si>
  <si>
    <t>Ghost Ship - Flag 4★ #072</t>
  </si>
  <si>
    <t>Ghost Ship - Flag 4★ #B27</t>
  </si>
  <si>
    <t>Ghost Ship - Flag 4★ #5DC</t>
  </si>
  <si>
    <t>Ghost Ship - Flag 4★ #091</t>
  </si>
  <si>
    <t>Ghost Ship - Flag 4★ #B46</t>
  </si>
  <si>
    <t>Ghost Ship - Flag 4★ #5FB</t>
  </si>
  <si>
    <t>Ghost Ship - Flag 4★ #0B0</t>
  </si>
  <si>
    <t>Ghost Ship - Flag 4★ #B65</t>
  </si>
  <si>
    <t>Ghost Ship - Flag 4★ #61A</t>
  </si>
  <si>
    <t>Ghost Ship - Flag 4★ #0CF</t>
  </si>
  <si>
    <t>Ghost Ship - Flag 4★ #B84</t>
  </si>
  <si>
    <t>Ghost Ship - Chain 4★ #639</t>
  </si>
  <si>
    <t>Ghost Ship - Chain 4★ #0EE</t>
  </si>
  <si>
    <t>Ghost Ship - Chain 4★ #BA3</t>
  </si>
  <si>
    <t>Ghost Ship - Chain 4★ #658</t>
  </si>
  <si>
    <t>Ghost Ship - Chain 4★ #10D</t>
  </si>
  <si>
    <t>Ghost Ship - Chain 4★ #BC2</t>
  </si>
  <si>
    <t>Ghost Ship - Chain 4★ #677</t>
  </si>
  <si>
    <t>Ghost Ship - Chain 4★ #12C</t>
  </si>
  <si>
    <t>Ghost Ship - Chain 4★ #BE1</t>
  </si>
  <si>
    <t>Ghost Ship - Chain 4★ #696</t>
  </si>
  <si>
    <t>Ghost Ship - Chain 4★ #14B</t>
  </si>
  <si>
    <t>Ghost Ship - Log 5★ #C00</t>
  </si>
  <si>
    <t>Ghost Ship - Log 5★ #6B5</t>
  </si>
  <si>
    <t>Ghost Ship - Log 5★ #16A</t>
  </si>
  <si>
    <t>Ghost Ship - Log 5★ #C1F</t>
  </si>
  <si>
    <t>Ghost Ship - Log 5★ #6D4</t>
  </si>
  <si>
    <t>Storm Port - Lightning 1★ #189</t>
  </si>
  <si>
    <t>Storm Port - Lightning 1★ #C3E</t>
  </si>
  <si>
    <t>Storm Port - Lightning 1★ #6F3</t>
  </si>
  <si>
    <t>Storm Port - Lightning 1★ #1A8</t>
  </si>
  <si>
    <t>Storm Port - Lightning 1★ #C5D</t>
  </si>
  <si>
    <t>Storm Port - Lightning 1★ #712</t>
  </si>
  <si>
    <t>Storm Port - Lightning 1★ #1C7</t>
  </si>
  <si>
    <t>Storm Port - Lightning 1★ #C7C</t>
  </si>
  <si>
    <t>Storm Port - Lightning 1★ #731</t>
  </si>
  <si>
    <t>Storm Port - Lightning 1★ #1E6</t>
  </si>
  <si>
    <t>Storm Port - Lightning 1★ #C9B</t>
  </si>
  <si>
    <t>Storm Port - Lightning 1★ #750</t>
  </si>
  <si>
    <t>Storm Port - Lightning 1★ #205</t>
  </si>
  <si>
    <t>Storm Port - Barrel 1★ #CBA</t>
  </si>
  <si>
    <t>Storm Port - Barrel 1★ #76F</t>
  </si>
  <si>
    <t>Storm Port - Barrel 1★ #224</t>
  </si>
  <si>
    <t>Storm Port - Barrel 1★ #CD9</t>
  </si>
  <si>
    <t>Storm Port - Barrel 1★ #78E</t>
  </si>
  <si>
    <t>Storm Port - Barrel 1★ #243</t>
  </si>
  <si>
    <t>Storm Port - Barrel 1★ #CF8</t>
  </si>
  <si>
    <t>Storm Port - Barrel 1★ #7AD</t>
  </si>
  <si>
    <t>Storm Port - Barrel 1★ #262</t>
  </si>
  <si>
    <t>Storm Port - Barrel 1★ #D17</t>
  </si>
  <si>
    <t>Storm Port - Barrel 1★ #7CC</t>
  </si>
  <si>
    <t>Storm Port - Barrel 1★ #281</t>
  </si>
  <si>
    <t>Storm Port - Barrel 1★ #D36</t>
  </si>
  <si>
    <t>Storm Port - Rope 2★ #7EB</t>
  </si>
  <si>
    <t>Storm Port - Rope 2★ #2A0</t>
  </si>
  <si>
    <t>Storm Port - Rope 2★ #D55</t>
  </si>
  <si>
    <t>Storm Port - Rope 2★ #80A</t>
  </si>
  <si>
    <t>Storm Port - Rope 2★ #2BF</t>
  </si>
  <si>
    <t>Storm Port - Rope 2★ #D74</t>
  </si>
  <si>
    <t>Storm Port - Rope 2★ #829</t>
  </si>
  <si>
    <t>Storm Port - Rope 2★ #2DE</t>
  </si>
  <si>
    <t>Storm Port - Rope 2★ #D93</t>
  </si>
  <si>
    <t>Storm Port - Rope 2★ #848</t>
  </si>
  <si>
    <t>Storm Port - Rope 2★ #2FD</t>
  </si>
  <si>
    <t>Storm Port - Rope 2★ #DB2</t>
  </si>
  <si>
    <t>Storm Port - Rope 2★ #867</t>
  </si>
  <si>
    <t>Storm Port - Cleat 2★ #31C</t>
  </si>
  <si>
    <t>Storm Port - Cleat 2★ #DD1</t>
  </si>
  <si>
    <t>Storm Port - Cleat 2★ #886</t>
  </si>
  <si>
    <t>Storm Port - Cleat 2★ #33B</t>
  </si>
  <si>
    <t>Storm Port - Cleat 2★ #DF0</t>
  </si>
  <si>
    <t>Storm Port - Cleat 2★ #8A5</t>
  </si>
  <si>
    <t>Storm Port - Cleat 2★ #35A</t>
  </si>
  <si>
    <t>Storm Port - Cleat 2★ #E0F</t>
  </si>
  <si>
    <t>Storm Port - Cleat 2★ #8C4</t>
  </si>
  <si>
    <t>Storm Port - Cleat 2★ #379</t>
  </si>
  <si>
    <t>Storm Port - Cleat 2★ #E2E</t>
  </si>
  <si>
    <t>Storm Port - Cleat 2★ #8E3</t>
  </si>
  <si>
    <t>Storm Port - Cleat 2★ #398</t>
  </si>
  <si>
    <t>Storm Port - Flare 3★ #E4D</t>
  </si>
  <si>
    <t>Storm Port - Flare 3★ #902</t>
  </si>
  <si>
    <t>Storm Port - Flare 3★ #3B7</t>
  </si>
  <si>
    <t>Storm Port - Flare 3★ #E6C</t>
  </si>
  <si>
    <t>Storm Port - Flare 3★ #921</t>
  </si>
  <si>
    <t>Storm Port - Flare 3★ #3D6</t>
  </si>
  <si>
    <t>Storm Port - Flare 3★ #E8B</t>
  </si>
  <si>
    <t>Storm Port - Flare 3★ #940</t>
  </si>
  <si>
    <t>Storm Port - Flare 3★ #3F5</t>
  </si>
  <si>
    <t>Storm Port - Flare 3★ #EAA</t>
  </si>
  <si>
    <t>Storm Port - Flare 3★ #95F</t>
  </si>
  <si>
    <t>Storm Port - Flare 3★ #414</t>
  </si>
  <si>
    <t>Storm Port - Flare 3★ #EC9</t>
  </si>
  <si>
    <t>Storm Port - Bucket 4★ #97E</t>
  </si>
  <si>
    <t>Storm Port - Bucket 4★ #433</t>
  </si>
  <si>
    <t>Storm Port - Bucket 4★ #EE8</t>
  </si>
  <si>
    <t>Storm Port - Bucket 4★ #99D</t>
  </si>
  <si>
    <t>Storm Port - Bucket 4★ #452</t>
  </si>
  <si>
    <t>Storm Port - Bucket 4★ #F07</t>
  </si>
  <si>
    <t>Storm Port - Bucket 4★ #9BC</t>
  </si>
  <si>
    <t>Storm Port - Bucket 4★ #471</t>
  </si>
  <si>
    <t>Storm Port - Bucket 4★ #F26</t>
  </si>
  <si>
    <t>Storm Port - Bucket 4★ #9DB</t>
  </si>
  <si>
    <t>Storm Port - Bucket 4★ #490</t>
  </si>
  <si>
    <t>Storm Port - Windmill 4★ #F45</t>
  </si>
  <si>
    <t>Storm Port - Windmill 4★ #9FA</t>
  </si>
  <si>
    <t>Storm Port - Windmill 4★ #4AF</t>
  </si>
  <si>
    <t>Storm Port - Windmill 4★ #F64</t>
  </si>
  <si>
    <t>Storm Port - Windmill 4★ #A19</t>
  </si>
  <si>
    <t>Storm Port - Windmill 4★ #4CE</t>
  </si>
  <si>
    <t>Storm Port - Windmill 4★ #F83</t>
  </si>
  <si>
    <t>Storm Port - Windmill 4★ #A38</t>
  </si>
  <si>
    <t>Storm Port - Windmill 4★ #4ED</t>
  </si>
  <si>
    <t>Storm Port - Windmill 4★ #FA2</t>
  </si>
  <si>
    <t>Storm Port - Windmill 4★ #A57</t>
  </si>
  <si>
    <t>Storm Port - Lighthouse 5★ #50C</t>
  </si>
  <si>
    <t>Storm Port - Lighthouse 5★ #FC1</t>
  </si>
  <si>
    <t>Storm Port - Lighthouse 5★ #A76</t>
  </si>
  <si>
    <t>Storm Port - Lighthouse 5★ #52B</t>
  </si>
  <si>
    <t>Storm Port - Lighthouse 5★ #FE0</t>
  </si>
  <si>
    <t>Storm Port - Drum 5★ #A95</t>
  </si>
  <si>
    <t>Storm Port - Drum 5★ #54A</t>
  </si>
  <si>
    <t>Storm Port - Drum 5★ #FFF</t>
  </si>
  <si>
    <t>Storm Port - Drum 5★ #AB4</t>
  </si>
  <si>
    <t>Storm Port - Drum 5★ #569</t>
  </si>
  <si>
    <t>Cannon Fort - Cannonball 1★ #01E</t>
  </si>
  <si>
    <t>Cannon Fort - Cannonball 1★ #AD3</t>
  </si>
  <si>
    <t>Cannon Fort - Cannonball 1★ #588</t>
  </si>
  <si>
    <t>Cannon Fort - Cannonball 1★ #03D</t>
  </si>
  <si>
    <t>Cannon Fort - Cannonball 1★ #AF2</t>
  </si>
  <si>
    <t>Cannon Fort - Cannonball 1★ #5A7</t>
  </si>
  <si>
    <t>Cannon Fort - Cannonball 1★ #05C</t>
  </si>
  <si>
    <t>Cannon Fort - Cannonball 1★ #B11</t>
  </si>
  <si>
    <t>Cannon Fort - Cannonball 1★ #5C6</t>
  </si>
  <si>
    <t>Cannon Fort - Cannonball 1★ #07B</t>
  </si>
  <si>
    <t>Cannon Fort - Cannonball 1★ #B30</t>
  </si>
  <si>
    <t>Cannon Fort - Cannonball 1★ #5E5</t>
  </si>
  <si>
    <t>Cannon Fort - Cannonball 1★ #09A</t>
  </si>
  <si>
    <t>Cannon Fort - Powder 1★ #B4F</t>
  </si>
  <si>
    <t>Cannon Fort - Powder 1★ #604</t>
  </si>
  <si>
    <t>Cannon Fort - Powder 1★ #0B9</t>
  </si>
  <si>
    <t>Cannon Fort - Powder 1★ #B6E</t>
  </si>
  <si>
    <t>Cannon Fort - Powder 1★ #623</t>
  </si>
  <si>
    <t>Cannon Fort - Powder 1★ #0D8</t>
  </si>
  <si>
    <t>Cannon Fort - Powder 1★ #B8D</t>
  </si>
  <si>
    <t>Cannon Fort - Powder 1★ #642</t>
  </si>
  <si>
    <t>Cannon Fort - Powder 1★ #0F7</t>
  </si>
  <si>
    <t>Cannon Fort - Powder 1★ #BAC</t>
  </si>
  <si>
    <t>Cannon Fort - Powder 1★ #661</t>
  </si>
  <si>
    <t>Cannon Fort - Powder 1★ #116</t>
  </si>
  <si>
    <t>Cannon Fort - Powder 1★ #BCB</t>
  </si>
  <si>
    <t>Cannon Fort - Fuse 2★ #680</t>
  </si>
  <si>
    <t>Cannon Fort - Fuse 2★ #135</t>
  </si>
  <si>
    <t>Cannon Fort - Fuse 2★ #BEA</t>
  </si>
  <si>
    <t>Cannon Fort - Fuse 2★ #69F</t>
  </si>
  <si>
    <t>Cannon Fort - Fuse 2★ #154</t>
  </si>
  <si>
    <t>Cannon Fort - Fuse 2★ #C09</t>
  </si>
  <si>
    <t>Cannon Fort - Fuse 2★ #6BE</t>
  </si>
  <si>
    <t>Cannon Fort - Fuse 2★ #173</t>
  </si>
  <si>
    <t>Cannon Fort - Fuse 2★ #C28</t>
  </si>
  <si>
    <t>Cannon Fort - Fuse 2★ #6DD</t>
  </si>
  <si>
    <t>Cannon Fort - Fuse 2★ #192</t>
  </si>
  <si>
    <t>Cannon Fort - Fuse 2★ #C47</t>
  </si>
  <si>
    <t>Cannon Fort - Ramrod 2★ #6FC</t>
  </si>
  <si>
    <t>Cannon Fort - Ramrod 2★ #1B1</t>
  </si>
  <si>
    <t>Cannon Fort - Ramrod 2★ #C66</t>
  </si>
  <si>
    <t>Cannon Fort - Ramrod 2★ #71B</t>
  </si>
  <si>
    <t>Cannon Fort - Ramrod 2★ #1D0</t>
  </si>
  <si>
    <t>Cannon Fort - Ramrod 2★ #C85</t>
  </si>
  <si>
    <t>Cannon Fort - Ramrod 2★ #73A</t>
  </si>
  <si>
    <t>Cannon Fort - Ramrod 2★ #1EF</t>
  </si>
  <si>
    <t>Cannon Fort - Ramrod 2★ #CA4</t>
  </si>
  <si>
    <t>Cannon Fort - Ramrod 2★ #759</t>
  </si>
  <si>
    <t>Cannon Fort - Ramrod 2★ #20E</t>
  </si>
  <si>
    <t>Cannon Fort - Ramrod 2★ #CC3</t>
  </si>
  <si>
    <t>Cannon Fort - War Flag 3★ #778</t>
  </si>
  <si>
    <t>Cannon Fort - War Flag 3★ #22D</t>
  </si>
  <si>
    <t>Cannon Fort - War Flag 3★ #CE2</t>
  </si>
  <si>
    <t>Cannon Fort - War Flag 3★ #797</t>
  </si>
  <si>
    <t>Cannon Fort - War Flag 3★ #24C</t>
  </si>
  <si>
    <t>Cannon Fort - War Flag 3★ #D01</t>
  </si>
  <si>
    <t>Cannon Fort - War Flag 3★ #7B6</t>
  </si>
  <si>
    <t>Cannon Fort - War Flag 3★ #26B</t>
  </si>
  <si>
    <t>Cannon Fort - War Flag 3★ #D20</t>
  </si>
  <si>
    <t>Cannon Fort - War Flag 3★ #7D5</t>
  </si>
  <si>
    <t>Cannon Fort - War Flag 3★ #28A</t>
  </si>
  <si>
    <t>Cannon Fort - War Flag 3★ #D3F</t>
  </si>
  <si>
    <t>Cannon Fort - War Flag 3★ #7F4</t>
  </si>
  <si>
    <t>Cannon Fort - Tower 4★ #2A9</t>
  </si>
  <si>
    <t>Cannon Fort - Tower 4★ #D5E</t>
  </si>
  <si>
    <t>Cannon Fort - Tower 4★ #813</t>
  </si>
  <si>
    <t>Cannon Fort - Tower 4★ #2C8</t>
  </si>
  <si>
    <t>Cannon Fort - Tower 4★ #D7D</t>
  </si>
  <si>
    <t>Cannon Fort - Tower 4★ #832</t>
  </si>
  <si>
    <t>Cannon Fort - Tower 4★ #2E7</t>
  </si>
  <si>
    <t>Cannon Fort - Tower 4★ #D9C</t>
  </si>
  <si>
    <t>Cannon Fort - Tower 4★ #851</t>
  </si>
  <si>
    <t>Cannon Fort - Tower 4★ #306</t>
  </si>
  <si>
    <t>Cannon Fort - Tower 4★ #DBB</t>
  </si>
  <si>
    <t>Cannon Fort - Bridge 5★ #870</t>
  </si>
  <si>
    <t>Cannon Fort - Bridge 5★ #325</t>
  </si>
  <si>
    <t>Cannon Fort - Bridge 5★ #DDA</t>
  </si>
  <si>
    <t>Cannon Fort - Bridge 5★ #88F</t>
  </si>
  <si>
    <t>Cannon Fort - Bridge 5★ #344</t>
  </si>
  <si>
    <t>Cannon Fort - Catapult 5★ #DF9</t>
  </si>
  <si>
    <t>Cannon Fort - Catapult 5★ #8AE</t>
  </si>
  <si>
    <t>Cannon Fort - Catapult 5★ #363</t>
  </si>
  <si>
    <t>Cannon Fort - Catapult 5★ #E18</t>
  </si>
  <si>
    <t>Cannon Fort - Catapult 5★ #8CD</t>
  </si>
  <si>
    <t>Cannon Fort - Horn 5★ #382</t>
  </si>
  <si>
    <t>Cannon Fort - Horn 5★ #E37</t>
  </si>
  <si>
    <t>Cannon Fort - Horn 5★ #8EC</t>
  </si>
  <si>
    <t>Cannon Fort - Horn 5★ #3A1</t>
  </si>
  <si>
    <t>Cannon Fort - Horn 5★ #E56</t>
  </si>
  <si>
    <t>Siren Reef - Harp 1★ #90B</t>
  </si>
  <si>
    <t>Siren Reef - Harp 1★ #3C0</t>
  </si>
  <si>
    <t>Siren Reef - Harp 1★ #E75</t>
  </si>
  <si>
    <t>Siren Reef - Harp 1★ #92A</t>
  </si>
  <si>
    <t>Siren Reef - Harp 1★ #3DF</t>
  </si>
  <si>
    <t>Siren Reef - Harp 1★ #E94</t>
  </si>
  <si>
    <t>Siren Reef - Harp 1★ #949</t>
  </si>
  <si>
    <t>Siren Reef - Harp 1★ #3FE</t>
  </si>
  <si>
    <t>Siren Reef - Harp 1★ #EB3</t>
  </si>
  <si>
    <t>Siren Reef - Harp 1★ #968</t>
  </si>
  <si>
    <t>Siren Reef - Harp 1★ #41D</t>
  </si>
  <si>
    <t>Siren Reef - Harp 1★ #ED2</t>
  </si>
  <si>
    <t>Siren Reef - Harp 1★ #987</t>
  </si>
  <si>
    <t>Siren Reef - Mirror 1★ #43C</t>
  </si>
  <si>
    <t>Siren Reef - Mirror 1★ #EF1</t>
  </si>
  <si>
    <t>Siren Reef - Mirror 1★ #9A6</t>
  </si>
  <si>
    <t>Siren Reef - Mirror 1★ #45B</t>
  </si>
  <si>
    <t>Siren Reef - Mirror 1★ #F10</t>
  </si>
  <si>
    <t>Siren Reef - Mirror 1★ #9C5</t>
  </si>
  <si>
    <t>Siren Reef - Mirror 1★ #47A</t>
  </si>
  <si>
    <t>Siren Reef - Mirror 1★ #F2F</t>
  </si>
  <si>
    <t>Siren Reef - Mirror 1★ #9E4</t>
  </si>
  <si>
    <t>Siren Reef - Mirror 1★ #499</t>
  </si>
  <si>
    <t>Siren Reef - Mirror 1★ #F4E</t>
  </si>
  <si>
    <t>Siren Reef - Mirror 1★ #A03</t>
  </si>
  <si>
    <t>Siren Reef - Mirror 1★ #4B8</t>
  </si>
  <si>
    <t>Siren Reef - Comb 2★ #F6D</t>
  </si>
  <si>
    <t>Siren Reef - Comb 2★ #A22</t>
  </si>
  <si>
    <t>Siren Reef - Comb 2★ #4D7</t>
  </si>
  <si>
    <t>Siren Reef - Comb 2★ #F8C</t>
  </si>
  <si>
    <t>Siren Reef - Comb 2★ #A41</t>
  </si>
  <si>
    <t>Siren Reef - Comb 2★ #4F6</t>
  </si>
  <si>
    <t>Siren Reef - Comb 2★ #FAB</t>
  </si>
  <si>
    <t>Siren Reef - Comb 2★ #A60</t>
  </si>
  <si>
    <t>Siren Reef - Comb 2★ #515</t>
  </si>
  <si>
    <t>Siren Reef - Comb 2★ #FCA</t>
  </si>
  <si>
    <t>Siren Reef - Comb 2★ #A7F</t>
  </si>
  <si>
    <t>Siren Reef - Comb 2★ #534</t>
  </si>
  <si>
    <t>Siren Reef - Witch 2★ #FE9</t>
  </si>
  <si>
    <t>Siren Reef - Witch 2★ #A9E</t>
  </si>
  <si>
    <t>Siren Reef - Witch 2★ #553</t>
  </si>
  <si>
    <t>Siren Reef - Witch 2★ #008</t>
  </si>
  <si>
    <t>Siren Reef - Witch 2★ #ABD</t>
  </si>
  <si>
    <t>Siren Reef - Witch 2★ #572</t>
  </si>
  <si>
    <t>Siren Reef - Witch 2★ #027</t>
  </si>
  <si>
    <t>Siren Reef - Witch 2★ #ADC</t>
  </si>
  <si>
    <t>Siren Reef - Witch 2★ #591</t>
  </si>
  <si>
    <t>Siren Reef - Witch 2★ #046</t>
  </si>
  <si>
    <t>Siren Reef - Witch 2★ #AFB</t>
  </si>
  <si>
    <t>Siren Reef - Witch 2★ #5B0</t>
  </si>
  <si>
    <t>Siren Reef - Starfish 3★ #065</t>
  </si>
  <si>
    <t>Siren Reef - Starfish 3★ #B1A</t>
  </si>
  <si>
    <t>Siren Reef - Starfish 3★ #5CF</t>
  </si>
  <si>
    <t>Siren Reef - Starfish 3★ #084</t>
  </si>
  <si>
    <t>Siren Reef - Starfish 3★ #B39</t>
  </si>
  <si>
    <t>Siren Reef - Starfish 3★ #5EE</t>
  </si>
  <si>
    <t>Siren Reef - Starfish 3★ #0A3</t>
  </si>
  <si>
    <t>Siren Reef - Starfish 3★ #B58</t>
  </si>
  <si>
    <t>Siren Reef - Starfish 3★ #60D</t>
  </si>
  <si>
    <t>Siren Reef - Starfish 3★ #0C2</t>
  </si>
  <si>
    <t>Siren Reef - Starfish 3★ #B77</t>
  </si>
  <si>
    <t>Siren Reef - Starfish 3★ #62C</t>
  </si>
  <si>
    <t>Siren Reef - Starfish 3★ #0E1</t>
  </si>
  <si>
    <t>Siren Reef - Moonstone 4★ #B96</t>
  </si>
  <si>
    <t>Siren Reef - Moonstone 4★ #64B</t>
  </si>
  <si>
    <t>Siren Reef - Moonstone 4★ #100</t>
  </si>
  <si>
    <t>Siren Reef - Moonstone 4★ #BB5</t>
  </si>
  <si>
    <t>Siren Reef - Moonstone 4★ #66A</t>
  </si>
  <si>
    <t>Siren Reef - Moonstone 4★ #11F</t>
  </si>
  <si>
    <t>Siren Reef - Moonstone 4★ #BD4</t>
  </si>
  <si>
    <t>Siren Reef - Moonstone 4★ #689</t>
  </si>
  <si>
    <t>Siren Reef - Moonstone 4★ #13E</t>
  </si>
  <si>
    <t>Siren Reef - Moonstone 4★ #BF3</t>
  </si>
  <si>
    <t>Siren Reef - Moonstone 4★ #6A8</t>
  </si>
  <si>
    <t>Siren Reef - Wave 5★ #15D</t>
  </si>
  <si>
    <t>Siren Reef - Wave 5★ #C12</t>
  </si>
  <si>
    <t>Siren Reef - Wave 5★ #6C7</t>
  </si>
  <si>
    <t>Siren Reef - Wave 5★ #17C</t>
  </si>
  <si>
    <t>Siren Reef - Wave 5★ #C31</t>
  </si>
  <si>
    <t>Siren Reef - Driftwood 5★ #6E6</t>
  </si>
  <si>
    <t>Siren Reef - Driftwood 5★ #19B</t>
  </si>
  <si>
    <t>Siren Reef - Driftwood 5★ #C50</t>
  </si>
  <si>
    <t>Siren Reef - Driftwood 5★ #705</t>
  </si>
  <si>
    <t>Siren Reef - Driftwood 5★ #1BA</t>
  </si>
  <si>
    <t>Siren Reef - Conch 5★ #C6F</t>
  </si>
  <si>
    <t>Siren Reef - Conch 5★ #724</t>
  </si>
  <si>
    <t>Siren Reef - Conch 5★ #1D9</t>
  </si>
  <si>
    <t>Siren Reef - Conch 5★ #C8E</t>
  </si>
  <si>
    <t>Siren Reef - Conch 5★ #743</t>
  </si>
  <si>
    <t>Dead Man Bay - Pistol 1★ #1F8</t>
  </si>
  <si>
    <t>Dead Man Bay - Pistol 1★ #CAD</t>
  </si>
  <si>
    <t>Dead Man Bay - Pistol 1★ #762</t>
  </si>
  <si>
    <t>Dead Man Bay - Pistol 1★ #217</t>
  </si>
  <si>
    <t>Dead Man Bay - Pistol 1★ #CCC</t>
  </si>
  <si>
    <t>Dead Man Bay - Pistol 1★ #781</t>
  </si>
  <si>
    <t>Dead Man Bay - Pistol 1★ #236</t>
  </si>
  <si>
    <t>Dead Man Bay - Pistol 1★ #CEB</t>
  </si>
  <si>
    <t>Dead Man Bay - Pistol 1★ #7A0</t>
  </si>
  <si>
    <t>Dead Man Bay - Pistol 1★ #255</t>
  </si>
  <si>
    <t>Dead Man Bay - Pistol 1★ #D0A</t>
  </si>
  <si>
    <t>Dead Man Bay - Pistol 1★ #7BF</t>
  </si>
  <si>
    <t>Dead Man Bay - Pistol 1★ #274</t>
  </si>
  <si>
    <t>Dead Man Bay - Rum 1★ #D29</t>
  </si>
  <si>
    <t>Dead Man Bay - Rum 1★ #7DE</t>
  </si>
  <si>
    <t>Dead Man Bay - Rum 1★ #293</t>
  </si>
  <si>
    <t>Dead Man Bay - Rum 1★ #D48</t>
  </si>
  <si>
    <t>Dead Man Bay - Rum 1★ #7FD</t>
  </si>
  <si>
    <t>Dead Man Bay - Rum 1★ #2B2</t>
  </si>
  <si>
    <t>Dead Man Bay - Rum 1★ #D67</t>
  </si>
  <si>
    <t>Dead Man Bay - Rum 1★ #81C</t>
  </si>
  <si>
    <t>Dead Man Bay - Rum 1★ #2D1</t>
  </si>
  <si>
    <t>Dead Man Bay - Rum 1★ #D86</t>
  </si>
  <si>
    <t>Dead Man Bay - Rum 1★ #83B</t>
  </si>
  <si>
    <t>Dead Man Bay - Rum 1★ #2F0</t>
  </si>
  <si>
    <t>Dead Man Bay - Rum 1★ #DA5</t>
  </si>
  <si>
    <t>Dead Man Bay - Treasure Map 2★ #85A</t>
  </si>
  <si>
    <t>Dead Man Bay - Treasure Map 2★ #30F</t>
  </si>
  <si>
    <t>Dead Man Bay - Treasure Map 2★ #DC4</t>
  </si>
  <si>
    <t>Dead Man Bay - Treasure Map 2★ #879</t>
  </si>
  <si>
    <t>Dead Man Bay - Treasure Map 2★ #32E</t>
  </si>
  <si>
    <t>Dead Man Bay - Treasure Map 2★ #DE3</t>
  </si>
  <si>
    <t>Dead Man Bay - Treasure Map 2★ #898</t>
  </si>
  <si>
    <t>Dead Man Bay - Treasure Map 2★ #34D</t>
  </si>
  <si>
    <t>Dead Man Bay - Treasure Map 2★ #E02</t>
  </si>
  <si>
    <t>Dead Man Bay - Treasure Map 2★ #8B7</t>
  </si>
  <si>
    <t>Dead Man Bay - Treasure Map 2★ #36C</t>
  </si>
  <si>
    <t>Dead Man Bay - Treasure Map 2★ #E21</t>
  </si>
  <si>
    <t>Dead Man Bay - Jolly Roger 2★ #8D6</t>
  </si>
  <si>
    <t>Dead Man Bay - Jolly Roger 2★ #38B</t>
  </si>
  <si>
    <t>Dead Man Bay - Jolly Roger 2★ #E40</t>
  </si>
  <si>
    <t>Dead Man Bay - Jolly Roger 2★ #8F5</t>
  </si>
  <si>
    <t>Dead Man Bay - Jolly Roger 2★ #3AA</t>
  </si>
  <si>
    <t>Dead Man Bay - Jolly Roger 2★ #E5F</t>
  </si>
  <si>
    <t>Dead Man Bay - Jolly Roger 2★ #914</t>
  </si>
  <si>
    <t>Dead Man Bay - Jolly Roger 2★ #3C9</t>
  </si>
  <si>
    <t>Dead Man Bay - Jolly Roger 2★ #E7E</t>
  </si>
  <si>
    <t>Dead Man Bay - Jolly Roger 2★ #933</t>
  </si>
  <si>
    <t>Dead Man Bay - Jolly Roger 2★ #3E8</t>
  </si>
  <si>
    <t>Dead Man Bay - Jolly Roger 2★ #E9D</t>
  </si>
  <si>
    <t>Dead Man Bay - Gold Tooth 3★ #952</t>
  </si>
  <si>
    <t>Dead Man Bay - Gold Tooth 3★ #407</t>
  </si>
  <si>
    <t>Dead Man Bay - Gold Tooth 3★ #EBC</t>
  </si>
  <si>
    <t>Dead Man Bay - Gold Tooth 3★ #971</t>
  </si>
  <si>
    <t>Dead Man Bay - Gold Tooth 3★ #426</t>
  </si>
  <si>
    <t>Dead Man Bay - Gold Tooth 3★ #EDB</t>
  </si>
  <si>
    <t>Dead Man Bay - Gold Tooth 3★ #990</t>
  </si>
  <si>
    <t>Dead Man Bay - Gold Tooth 3★ #445</t>
  </si>
  <si>
    <t>Dead Man Bay - Gold Tooth 3★ #EFA</t>
  </si>
  <si>
    <t>Dead Man Bay - Gold Tooth 3★ #9AF</t>
  </si>
  <si>
    <t>Dead Man Bay - Gold Tooth 3★ #464</t>
  </si>
  <si>
    <t>Dead Man Bay - Gold Tooth 3★ #F19</t>
  </si>
  <si>
    <t>Dead Man Bay - Gold Tooth 3★ #9CE</t>
  </si>
  <si>
    <t>Dead Man Bay - Dagger 4★ #483</t>
  </si>
  <si>
    <t>Dead Man Bay - Dagger 4★ #F38</t>
  </si>
  <si>
    <t>Dead Man Bay - Dagger 4★ #9ED</t>
  </si>
  <si>
    <t>Dead Man Bay - Dagger 4★ #4A2</t>
  </si>
  <si>
    <t>Dead Man Bay - Dagger 4★ #F57</t>
  </si>
  <si>
    <t>Dead Man Bay - Dagger 4★ #A0C</t>
  </si>
  <si>
    <t>Dead Man Bay - Dagger 4★ #4C1</t>
  </si>
  <si>
    <t>Dead Man Bay - Dagger 4★ #F76</t>
  </si>
  <si>
    <t>Dead Man Bay - Dagger 4★ #A2B</t>
  </si>
  <si>
    <t>Dead Man Bay - Dagger 4★ #4E0</t>
  </si>
  <si>
    <t>Dead Man Bay - Dagger 4★ #F95</t>
  </si>
  <si>
    <t>Dead Man Bay - Bandana 5★ #A4A</t>
  </si>
  <si>
    <t>Dead Man Bay - Bandana 5★ #4FF</t>
  </si>
  <si>
    <t>Dead Man Bay - Bandana 5★ #FB4</t>
  </si>
  <si>
    <t>Dead Man Bay - Bandana 5★ #A69</t>
  </si>
  <si>
    <t>Dead Man Bay - Bandana 5★ #51E</t>
  </si>
  <si>
    <t>Dead Man Bay - Boots 5★ #FD3</t>
  </si>
  <si>
    <t>Dead Man Bay - Boots 5★ #A88</t>
  </si>
  <si>
    <t>Dead Man Bay - Boots 5★ #53D</t>
  </si>
  <si>
    <t>Dead Man Bay - Boots 5★ #FF2</t>
  </si>
  <si>
    <t>Dead Man Bay - Boots 5★ #AA7</t>
  </si>
  <si>
    <t>Dead Man Bay - Beard 5★ #55C</t>
  </si>
  <si>
    <t>Dead Man Bay - Beard 5★ #011</t>
  </si>
  <si>
    <t>Dead Man Bay - Beard 5★ #AC6</t>
  </si>
  <si>
    <t>Dead Man Bay - Beard 5★ #57B</t>
  </si>
  <si>
    <t>Dead Man Bay - Beard 5★ #030</t>
  </si>
  <si>
    <t>ENGAGEMENT GROUPS</t>
  </si>
  <si>
    <t>Group Name</t>
  </si>
  <si>
    <t>Payer?</t>
  </si>
  <si>
    <t>Min Levels/day</t>
  </si>
  <si>
    <t>Max Levels/day</t>
  </si>
  <si>
    <t>Rep. Levels</t>
  </si>
  <si>
    <t>Attendance Days</t>
  </si>
  <si>
    <t>Weekday preference weights</t>
  </si>
  <si>
    <t>No</t>
  </si>
  <si>
    <t>30</t>
  </si>
  <si>
    <t>2/2/2/10/10/25/25</t>
  </si>
  <si>
    <t>Yes</t>
  </si>
  <si>
    <t>300</t>
  </si>
  <si>
    <t>STAR CHEST PURCHASING BEHAVIOR</t>
  </si>
  <si>
    <t>Description</t>
  </si>
  <si>
    <t>Min Stars to Consider Buying</t>
  </si>
  <si>
    <t>Will not purchase below this star balance</t>
  </si>
  <si>
    <t>Urgency Start Day</t>
  </si>
  <si>
    <t>Before this day, buy probability is 0%</t>
  </si>
  <si>
    <t>End-of-Season Buy Probability</t>
  </si>
  <si>
    <t>Probability of buying on Day 28; ramps from 0% at Start Day</t>
  </si>
  <si>
    <t>ATTENDANCE</t>
  </si>
  <si>
    <t>Attendance Array (lvl played)</t>
  </si>
  <si>
    <t>28-DAY SIMULATION SUMMARY (Monte Carlo)</t>
  </si>
  <si>
    <t>KPI</t>
  </si>
  <si>
    <t>Total Packs Opened</t>
  </si>
  <si>
    <t>Total Cards Drawn</t>
  </si>
  <si>
    <t>Unique Cards Collected</t>
  </si>
  <si>
    <t>Duplicate Cards Drawn</t>
  </si>
  <si>
    <t>Stars Earned (duplicates)</t>
  </si>
  <si>
    <t>Stars Spent (chests)</t>
  </si>
  <si>
    <t>Star Balance (end)</t>
  </si>
  <si>
    <t>Bronze Chests Purchased</t>
  </si>
  <si>
    <t>Silver Chests Purchased</t>
  </si>
  <si>
    <t>Gold Chests Purchased</t>
  </si>
  <si>
    <t>Sets Completed (of 8)</t>
  </si>
  <si>
    <t>Dream Album Completed?</t>
  </si>
  <si>
    <t>Day of Dream Album Completion</t>
  </si>
  <si>
    <t>Grand Album Completed?</t>
  </si>
  <si>
    <t>Day of Grand Album Completion</t>
  </si>
  <si>
    <t>Superior Album Completed?</t>
  </si>
  <si>
    <t>Cards Missing (end)</t>
  </si>
  <si>
    <t>Final Collection %</t>
  </si>
  <si>
    <t>SET COMPLETION TRACKER</t>
  </si>
  <si>
    <t>Skull Isle - Day Completed</t>
  </si>
  <si>
    <t>Skull Isle - Cards (X/9)</t>
  </si>
  <si>
    <t>Kraken Lair - Day Completed</t>
  </si>
  <si>
    <t>Kraken Lair - Cards (X/9)</t>
  </si>
  <si>
    <t>Gold Cove - Day Completed</t>
  </si>
  <si>
    <t>Gold Cove - Cards (X/9)</t>
  </si>
  <si>
    <t>Ghost Ship - Day Completed</t>
  </si>
  <si>
    <t>Ghost Ship - Cards (X/9)</t>
  </si>
  <si>
    <t>Storm Port - Day Completed</t>
  </si>
  <si>
    <t>Storm Port - Cards (X/9)</t>
  </si>
  <si>
    <t>Cannon Fort - Day Completed</t>
  </si>
  <si>
    <t>Cannon Fort - Cards (X/9)</t>
  </si>
  <si>
    <t>Siren Reef - Day Completed</t>
  </si>
  <si>
    <t>Siren Reef - Cards (X/9)</t>
  </si>
  <si>
    <t>Dead Man Bay - Day Completed</t>
  </si>
  <si>
    <t>Dead Man Bay - Cards (X/9)</t>
  </si>
  <si>
    <t>ALBUM TIER TRACKER</t>
  </si>
  <si>
    <t>Dream Album - Day Reached</t>
  </si>
  <si>
    <t>Dream Album - Total Cards Drawn</t>
  </si>
  <si>
    <t>Grand Album - Day Reached</t>
  </si>
  <si>
    <t>Grand Album - Total Cards Drawn</t>
  </si>
  <si>
    <t>Superior Album - Day Reached</t>
  </si>
  <si>
    <t>Superior Album - Total Cards Drawn</t>
  </si>
  <si>
    <t>All cells populated by Monte Carlo simulation (Apps Script).</t>
  </si>
  <si>
    <t>INDIVIDUAL SIMULATION LOG</t>
  </si>
  <si>
    <t>Selected Group:</t>
  </si>
  <si>
    <t>Sim Seed:</t>
  </si>
  <si>
    <t>RUNNING TOTALS (per day)</t>
  </si>
  <si>
    <t>Star Balance</t>
  </si>
  <si>
    <t>% Complete</t>
  </si>
  <si>
    <t>Sets Done</t>
  </si>
  <si>
    <t>SIMULATION TALLY</t>
  </si>
  <si>
    <t>Metric</t>
  </si>
  <si>
    <t>Duplicate Cards</t>
  </si>
  <si>
    <t>Stars Earned</t>
  </si>
  <si>
    <t>Stars Spent on Chests</t>
  </si>
  <si>
    <t>Final Star Balance</t>
  </si>
  <si>
    <t>Sets Completed</t>
  </si>
  <si>
    <t>Album Tier Reached</t>
  </si>
  <si>
    <t>Day Album Completed</t>
  </si>
  <si>
    <t>DAY-BY-DAY PACK LOG (OUTPUT)</t>
  </si>
  <si>
    <t>PACKS RESULT</t>
  </si>
  <si>
    <t>Pack</t>
  </si>
  <si>
    <t>Album</t>
  </si>
  <si>
    <t>Cards Drawn</t>
  </si>
  <si>
    <t>New</t>
  </si>
  <si>
    <t>Dupes</t>
  </si>
  <si>
    <t>Album #1</t>
  </si>
  <si>
    <t>album1</t>
  </si>
  <si>
    <t>album2</t>
  </si>
  <si>
    <t>album3</t>
  </si>
  <si>
    <t>(nothing)</t>
  </si>
  <si>
    <t>Main</t>
  </si>
  <si>
    <t>Set #1</t>
  </si>
  <si>
    <t>Set #2</t>
  </si>
  <si>
    <t>Set #3</t>
  </si>
  <si>
    <t>rough</t>
  </si>
  <si>
    <t>pack ★</t>
  </si>
  <si>
    <t>$</t>
  </si>
  <si>
    <t>Set #4</t>
  </si>
  <si>
    <t>Set #5</t>
  </si>
  <si>
    <t>Set #6</t>
  </si>
  <si>
    <t>Kraken Lair - Shell 2★, Skull Isle - Compass 1★</t>
  </si>
  <si>
    <t>Skull Isle - Helm 2★, Gold Cove - Scepter 5★, Cannon Fort - Tower 4★, Kraken Lair - Trident 1★</t>
  </si>
  <si>
    <t>Kraken Lair - Coral 2★, Cannon Fort - Ramrod 2★, Storm Port - Barrel 1★, Siren Reef - Driftwood 5★, Cannon Fort - Powder 1★</t>
  </si>
  <si>
    <t>Dead Man Bay - Pistol 1★, Skull Isle - Anchor 1★, Ghost Ship - Sail 1★, Kraken Lair - Pearl 1★, Skull Isle - Anchor 1★</t>
  </si>
  <si>
    <t>Dead Man Bay - Pistol 1★, Skull Isle - Anchor 1★, Ghost Ship - Sail 1★, Kraken Lair - Pearl 1★</t>
  </si>
  <si>
    <t>Skull Isle - Anchor 1★</t>
  </si>
  <si>
    <t>Skull Isle - Helm 2★, Skull Isle - Map 1★, Storm Port - Lightning 1★, Kraken Lair - Lantern 3★, Gold Cove - Doubloon 1★, Kraken Lair - Ink Cloud 1★</t>
  </si>
  <si>
    <t>Skull Isle - Map 1★, Storm Port - Lightning 1★, Kraken Lair - Lantern 3★, Gold Cove - Doubloon 1★, Kraken Lair - Ink Cloud 1★</t>
  </si>
  <si>
    <t>Skull Isle - Helm 2★</t>
  </si>
  <si>
    <t>Set #7</t>
  </si>
  <si>
    <t>Set #8</t>
  </si>
  <si>
    <t>Skull Isle - Map 1★, Storm Port - Lightning 1★</t>
  </si>
  <si>
    <t>Kraken Lair - Shell 2★, Skull Isle - Skull 3★, Gold Cove - Doubloon 1★, Kraken Lair - Ink Cloud 1★</t>
  </si>
  <si>
    <t>Skull Isle - Skull 3★</t>
  </si>
  <si>
    <t>Kraken Lair - Shell 2★, Gold Cove - Doubloon 1★, Kraken Lair - Ink Cloud 1★</t>
  </si>
  <si>
    <t>Gold Cove - Diamond 2★, Skull Isle - Cutlass 2★</t>
  </si>
  <si>
    <t>Skull Isle - Chest 3★, Kraken Lair - Ink Cloud 1★, Cannon Fort - Ramrod 2★, Cannon Fort - Powder 1★</t>
  </si>
  <si>
    <t>Skull Isle - Chest 3★</t>
  </si>
  <si>
    <t>Kraken Lair - Ink Cloud 1★, Cannon Fort - Ramrod 2★, Cannon Fort - Powder 1★</t>
  </si>
  <si>
    <t>Album #2</t>
  </si>
  <si>
    <t>Cannon Fort - Ramrod 2★, Storm Port - Lighthouse 5★</t>
  </si>
  <si>
    <t>Storm Port - Lighthouse 5★</t>
  </si>
  <si>
    <t>Cannon Fort - Ramrod 2★</t>
  </si>
  <si>
    <t>Kraken Lair - Pearl 1★, Cannon Fort - Fuse 2★</t>
  </si>
  <si>
    <t>Cannon Fort - Fuse 2★</t>
  </si>
  <si>
    <t>Kraken Lair - Pearl 1★</t>
  </si>
  <si>
    <t>Skull Isle - Anchor 1★, Gold Cove - Ruby 1★, Storm Port - Barrel 1★, Kraken Lair - Pearl 1★</t>
  </si>
  <si>
    <t>Gold Cove - Ruby 1★</t>
  </si>
  <si>
    <t>Skull Isle - Anchor 1★, Storm Port - Barrel 1★, Kraken Lair - Pearl 1★</t>
  </si>
  <si>
    <t>Skull Isle - Anchor 1★, Dead Man Bay - Treasure Map 2★, Kraken Lair - Shell 2★, Skull Isle - Anchor 1★, Kraken Lair - Trident 1★</t>
  </si>
  <si>
    <t>Dead Man Bay - Treasure Map 2★</t>
  </si>
  <si>
    <t>Skull Isle - Anchor 1★, Kraken Lair - Shell 2★, Skull Isle - Anchor 1★, Kraken Lair - Trident 1★</t>
  </si>
  <si>
    <t>Skull Isle - Map 1★, Gold Cove - Crown 2★, Siren Reef - Starfish 3★, Kraken Lair - Pearl 1★, Cannon Fort - Catapult 5★</t>
  </si>
  <si>
    <t>Gold Cove - Crown 2★, Siren Reef - Starfish 3★, Cannon Fort - Catapult 5★</t>
  </si>
  <si>
    <t>Skull Isle - Map 1★, Kraken Lair - Pearl 1★</t>
  </si>
  <si>
    <t>Skull Isle - Chest 3★, Storm Port - Barrel 1★, Gold Cove - Ruby 1★, Cannon Fort - Fuse 2★, Cannon Fort - Tower 4★, Ghost Ship - Chain 4★</t>
  </si>
  <si>
    <t>Ghost Ship - Chain 4★</t>
  </si>
  <si>
    <t>Skull Isle - Chest 3★, Storm Port - Barrel 1★, Gold Cove - Ruby 1★, Cannon Fort - Fuse 2★, Cannon Fort - Tower 4★</t>
  </si>
  <si>
    <t>Ghost Ship - Ghost Lamp 2★, Storm Port - Flare 3★</t>
  </si>
  <si>
    <t>Gold Cove - Goblet 3★, Gold Cove - Ring 4★, Skull Isle - Spyglass 1★, Skull Isle - Compass 1★</t>
  </si>
  <si>
    <t>Gold Cove - Goblet 3★, Gold Cove - Ring 4★, Skull Isle - Spyglass 1★</t>
  </si>
  <si>
    <t>Skull Isle - Compass 1★</t>
  </si>
  <si>
    <t>Kraken Lair - Hook 3★, Gold Cove - Doubloon 1★</t>
  </si>
  <si>
    <t>Kraken Lair - Hook 3★</t>
  </si>
  <si>
    <t>Gold Cove - Doubloon 1★</t>
  </si>
  <si>
    <t>Cannon Fort - War Flag 3★, Skull Isle - Cutlass 2★, Ghost Ship - Flag 4★, Storm Port - Cleat 2★</t>
  </si>
  <si>
    <t>Cannon Fort - War Flag 3★, Ghost Ship - Flag 4★, Storm Port - Cleat 2★</t>
  </si>
  <si>
    <t>Skull Isle - Cutlass 2★</t>
  </si>
  <si>
    <t>Kraken Lair - Tentacle 1★, Ghost Ship - Ghost Lamp 2★, Ghost Ship - Flag 4★</t>
  </si>
  <si>
    <t>Kraken Lair - Tentacle 1★</t>
  </si>
  <si>
    <t>Ghost Ship - Ghost Lamp 2★, Ghost Ship - Flag 4★</t>
  </si>
  <si>
    <t>Skull Isle - Anchor 1★, Dead Man Bay - Dagger 4★, Kraken Lair - Tentacle 1★, Storm Port - Lightning 1★</t>
  </si>
  <si>
    <t>Dead Man Bay - Dagger 4★</t>
  </si>
  <si>
    <t>Skull Isle - Anchor 1★, Kraken Lair - Tentacle 1★, Storm Port - Lightning 1★</t>
  </si>
  <si>
    <t>Album #3</t>
  </si>
  <si>
    <t>Skull Isle - Spyglass 1★, Ghost Ship - Sail 1★</t>
  </si>
  <si>
    <t>Gold Cove - Emerald 1★, Ghost Ship - Ghost Lamp 2★, Skull Isle - Cutlass 2★, Skull Isle - Parrot 2★</t>
  </si>
  <si>
    <t>Gold Cove - Emerald 1★, Skull Isle - Parrot 2★</t>
  </si>
  <si>
    <t>Ghost Ship - Ghost Lamp 2★, Skull Isle - Cutlass 2★</t>
  </si>
  <si>
    <t>Set 1 completed | Rewards: Coins: 300, Red: 2, Unlimited Lives: 30 | packs opened: 1★: 8, 2★: 1, 3★: 8, 4★: 4, 5★: 2</t>
  </si>
  <si>
    <t>Kraken Lair - Tentacle 1★, Ghost Ship - Nest 3★, Kraken Lair - Eyepatch 4★, Ghost Ship - Fog Horn 1★, Gold Cove - Doubloon 1★</t>
  </si>
  <si>
    <t>Ghost Ship - Nest 3★, Kraken Lair - Eyepatch 4★, Ghost Ship - Fog Horn 1★</t>
  </si>
  <si>
    <t>Kraken Lair - Tentacle 1★, Gold Cove - Doubloon 1★</t>
  </si>
  <si>
    <t>Set 2 completed | Rewards: Coins: 200, Chuck: 2 | packs opened: 1★: 8, 2★: 1, 3★: 8, 4★: 5, 5★: 2</t>
  </si>
  <si>
    <t>Ghost Ship - Sail 1★, Ghost Ship - Flag 4★, Ghost Ship - Sail 1★, Gold Cove - Doubloon 1★, Cannon Fort - Ramrod 2★</t>
  </si>
  <si>
    <t>Ghost Ship - Ghost Lamp 2★, Storm Port - Barrel 1★, Kraken Lair - Trident 1★, Gold Cove - Doubloon 1★, Skull Isle - Anchor 1★, Storm Port - Lightning 1★</t>
  </si>
  <si>
    <t>Storm Port - Rope 2★, Ghost Ship - Key 2★</t>
  </si>
  <si>
    <t>Kraken Lair - Pearl 1★, Gold Cove - Diamond 2★, Gold Cove - Diamond 2★, Gold Cove - Emerald 1★</t>
  </si>
  <si>
    <t>Skull Isle - Skull 3★, Gold Cove - Emerald 1★</t>
  </si>
  <si>
    <t>Siren Reef - Driftwood 5★, Cannon Fort - Tower 4★, Gold Cove - Necklace 4★, Skull Isle - Compass 1★</t>
  </si>
  <si>
    <t>Gold Cove - Necklace 4★</t>
  </si>
  <si>
    <t>Siren Reef - Driftwood 5★, Cannon Fort - Tower 4★, Skull Isle - Compass 1★</t>
  </si>
  <si>
    <t>Set 3 completed | Rewards: Coins: 100, Bomb: 2 | packs opened: 1★: 10, 2★: 1, 3★: 10, 4★: 6, 5★: 3</t>
  </si>
  <si>
    <t>Gold Cove - Ruby 1★, Skull Isle - Map 1★, Cannon Fort - Catapult 5★, Cannon Fort - Cannonball 1★</t>
  </si>
  <si>
    <t>Cannon Fort - Cannonball 1★</t>
  </si>
  <si>
    <t>Gold Cove - Ruby 1★, Skull Isle - Map 1★, Cannon Fort - Catapult 5★</t>
  </si>
  <si>
    <t>Dead Man Bay - Jolly Roger 2★, Cannon Fort - War Flag 3★, Kraken Lair - Tentacle 1★</t>
  </si>
  <si>
    <t>Dead Man Bay - Jolly Roger 2★</t>
  </si>
  <si>
    <t>Cannon Fort - War Flag 3★, Kraken Lair - Tentacle 1★</t>
  </si>
  <si>
    <t>Ghost Ship - Sail 1★, Kraken Lair - Eyepatch 4★, Ghost Ship - Nest 3★, Ghost Ship - Plank 3★</t>
  </si>
  <si>
    <t>Ghost Ship - Plank 3★</t>
  </si>
  <si>
    <t>Ghost Ship - Sail 1★, Kraken Lair - Eyepatch 4★, Ghost Ship - Nest 3★</t>
  </si>
  <si>
    <t>Ghost Ship - Fog Horn 1★, Kraken Lair - Tentacle 1★, Kraken Lair - Trident 1★</t>
  </si>
  <si>
    <t>Siren Reef - Mirror 1★, Kraken Lair - Coral 2★</t>
  </si>
  <si>
    <t>Siren Reef - Mirror 1★</t>
  </si>
  <si>
    <t>Kraken Lair - Coral 2★</t>
  </si>
  <si>
    <t>Storm Port - Lightning 1★, Gold Cove - Ring 4★, Cannon Fort - Cannonball 1★, Ghost Ship - Chain 4★</t>
  </si>
  <si>
    <t>Gold Cove - Ring 4★, Cannon Fort - Ramrod 2★, Siren Reef - Witch 2★, Ghost Ship - Fog Horn 1★, Siren Reef - Mirror 1★</t>
  </si>
  <si>
    <t>Siren Reef - Witch 2★</t>
  </si>
  <si>
    <t>Gold Cove - Ring 4★, Cannon Fort - Ramrod 2★, Ghost Ship - Fog Horn 1★, Siren Reef - Mirror 1★</t>
  </si>
  <si>
    <t>Storm Port - Barrel 1★, Gold Cove - Emerald 1★, Ghost Ship - Sail 1★, Cannon Fort - Tower 4★, Storm Port - Lighthouse 5★</t>
  </si>
  <si>
    <t>Gold Cove - Doubloon 1★, Cannon Fort - Powder 1★, Skull Isle - Anchor 1★, Skull Isle - Map 1★, Siren Reef - Starfish 3★, Dead Man Bay - Rum 1★</t>
  </si>
  <si>
    <t>Dead Man Bay - Rum 1★</t>
  </si>
  <si>
    <t>Gold Cove - Doubloon 1★, Cannon Fort - Powder 1★, Skull Isle - Anchor 1★, Skull Isle - Map 1★, Siren Reef - Starfish 3★</t>
  </si>
  <si>
    <t>Ghost Ship - Fog Horn 1★, Kraken Lair - Pearl 1★</t>
  </si>
  <si>
    <t>Storm Port - Flare 3★, Cannon Fort - Cannonball 1★, Ghost Ship - Flag 4★, Gold Cove - Crown 2★</t>
  </si>
  <si>
    <t>Dead Man Bay - Rum 1★, Cannon Fort - Fuse 2★</t>
  </si>
  <si>
    <t>Siren Reef - Harp 1★, Ghost Ship - Sail 1★, Ghost Ship - Ghost Lamp 2★, Gold Cove - Goblet 3★</t>
  </si>
  <si>
    <t>Siren Reef - Harp 1★</t>
  </si>
  <si>
    <t>Ghost Ship - Sail 1★, Ghost Ship - Ghost Lamp 2★, Gold Cove - Goblet 3★</t>
  </si>
  <si>
    <t>Ghost Ship - Plank 3★, Skull Isle - Spyglass 1★, Gold Cove - Emerald 1★</t>
  </si>
  <si>
    <t>Storm Port - Rope 2★, Storm Port - Rope 2★</t>
  </si>
  <si>
    <t>Skull Isle - Map 1★, Cannon Fort - Powder 1★, Skull Isle - Cutlass 2★, Gold Cove - Necklace 4★</t>
  </si>
  <si>
    <t>Storm Port - Rope 2★, Dead Man Bay - Gold Tooth 3★</t>
  </si>
  <si>
    <t>Dead Man Bay - Gold Tooth 3★</t>
  </si>
  <si>
    <t>Storm Port - Rope 2★</t>
  </si>
  <si>
    <t>Siren Reef - Harp 1★, Storm Port - Cleat 2★, Skull Isle - Compass 1★, Storm Port - Bucket 4★</t>
  </si>
  <si>
    <t>Storm Port - Bucket 4★</t>
  </si>
  <si>
    <t>Siren Reef - Harp 1★, Storm Port - Cleat 2★, Skull Isle - Compass 1★</t>
  </si>
  <si>
    <t>Ghost Ship - Key 2★, Storm Port - Rope 2★, Siren Reef - Witch 2★, Kraken Lair - Pearl 1★, Skull Isle - Anchor 1★</t>
  </si>
  <si>
    <t>Siren Reef - Starfish 3★, Kraken Lair - Trident 1★, Kraken Lair - Lantern 3★, Storm Port - Barrel 1★, Siren Reef - Witch 2★</t>
  </si>
  <si>
    <t>Cannon Fort - Cannonball 1★, Storm Port - Rope 2★, Siren Reef - Moonstone 4★, Kraken Lair - Tentacle 1★, Kraken Lair - Ink Cloud 1★, Gold Cove - Ruby 1★</t>
  </si>
  <si>
    <t>Siren Reef - Moonstone 4★</t>
  </si>
  <si>
    <t>Cannon Fort - Cannonball 1★, Storm Port - Rope 2★, Kraken Lair - Tentacle 1★, Kraken Lair - Ink Cloud 1★, Gold Cove - Ruby 1★</t>
  </si>
  <si>
    <t>Cannon Fort - Fuse 2★, Skull Isle - Spyglass 1★</t>
  </si>
  <si>
    <t>Gold Cove - Crown 2★, Dead Man Bay - Pistol 1★, Ghost Ship - Plank 3★, Storm Port - Lightning 1★</t>
  </si>
  <si>
    <t>Kraken Lair - Tentacle 1★, Dead Man Bay - Boots 5★</t>
  </si>
  <si>
    <t>Dead Man Bay - Boots 5★</t>
  </si>
  <si>
    <t>Cannon Fort - Bridge 5★, Skull Isle - Compass 1★, Kraken Lair - Eyepatch 4★, Kraken Lair - Pearl 1★</t>
  </si>
  <si>
    <t>Cannon Fort - Bridge 5★</t>
  </si>
  <si>
    <t>Skull Isle - Compass 1★, Kraken Lair - Eyepatch 4★, Kraken Lair - Pearl 1★</t>
  </si>
  <si>
    <t>Siren Reef - Mirror 1★, Ghost Ship - Key 2★</t>
  </si>
  <si>
    <t>Gold Cove - Crown 2★, Dead Man Bay - Pistol 1★, Skull Isle - Skull 3★, Kraken Lair - Trident 1★</t>
  </si>
  <si>
    <t>Storm Port - Barrel 1★, Storm Port - Lighthouse 5★, Siren Reef - Comb 2★, Ghost Ship - Key 2★, Skull Isle - Spyglass 1★</t>
  </si>
  <si>
    <t>Siren Reef - Comb 2★</t>
  </si>
  <si>
    <t>Storm Port - Barrel 1★, Storm Port - Lighthouse 5★, Ghost Ship - Key 2★, Skull Isle - Spyglass 1★</t>
  </si>
  <si>
    <t>Gold Cove - Ruby 1★, Siren Reef - Comb 2★, Ghost Ship - Sail 1★, Gold Cove - Doubloon 1★, Dead Man Bay - Treasure Map 2★</t>
  </si>
  <si>
    <t>Dead Man Bay - Treasure Map 2★, Skull Isle - Compass 1★, Kraken Lair - Tentacle 1★, Skull Isle - Map 1★, Skull Isle - Parrot 2★, Kraken Lair - Hook 3★</t>
  </si>
  <si>
    <t>Storm Port - Cleat 2★, Kraken Lair - Hook 3★</t>
  </si>
  <si>
    <t>Siren Reef - Witch 2★, Dead Man Bay - Jolly Roger 2★, Dead Man Bay - Dagger 4★, Storm Port - Windmill 4★</t>
  </si>
  <si>
    <t>Storm Port - Windmill 4★</t>
  </si>
  <si>
    <t>Siren Reef - Witch 2★, Dead Man Bay - Jolly Roger 2★, Dead Man Bay - Dagger 4★</t>
  </si>
  <si>
    <t>Storm Port - Flare 3★, Kraken Lair - Eyepatch 4★</t>
  </si>
  <si>
    <t>Skull Isle - Map 1★, Cannon Fort - War Flag 3★, Ghost Ship - Ghost Lamp 2★, Ghost Ship - Key 2★</t>
  </si>
  <si>
    <t>Dead Man Bay - Pistol 1★, Kraken Lair - Pearl 1★, Kraken Lair - Ink Cloud 1★, Skull Isle - Chest 3★</t>
  </si>
  <si>
    <t>Siren Reef - Mirror 1★, Ghost Ship - Log 5★</t>
  </si>
  <si>
    <t>Ghost Ship - Log 5★</t>
  </si>
  <si>
    <t>Set 4 completed | Rewards: Red: 1 | packs opened: 1★: 21, 2★: 4, 3★: 23, 4★: 12, 5★: 6</t>
  </si>
  <si>
    <t>Kraken Lair - Coral 2★, Gold Cove - Crown 2★, Siren Reef - Witch 2★</t>
  </si>
  <si>
    <t>Ghost Ship - Nest 3★, Skull Isle - Parrot 2★</t>
  </si>
  <si>
    <t>Bronze Chest Opened - 1-star Pack</t>
  </si>
  <si>
    <t>Skull Isle - Skull 3★, Skull Isle - Anchor 1★</t>
  </si>
  <si>
    <t>Dead Man Bay - Rum 1★, Kraken Lair - Hook 3★, Ghost Ship - Fog Horn 1★, Dead Man Bay - Bandana 5★</t>
  </si>
  <si>
    <t>Dead Man Bay - Bandana 5★</t>
  </si>
  <si>
    <t>Dead Man Bay - Rum 1★, Kraken Lair - Hook 3★, Ghost Ship - Fog Horn 1★</t>
  </si>
  <si>
    <t>Storm Port - Flare 3★, Kraken Lair - Ink Cloud 1★, Gold Cove - Emerald 1★, Kraken Lair - Lantern 3★, Skull Isle - Map 1★</t>
  </si>
  <si>
    <t>Siren Reef - Starfish 3★, Ghost Ship - Log 5★, Siren Reef - Harp 1★, Storm Port - Windmill 4★, Gold Cove - Ring 4★</t>
  </si>
  <si>
    <t>Dead Man Bay - Jolly Roger 2★, Gold Cove - Diamond 2★, Siren Reef - Comb 2★, Kraken Lair - Shell 2★, Ghost Ship - Fog Horn 1★, Gold Cove - Doubloon 1★</t>
  </si>
  <si>
    <t>Ghost Ship - Flag 4★, Siren Reef - Wave 5★</t>
  </si>
  <si>
    <t>Siren Reef - Wave 5★</t>
  </si>
  <si>
    <t>Ghost Ship - Flag 4★</t>
  </si>
  <si>
    <t>Skull Isle - Spyglass 1★, Storm Port - Cleat 2★, Storm Port - Cleat 2★, Gold Cove - Ruby 1★</t>
  </si>
  <si>
    <t>Kraken Lair - Trident 1★, Storm Port - Bucket 4★</t>
  </si>
  <si>
    <t>Cannon Fort - Cannonball 1★, Skull Isle - Compass 1★, Gold Cove - Diamond 2★, Siren Reef - Harp 1★</t>
  </si>
  <si>
    <t>Cannon Fort - Bridge 5★, Siren Reef - Comb 2★, Kraken Lair - Coral 2★, Storm Port - Drum 5★</t>
  </si>
  <si>
    <t>Storm Port - Drum 5★</t>
  </si>
  <si>
    <t>Cannon Fort - Bridge 5★, Siren Reef - Comb 2★, Kraken Lair - Coral 2★</t>
  </si>
  <si>
    <t>Set 5 completed | Rewards: Chuck: 1 | packs opened: 1★: 25, 2★: 5, 3★: 27, 4★: 14, 5★: 7</t>
  </si>
  <si>
    <t>Cannon Fort - Fuse 2★, Skull Isle - Map 1★, Gold Cove - Goblet 3★</t>
  </si>
  <si>
    <t>Dead Man Bay - Dagger 4★, Gold Cove - Ruby 1★, Cannon Fort - Ramrod 2★</t>
  </si>
  <si>
    <t>Ghost Ship - Flag 4★, Storm Port - Cleat 2★, Storm Port - Cleat 2★, Skull Isle - Helm 2★</t>
  </si>
  <si>
    <t>Cannon Fort - Ramrod 2★, Ghost Ship - Key 2★, Ghost Ship - Nest 3★, Dead Man Bay - Beard 5★</t>
  </si>
  <si>
    <t>Dead Man Bay - Beard 5★</t>
  </si>
  <si>
    <t>Cannon Fort - Ramrod 2★, Ghost Ship - Key 2★, Ghost Ship - Nest 3★</t>
  </si>
  <si>
    <t>Set 8 completed | Rewards: Shuffle: 1 | packs opened: 1★: 25, 2★: 7, 3★: 29, 4★: 14, 5★: 7</t>
  </si>
  <si>
    <t>Dead Man Bay - Rum 1★, Ghost Ship - Plank 3★, Kraken Lair - Lantern 3★, Storm Port - Barrel 1★</t>
  </si>
  <si>
    <t>Gold Cove - Doubloon 1★, Siren Reef - Starfish 3★</t>
  </si>
  <si>
    <t>Dead Man Bay - Rum 1★, Dead Man Bay - Dagger 4★, Gold Cove - Diamond 2★, Dead Man Bay - Treasure Map 2★</t>
  </si>
  <si>
    <t>Skull Isle - Cutlass 2★, Kraken Lair - Pearl 1★, Storm Port - Flare 3★, Dead Man Bay - Treasure Map 2★, Siren Reef - Conch 5★</t>
  </si>
  <si>
    <t>Siren Reef - Conch 5★</t>
  </si>
  <si>
    <t>Skull Isle - Cutlass 2★, Kraken Lair - Pearl 1★, Storm Port - Flare 3★, Dead Man Bay - Treasure Map 2★</t>
  </si>
  <si>
    <t>Set 7 completed | Rewards: Slingshot: 1 | packs opened: 1★: 26, 2★: 7, 3★: 31, 4★: 15, 5★: 7</t>
  </si>
  <si>
    <t>Kraken Lair - Trident 1★, Skull Isle - Compass 1★, Siren Reef - Starfish 3★, Cannon Fort - War Flag 3★, Storm Port - Lightning 1★</t>
  </si>
  <si>
    <t>Siren Reef - Mirror 1★, Siren Reef - Starfish 3★, Skull Isle - Spyglass 1★, Cannon Fort - Cannonball 1★, Skull Isle - Anchor 1★, Siren Reef - Mirror 1★</t>
  </si>
  <si>
    <t>Storm Port - Windmill 4★, Siren Reef - Harp 1★, Skull Isle - Helm 2★</t>
  </si>
  <si>
    <t>Dead Man Bay - Treasure Map 2★, Gold Cove - Ruby 1★, Cannon Fort - Horn 5★</t>
  </si>
  <si>
    <t>Cannon Fort - Horn 5★</t>
  </si>
  <si>
    <t>Dead Man Bay - Treasure Map 2★, Gold Cove - Ruby 1★</t>
  </si>
  <si>
    <t>Main → Super | Album rewards: Coins: 500, Red: 1 | Pool leftover: 1★=130, 2★=129, 3★=100, 4★=80, 5★=47 (486 total) ====== Set 6 completed | Rewards: Bomb: 1 | packs opened: 1★: 26, 2★: 9, 3★: 31, 4★: 16, 5★: 8</t>
  </si>
  <si>
    <t>Super</t>
  </si>
  <si>
    <t>Skull Isle - Chest 3★, Gold Cove - Diamond 2★, Cannon Fort - Powder 1★</t>
  </si>
  <si>
    <t>Skull Isle - Spyglass 1★, Ghost Ship - Sail 1★, Siren Reef - Starfish 3★</t>
  </si>
  <si>
    <t>Cannon Fort - Cannonball 1★, Ghost Ship - Plank 3★</t>
  </si>
  <si>
    <t>Cannon Fort - Catapult 5★, Skull Isle - Parrot 2★</t>
  </si>
  <si>
    <t>Kraken Lair - Ink Cloud 1★, Gold Cove - Diamond 2★, Kraken Lair - Coral 2★, Kraken Lair - Shell 2★</t>
  </si>
  <si>
    <t>Kraken Lair - Ink Cloud 1★, Kraken Lair - Coral 2★, Kraken Lair - Shell 2★</t>
  </si>
  <si>
    <t>Gold Cove - Diamond 2★</t>
  </si>
  <si>
    <t>Ghost Ship - Plank 3★, Gold Cove - Emerald 1★</t>
  </si>
  <si>
    <t>Gold Cove - Emerald 1★</t>
  </si>
  <si>
    <t>Kraken Lair - Eyepatch 4★, Skull Isle - Map 1★, Cannon Fort - Cannonball 1★, Kraken Lair - Pearl 1★</t>
  </si>
  <si>
    <t>Kraken Lair - Eyepatch 4★, Skull Isle - Map 1★, Kraken Lair - Pearl 1★</t>
  </si>
  <si>
    <t>EcoGainsSim PlybyPly</t>
  </si>
  <si>
    <t>Calendar</t>
  </si>
  <si>
    <t>Day to Simulate (1-33)</t>
  </si>
  <si>
    <t>Mode</t>
  </si>
  <si>
    <t>Sampled</t>
  </si>
  <si>
    <t>Luck (progress + placement)</t>
  </si>
  <si>
    <t>Seed (Sampled mode)</t>
  </si>
  <si>
    <t>Levels Played (blank = auto)</t>
  </si>
  <si>
    <t>Starting Saga Level (blank = rnd 100-400)</t>
  </si>
  <si>
    <t>Opening Inventory (optional - read by the ledger; 0 = start empty)</t>
  </si>
  <si>
    <t>Player Profile</t>
  </si>
  <si>
    <t>data_streaks</t>
  </si>
  <si>
    <t>Win rate</t>
  </si>
  <si>
    <t>52.6%</t>
  </si>
  <si>
    <t>P(win | prev win)</t>
  </si>
  <si>
    <t>78.6%</t>
  </si>
  <si>
    <t>data_streaks — streak persistence incl. OOM saves</t>
  </si>
  <si>
    <t>Max win streak / day (p50)</t>
  </si>
  <si>
    <t>Mean streak length</t>
  </si>
  <si>
    <t>Login streak (p50)</t>
  </si>
  <si>
    <t>data_seg_beh → Daily Gift cycle day</t>
  </si>
  <si>
    <t>NS max streak (p50)</t>
  </si>
  <si>
    <t>data_seg_beh → Night Sky night</t>
  </si>
  <si>
    <t>Daily Gift claim rate</t>
  </si>
  <si>
    <t>89.5%</t>
  </si>
  <si>
    <t>data_seg_beh</t>
  </si>
  <si>
    <t>P(active weekday / weekend)</t>
  </si>
  <si>
    <t>36.1% / 33.6%</t>
  </si>
  <si>
    <t>data_seg_beh — sim conditions on playing</t>
  </si>
  <si>
    <t>Active Events on This Day (sim - spills one row per running event + per session-start claim)</t>
  </si>
  <si>
    <t>Family</t>
  </si>
  <si>
    <t>Inst (days)</t>
  </si>
  <si>
    <t>Event day</t>
  </si>
  <si>
    <t>Ends today?</t>
  </si>
  <si>
    <t>Progress @ start</t>
  </si>
  <si>
    <t>Accrual today</t>
  </si>
  <si>
    <t>Next milestone</t>
  </si>
  <si>
    <t>End-of-day payout</t>
  </si>
  <si>
    <t>token</t>
  </si>
  <si>
    <t>6–9</t>
  </si>
  <si>
    <t>4 / 4</t>
  </si>
  <si>
    <t>+0.06 / win</t>
  </si>
  <si>
    <t>m2 @ 51.25 → {Coins: 10, Chuck: 1}</t>
  </si>
  <si>
    <t>—</t>
  </si>
  <si>
    <t>rm</t>
  </si>
  <si>
    <t>+341.68 / win</t>
  </si>
  <si>
    <t>m12 @ 18410 → {Coins: 35, Shuffle: 1}</t>
  </si>
  <si>
    <t>lb</t>
  </si>
  <si>
    <t>8–9</t>
  </si>
  <si>
    <t>2 / 2</t>
  </si>
  <si>
    <t>{Slingshot: 1} (rank 6)</t>
  </si>
  <si>
    <t>9–9</t>
  </si>
  <si>
    <t>1 / 1</t>
  </si>
  <si>
    <t>{} (rank 2 — below ladder / pays nothing)</t>
  </si>
  <si>
    <t>nightsky</t>
  </si>
  <si>
    <t>claim @ S</t>
  </si>
  <si>
    <t>{Slingshot: 0.8, Shuffle: 0.2} (cycle day 3 (login streak p50))</t>
  </si>
  <si>
    <t>{Unlimited Lives: 60} (opt-in grant (1h UL, design-PDF constant))</t>
  </si>
  <si>
    <t>Assumptions &amp; Flags (model spec: SIMULATION_METHODOLOGY.md §14)</t>
  </si>
  <si>
    <t>1. N plays / win rate / streak persistence from data_streaks; the sim CONDITIONS on the player being active and participating in every running event.</t>
  </si>
  <si>
    <t>2. The player is NOT fresh: they walk in at Starting Saga Level (input, or seeded random 100-400); the Level column is the absolute saga level.</t>
  </si>
  <si>
    <t>3. Event progress @ session start = final_balance_p25/50/75 (Luck) × accrual-curve share(k−1); milestones banked on earlier days never appear in this ledger.</t>
  </si>
  <si>
    <t>4. Score events are streak-driven off their config ladders (Ki_v2 steps / TaD_v2 multipliers), scaled so the day total hits the measured target - model = shape, measurement = level.</t>
  </si>
  <si>
    <t>5. LB payouts land on row E only for instances ending today, at the Luck percentile of position_pXX (Sampled: seeded ±0.25-quantile jitter; deterministic per Seed).</t>
  </si>
  <si>
    <t>6. Saga pays at config node boundaries anchored to the ABSOLUTE level (10-level nodes cycling every 100: level 240 = node 4). Core chapter chests NOT simulated.</t>
  </si>
  <si>
    <t>7. Daily Gift = login-streak-p50 cycle day, equal-weight average of config variant ladders; Night Sky pays only on the exact milestone night (daily_max_streak_p50).</t>
  </si>
  <si>
    <t>8. Flock Flurry opt-in = 60 min UL (design-PDF constant). HH/Ph milestone reqs read from the EventReach helper columns on HH_v2 / Ph_v2 - do not remove them.</t>
  </si>
  <si>
    <t>9. SPT / COOP / Avatar / Dly rewards are outside the 11-resource universe and are not tracked.</t>
  </si>
  <si>
    <t>Play-by-Play Sim</t>
  </si>
  <si>
    <t>Level</t>
  </si>
  <si>
    <t>Streak</t>
  </si>
  <si>
    <t>Mult</t>
  </si>
  <si>
    <t>Claims — milestones &amp; rewards landing on this play</t>
  </si>
  <si>
    <t>Hatchling Hideaway tokens</t>
  </si>
  <si>
    <t>Rainbow Maker matchables</t>
  </si>
  <si>
    <t>S</t>
  </si>
  <si>
    <t>session start</t>
  </si>
  <si>
    <t>Daily Gift cycle day 3 (login streak p50) → {Slingshot: 0.8, Shuffle: 0.2}   |   Flock Flurry opt-in grant (1h UL, design-PDF constant) → {Unlimited Lives: 60}</t>
  </si>
  <si>
    <t>WIN</t>
  </si>
  <si>
    <t>LOSS</t>
  </si>
  <si>
    <t>Saga node 1 — level 210 → {Coins: 10}</t>
  </si>
  <si>
    <t>Rainbow Maker m12 @ 18410 → {Coins: 35, Shuffle: 1}</t>
  </si>
  <si>
    <t>E</t>
  </si>
  <si>
    <t>day end (LB)</t>
  </si>
  <si>
    <t>Chuck Challenge rank 8 → {Slingshot: 1}   |   Flock Flurry rank 1 → {Red: 1, Chuck: 1, Bomb: 1, Slingshot: 1}</t>
  </si>
  <si>
    <t>Session Summary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</si>
  <si>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</si>
  <si>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</si>
  <si>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</si>
  <si>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</si>
  <si>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</si>
  <si>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</si>
  <si>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</si>
  <si>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</si>
  <si>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</si>
  <si>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</si>
  <si>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</si>
  <si>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</si>
  <si>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</si>
  <si>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</si>
  <si>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A. 0</t>
  </si>
  <si>
    <t>minutes</t>
  </si>
  <si>
    <t>B. 1-9</t>
  </si>
  <si>
    <t>C. 10-19</t>
  </si>
  <si>
    <t>D. 20-39</t>
  </si>
  <si>
    <t>E. 40-99</t>
  </si>
  <si>
    <t>F. 100+</t>
  </si>
  <si>
    <t>segment</t>
  </si>
  <si>
    <t>seg_rank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</si>
  <si>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</si>
  <si>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</si>
  <si>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</si>
  <si>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</si>
  <si>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</si>
  <si>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</si>
  <si>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</si>
  <si>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</si>
  <si>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</si>
  <si>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</si>
  <si>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</si>
  <si>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</si>
  <si>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</si>
  <si>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</si>
  <si>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</si>
  <si>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</si>
  <si>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</si>
  <si>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</si>
  <si>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</si>
  <si>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</si>
  <si>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</si>
  <si>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</si>
  <si>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</si>
  <si>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</si>
  <si>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</si>
  <si>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</si>
  <si>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</si>
  <si>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</si>
  <si>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</si>
  <si>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</si>
  <si>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</si>
  <si>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</si>
  <si>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</si>
  <si>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</si>
  <si>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</si>
  <si>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</si>
  <si>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</si>
  <si>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</si>
  <si>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</si>
  <si>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</si>
  <si>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</si>
  <si>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</si>
  <si>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</si>
  <si>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</si>
  <si>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</si>
  <si>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</si>
  <si>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</si>
  <si>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</si>
  <si>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Bombs Ballet</t>
  </si>
  <si>
    <t>Dream Heist</t>
  </si>
  <si>
    <t>Dream Pass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</si>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</sst>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#,##0.0"/>
    <numFmt numFmtId="166" formatCode="+0%;-0%;0%"/>
    <numFmt numFmtId="167" formatCode="#,##0.00;[Red]-#,##0.00"/>
    <numFmt numFmtId="168" formatCode="#,##0.00;-#,##0.00"/>
    <numFmt numFmtId="169" formatCode="[$$]#,##0.00"/>
    <numFmt numFmtId="170" formatCode="0.0"/>
  </numFmts>
  <fonts count="53">
    <font>
      <sz val="10.0"/>
      <color rgb="FF000000"/>
      <name val="Arial"/>
      <scheme val="minor"/>
    </font>
    <font>
      <b/>
      <sz val="14.0"/>
      <color theme="1"/>
      <name val="Arial"/>
    </font>
    <font>
      <sz val="11.0"/>
      <color theme="1"/>
      <name val="Calibri"/>
    </font>
    <font>
      <b/>
      <sz val="11.0"/>
      <color rgb="FFFFFFFF"/>
      <name val="Arial"/>
    </font>
    <font/>
    <font>
      <sz val="10.0"/>
      <color theme="1"/>
      <name val="Arial"/>
    </font>
    <font>
      <sz val="10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>
      <b/>
      <sz val="10.0"/>
      <color theme="1"/>
      <name val="Arial"/>
    </font>
    <font>
      <i/>
      <sz val="9.0"/>
      <color rgb="FF666666"/>
      <name val="Arial"/>
    </font>
    <font>
      <b/>
      <sz val="10.0"/>
      <color rgb="FF000000"/>
      <name val="Arial"/>
    </font>
    <font>
      <sz val="11.0"/>
      <color rgb="FFFF0000"/>
      <name val="Arial"/>
    </font>
    <font>
      <b/>
      <sz val="11.0"/>
      <color rgb="FFFF0000"/>
      <name val="Arial"/>
    </font>
    <font>
      <color theme="1"/>
      <name val="Arial"/>
    </font>
    <font>
      <b/>
      <sz val="11.0"/>
      <color rgb="FFFF0000"/>
      <name val="Calibri"/>
    </font>
    <font>
      <b/>
      <sz val="12.0"/>
      <color rgb="FFFFFFFF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rgb="FFBFBFBF"/>
      <name val="Arial"/>
    </font>
    <font>
      <sz val="11.0"/>
      <color rgb="FF000000"/>
      <name val="Calibri"/>
    </font>
    <font>
      <sz val="10.0"/>
      <color rgb="FFFF0000"/>
      <name val="Arial"/>
    </font>
    <font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sz val="9.0"/>
      <color theme="1"/>
      <name val="Arial"/>
    </font>
    <font>
      <sz val="11.0"/>
      <color theme="1"/>
      <name val="Carlito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b/>
      <sz val="13.0"/>
      <color theme="1"/>
      <name val="Arial"/>
    </font>
    <font>
      <i/>
      <color theme="1"/>
      <name val="Arial"/>
      <scheme val="minor"/>
    </font>
    <font>
      <b/>
      <sz val="10.0"/>
      <color rgb="FFFFFFFF"/>
      <name val="Arial"/>
    </font>
    <font>
      <sz val="9.0"/>
      <color rgb="FF808080"/>
      <name val="Arial"/>
    </font>
    <font>
      <b/>
      <sz val="9.0"/>
      <color rgb="FF000000"/>
      <name val="Arial"/>
    </font>
    <font>
      <b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sz val="9.0"/>
      <color rgb="FF888888"/>
      <name val="Calibri"/>
    </font>
    <font>
      <i/>
      <sz val="10.0"/>
      <color theme="1"/>
      <name val="Calibri"/>
    </font>
    <font>
      <sz val="10.0"/>
      <color rgb="FF999999"/>
      <name val="Calibri"/>
    </font>
    <font>
      <color theme="1"/>
      <name val="Calibri"/>
    </font>
    <font>
      <i/>
      <color theme="1"/>
      <name val="Calibri"/>
    </font>
    <font>
      <color rgb="FF999999"/>
      <name val="Calibri"/>
    </font>
    <font>
      <i/>
      <color rgb="FFCCCCCC"/>
      <name val="Arial"/>
      <scheme val="minor"/>
    </font>
    <font>
      <u/>
      <color rgb="FFFF0000"/>
    </font>
    <font>
      <i/>
      <sz val="12.0"/>
      <color theme="1"/>
      <name val="Arial"/>
      <scheme val="minor"/>
    </font>
    <font>
      <color rgb="FFFF0000"/>
      <name val="Arial"/>
      <scheme val="minor"/>
    </font>
    <font>
      <i/>
      <color rgb="FFB7B7B7"/>
      <name val="Arial"/>
    </font>
    <font>
      <sz val="9.0"/>
      <color theme="1"/>
      <name val="Arial"/>
      <scheme val="minor"/>
    </font>
    <font>
      <i/>
      <color rgb="FF999999"/>
      <name val="Arial"/>
      <scheme val="minor"/>
    </font>
    <font>
      <b/>
      <sz val="11.0"/>
      <color rgb="FF000000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7CB4D"/>
        <bgColor rgb="FFF7CB4D"/>
      </patternFill>
    </fill>
    <fill>
      <patternFill patternType="solid">
        <fgColor rgb="FFFFD966"/>
        <bgColor rgb="FFFFD966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E2EFDA"/>
        <bgColor rgb="FFE2EFDA"/>
      </patternFill>
    </fill>
    <fill>
      <patternFill patternType="solid">
        <fgColor rgb="FF305496"/>
        <bgColor rgb="FF305496"/>
      </patternFill>
    </fill>
    <fill>
      <patternFill patternType="solid">
        <fgColor rgb="FFFCE5CD"/>
        <bgColor rgb="FFFCE5CD"/>
      </patternFill>
    </fill>
    <fill>
      <patternFill patternType="solid">
        <fgColor rgb="FFDDEBF7"/>
        <bgColor rgb="FFDDEBF7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</fills>
  <borders count="45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top/>
    </border>
  </borders>
  <cellStyleXfs count="1">
    <xf borderId="0" fillId="0" fontId="0" numFmtId="0" applyAlignment="1" applyFont="1"/>
  </cellStyleXfs>
  <cellXfs count="3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bottom" wrapText="1"/>
    </xf>
    <xf borderId="3" fillId="0" fontId="4" numFmtId="0" xfId="0" applyBorder="1" applyFont="1"/>
    <xf borderId="4" fillId="2" fontId="3" numFmtId="0" xfId="0" applyAlignment="1" applyBorder="1" applyFont="1">
      <alignment horizontal="center" readingOrder="0" shrinkToFit="0" wrapText="1"/>
    </xf>
    <xf borderId="5" fillId="2" fontId="3" numFmtId="0" xfId="0" applyAlignment="1" applyBorder="1" applyFont="1">
      <alignment horizontal="center" readingOrder="0" shrinkToFit="0" wrapText="1"/>
    </xf>
    <xf borderId="4" fillId="2" fontId="3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 shrinkToFit="0" vertical="center" wrapText="1"/>
    </xf>
    <xf borderId="6" fillId="3" fontId="6" numFmtId="0" xfId="0" applyAlignment="1" applyBorder="1" applyFill="1" applyFont="1">
      <alignment horizontal="center" shrinkToFit="0" vertical="center" wrapText="1"/>
    </xf>
    <xf borderId="7" fillId="3" fontId="6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right" shrinkToFit="0" vertical="bottom" wrapText="0"/>
    </xf>
    <xf borderId="3" fillId="0" fontId="2" numFmtId="0" xfId="0" applyAlignment="1" applyBorder="1" applyFont="1">
      <alignment horizontal="left" shrinkToFit="0" vertical="bottom" wrapText="0"/>
    </xf>
    <xf borderId="8" fillId="4" fontId="7" numFmtId="0" xfId="0" applyAlignment="1" applyBorder="1" applyFill="1" applyFont="1">
      <alignment horizontal="center" readingOrder="0" shrinkToFit="0" vertical="bottom" wrapText="1"/>
    </xf>
    <xf borderId="9" fillId="4" fontId="7" numFmtId="0" xfId="0" applyAlignment="1" applyBorder="1" applyFont="1">
      <alignment horizontal="center" readingOrder="0" shrinkToFit="0" vertical="bottom" wrapText="1"/>
    </xf>
    <xf borderId="0" fillId="4" fontId="7" numFmtId="0" xfId="0" applyAlignment="1" applyFont="1">
      <alignment horizontal="center" readingOrder="0" shrinkToFit="0" vertical="bottom" wrapText="1"/>
    </xf>
    <xf borderId="10" fillId="4" fontId="7" numFmtId="0" xfId="0" applyAlignment="1" applyBorder="1" applyFont="1">
      <alignment horizontal="center" readingOrder="0" shrinkToFit="0" vertical="bottom" wrapText="1"/>
    </xf>
    <xf borderId="0" fillId="5" fontId="2" numFmtId="0" xfId="0" applyAlignment="1" applyFill="1" applyFont="1">
      <alignment horizontal="center" shrinkToFit="0" vertical="bottom" wrapText="0"/>
    </xf>
    <xf borderId="0" fillId="0" fontId="8" numFmtId="0" xfId="0" applyAlignment="1" applyFont="1">
      <alignment horizontal="right" readingOrder="0"/>
    </xf>
    <xf borderId="0" fillId="0" fontId="2" numFmtId="0" xfId="0" applyAlignment="1" applyFont="1">
      <alignment readingOrder="0" shrinkToFit="0" vertical="bottom" wrapText="0"/>
    </xf>
    <xf borderId="11" fillId="0" fontId="5" numFmtId="0" xfId="0" applyAlignment="1" applyBorder="1" applyFont="1">
      <alignment horizontal="center" shrinkToFit="0" vertical="center" wrapText="1"/>
    </xf>
    <xf borderId="12" fillId="3" fontId="6" numFmtId="0" xfId="0" applyAlignment="1" applyBorder="1" applyFont="1">
      <alignment horizontal="center" shrinkToFit="0" vertical="center" wrapText="1"/>
    </xf>
    <xf borderId="13" fillId="3" fontId="6" numFmtId="0" xfId="0" applyAlignment="1" applyBorder="1" applyFont="1">
      <alignment horizontal="center" shrinkToFit="0" vertical="center" wrapText="1"/>
    </xf>
    <xf borderId="2" fillId="4" fontId="7" numFmtId="0" xfId="0" applyAlignment="1" applyBorder="1" applyFont="1">
      <alignment horizontal="center" readingOrder="0" shrinkToFit="0" vertical="bottom" wrapText="1"/>
    </xf>
    <xf borderId="3" fillId="4" fontId="7" numFmtId="0" xfId="0" applyAlignment="1" applyBorder="1" applyFont="1">
      <alignment horizontal="center" readingOrder="0" shrinkToFit="0" vertical="bottom" wrapText="1"/>
    </xf>
    <xf borderId="14" fillId="0" fontId="5" numFmtId="0" xfId="0" applyAlignment="1" applyBorder="1" applyFont="1">
      <alignment horizontal="center" shrinkToFit="0" vertical="center" wrapText="1"/>
    </xf>
    <xf borderId="15" fillId="3" fontId="6" numFmtId="0" xfId="0" applyAlignment="1" applyBorder="1" applyFont="1">
      <alignment horizontal="center" shrinkToFit="0" vertical="center" wrapText="1"/>
    </xf>
    <xf borderId="16" fillId="3" fontId="6" numFmtId="0" xfId="0" applyAlignment="1" applyBorder="1" applyFont="1">
      <alignment horizontal="center" shrinkToFit="0" vertical="center" wrapText="1"/>
    </xf>
    <xf borderId="17" fillId="4" fontId="7" numFmtId="0" xfId="0" applyAlignment="1" applyBorder="1" applyFont="1">
      <alignment horizontal="center" readingOrder="0" shrinkToFit="0" vertical="bottom" wrapText="1"/>
    </xf>
    <xf borderId="18" fillId="4" fontId="7" numFmtId="0" xfId="0" applyAlignment="1" applyBorder="1" applyFont="1">
      <alignment horizontal="center" readingOrder="0" shrinkToFit="0" vertical="bottom" wrapText="1"/>
    </xf>
    <xf borderId="19" fillId="4" fontId="7" numFmtId="0" xfId="0" applyAlignment="1" applyBorder="1" applyFont="1">
      <alignment horizontal="center" readingOrder="0" shrinkToFit="0" vertical="bottom" wrapText="1"/>
    </xf>
    <xf borderId="5" fillId="0" fontId="9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6" numFmtId="2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20" fillId="6" fontId="11" numFmtId="0" xfId="0" applyAlignment="1" applyBorder="1" applyFill="1" applyFont="1">
      <alignment horizontal="center" shrinkToFit="0" vertical="bottom" wrapText="0"/>
    </xf>
    <xf borderId="0" fillId="0" fontId="2" numFmtId="0" xfId="0" applyAlignment="1" applyFont="1">
      <alignment shrinkToFit="0" vertical="bottom" wrapText="1"/>
    </xf>
    <xf borderId="5" fillId="7" fontId="3" numFmtId="0" xfId="0" applyAlignment="1" applyBorder="1" applyFill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wrapText="1"/>
    </xf>
    <xf borderId="6" fillId="4" fontId="6" numFmtId="0" xfId="0" applyAlignment="1" applyBorder="1" applyFont="1">
      <alignment horizontal="center" shrinkToFit="0" vertical="center" wrapText="1"/>
    </xf>
    <xf borderId="7" fillId="4" fontId="12" numFmtId="0" xfId="0" applyAlignment="1" applyBorder="1" applyFont="1">
      <alignment horizontal="center" readingOrder="0" shrinkToFit="0" vertical="bottom" wrapText="1"/>
    </xf>
    <xf borderId="0" fillId="8" fontId="6" numFmtId="0" xfId="0" applyAlignment="1" applyFill="1" applyFont="1">
      <alignment horizontal="center" shrinkToFit="0" vertical="center" wrapText="1"/>
    </xf>
    <xf borderId="0" fillId="8" fontId="2" numFmtId="0" xfId="0" applyAlignment="1" applyFont="1">
      <alignment horizontal="center" readingOrder="0" shrinkToFit="0" vertical="bottom" wrapText="0"/>
    </xf>
    <xf borderId="8" fillId="4" fontId="7" numFmtId="0" xfId="0" applyAlignment="1" applyBorder="1" applyFont="1">
      <alignment horizontal="center" shrinkToFit="0" vertical="bottom" wrapText="1"/>
    </xf>
    <xf borderId="9" fillId="4" fontId="12" numFmtId="0" xfId="0" applyAlignment="1" applyBorder="1" applyFont="1">
      <alignment horizontal="center" readingOrder="0" shrinkToFit="0" vertical="bottom" wrapText="1"/>
    </xf>
    <xf borderId="9" fillId="4" fontId="7" numFmtId="0" xfId="0" applyAlignment="1" applyBorder="1" applyFont="1">
      <alignment horizontal="center" shrinkToFit="0" vertical="bottom" wrapText="1"/>
    </xf>
    <xf borderId="10" fillId="4" fontId="7" numFmtId="0" xfId="0" applyAlignment="1" applyBorder="1" applyFont="1">
      <alignment horizontal="center" shrinkToFit="0" vertical="bottom" wrapText="1"/>
    </xf>
    <xf borderId="12" fillId="4" fontId="6" numFmtId="0" xfId="0" applyAlignment="1" applyBorder="1" applyFont="1">
      <alignment horizontal="center" shrinkToFit="0" vertical="center" wrapText="1"/>
    </xf>
    <xf borderId="13" fillId="4" fontId="12" numFmtId="0" xfId="0" applyAlignment="1" applyBorder="1" applyFont="1">
      <alignment horizontal="center" readingOrder="0" shrinkToFit="0" vertical="bottom" wrapText="1"/>
    </xf>
    <xf borderId="2" fillId="4" fontId="7" numFmtId="0" xfId="0" applyAlignment="1" applyBorder="1" applyFont="1">
      <alignment horizontal="center" shrinkToFit="0" vertical="bottom" wrapText="1"/>
    </xf>
    <xf borderId="0" fillId="4" fontId="12" numFmtId="0" xfId="0" applyAlignment="1" applyFont="1">
      <alignment horizontal="center" readingOrder="0" shrinkToFit="0" vertical="bottom" wrapText="1"/>
    </xf>
    <xf borderId="0" fillId="4" fontId="7" numFmtId="0" xfId="0" applyAlignment="1" applyFont="1">
      <alignment horizontal="center" shrinkToFit="0" vertical="bottom" wrapText="1"/>
    </xf>
    <xf borderId="3" fillId="4" fontId="7" numFmtId="0" xfId="0" applyAlignment="1" applyBorder="1" applyFont="1">
      <alignment horizontal="center" shrinkToFit="0" vertical="bottom" wrapText="1"/>
    </xf>
    <xf borderId="15" fillId="4" fontId="6" numFmtId="0" xfId="0" applyAlignment="1" applyBorder="1" applyFont="1">
      <alignment horizontal="center" shrinkToFit="0" vertical="center" wrapText="1"/>
    </xf>
    <xf borderId="16" fillId="4" fontId="13" numFmtId="0" xfId="0" applyAlignment="1" applyBorder="1" applyFont="1">
      <alignment horizontal="center" readingOrder="0" shrinkToFit="0" vertical="bottom" wrapText="1"/>
    </xf>
    <xf borderId="17" fillId="4" fontId="7" numFmtId="0" xfId="0" applyAlignment="1" applyBorder="1" applyFont="1">
      <alignment horizontal="center" shrinkToFit="0" vertical="bottom" wrapText="1"/>
    </xf>
    <xf borderId="18" fillId="4" fontId="7" numFmtId="0" xfId="0" applyAlignment="1" applyBorder="1" applyFont="1">
      <alignment horizontal="center" shrinkToFit="0" vertical="bottom" wrapText="1"/>
    </xf>
    <xf borderId="18" fillId="4" fontId="12" numFmtId="0" xfId="0" applyAlignment="1" applyBorder="1" applyFont="1">
      <alignment horizontal="center" readingOrder="0" shrinkToFit="0" vertical="bottom" wrapText="1"/>
    </xf>
    <xf borderId="19" fillId="4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shrinkToFit="0" wrapText="1"/>
    </xf>
    <xf borderId="5" fillId="0" fontId="14" numFmtId="2" xfId="0" applyAlignment="1" applyBorder="1" applyFont="1" applyNumberFormat="1">
      <alignment horizontal="center" shrinkToFit="0" wrapText="1"/>
    </xf>
    <xf borderId="0" fillId="0" fontId="2" numFmtId="0" xfId="0" applyAlignment="1" applyFont="1">
      <alignment vertical="bottom"/>
    </xf>
    <xf borderId="5" fillId="0" fontId="14" numFmtId="164" xfId="0" applyAlignment="1" applyBorder="1" applyFont="1" applyNumberFormat="1">
      <alignment horizontal="center" shrinkToFit="0" wrapText="1"/>
    </xf>
    <xf borderId="0" fillId="0" fontId="15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1"/>
    </xf>
    <xf borderId="0" fillId="2" fontId="16" numFmtId="0" xfId="0" applyAlignment="1" applyFont="1">
      <alignment horizontal="left" readingOrder="0" shrinkToFit="0" wrapText="0"/>
    </xf>
    <xf borderId="0" fillId="2" fontId="17" numFmtId="0" xfId="0" applyAlignment="1" applyFont="1">
      <alignment horizontal="left" shrinkToFit="0" wrapText="0"/>
    </xf>
    <xf borderId="8" fillId="0" fontId="5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20" fillId="9" fontId="18" numFmtId="0" xfId="0" applyAlignment="1" applyBorder="1" applyFill="1" applyFont="1">
      <alignment horizontal="center" readingOrder="0" shrinkToFit="0" wrapText="0"/>
    </xf>
    <xf borderId="20" fillId="9" fontId="18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horizontal="center" shrinkToFit="0" vertical="center" wrapText="1"/>
    </xf>
    <xf borderId="21" fillId="3" fontId="6" numFmtId="0" xfId="0" applyAlignment="1" applyBorder="1" applyFont="1">
      <alignment horizontal="center" shrinkToFit="0" vertical="center" wrapText="1"/>
    </xf>
    <xf borderId="20" fillId="10" fontId="18" numFmtId="0" xfId="0" applyAlignment="1" applyBorder="1" applyFill="1" applyFont="1">
      <alignment horizontal="center" readingOrder="0" shrinkToFit="0" vertical="bottom" wrapText="0"/>
    </xf>
    <xf borderId="20" fillId="0" fontId="19" numFmtId="0" xfId="0" applyAlignment="1" applyBorder="1" applyFont="1">
      <alignment horizontal="center" readingOrder="0" shrinkToFit="0" vertical="bottom" wrapText="0"/>
    </xf>
    <xf borderId="20" fillId="0" fontId="20" numFmtId="0" xfId="0" applyAlignment="1" applyBorder="1" applyFont="1">
      <alignment horizontal="center" readingOrder="0" shrinkToFit="0" vertical="bottom" wrapText="0"/>
    </xf>
    <xf borderId="17" fillId="0" fontId="5" numFmtId="0" xfId="0" applyAlignment="1" applyBorder="1" applyFont="1">
      <alignment horizontal="center" shrinkToFit="0" vertical="center" wrapText="1"/>
    </xf>
    <xf borderId="22" fillId="3" fontId="6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shrinkToFit="0" vertical="bottom" wrapText="0"/>
    </xf>
    <xf borderId="1" fillId="10" fontId="22" numFmtId="0" xfId="0" applyAlignment="1" applyBorder="1" applyFont="1">
      <alignment horizontal="center" shrinkToFit="0" vertical="center" wrapText="1"/>
    </xf>
    <xf borderId="21" fillId="10" fontId="6" numFmtId="0" xfId="0" applyAlignment="1" applyBorder="1" applyFont="1">
      <alignment horizontal="center" shrinkToFit="0" vertical="center" wrapText="1"/>
    </xf>
    <xf borderId="20" fillId="0" fontId="12" numFmtId="0" xfId="0" applyAlignment="1" applyBorder="1" applyFont="1">
      <alignment horizontal="center" readingOrder="0" shrinkToFit="0" vertical="bottom" wrapText="0"/>
    </xf>
    <xf borderId="21" fillId="10" fontId="22" numFmtId="0" xfId="0" applyAlignment="1" applyBorder="1" applyFont="1">
      <alignment horizontal="center" shrinkToFit="0" vertical="center" wrapText="1"/>
    </xf>
    <xf borderId="22" fillId="10" fontId="6" numFmtId="0" xfId="0" applyAlignment="1" applyBorder="1" applyFont="1">
      <alignment horizontal="center" shrinkToFit="0" vertical="center" wrapText="1"/>
    </xf>
    <xf borderId="5" fillId="0" fontId="6" numFmtId="164" xfId="0" applyAlignment="1" applyBorder="1" applyFont="1" applyNumberFormat="1">
      <alignment horizontal="center" shrinkToFit="0" vertical="center" wrapText="1"/>
    </xf>
    <xf borderId="12" fillId="11" fontId="3" numFmtId="0" xfId="0" applyAlignment="1" applyBorder="1" applyFill="1" applyFont="1">
      <alignment horizontal="left" readingOrder="0" shrinkToFit="0" vertical="center" wrapText="0"/>
    </xf>
    <xf borderId="12" fillId="11" fontId="3" numFmtId="0" xfId="0" applyAlignment="1" applyBorder="1" applyFont="1">
      <alignment horizontal="left" shrinkToFit="0" vertical="center" wrapText="0"/>
    </xf>
    <xf borderId="12" fillId="4" fontId="18" numFmtId="0" xfId="0" applyAlignment="1" applyBorder="1" applyFont="1">
      <alignment horizontal="left" shrinkToFit="0" vertical="center" wrapText="0"/>
    </xf>
    <xf borderId="23" fillId="4" fontId="18" numFmtId="0" xfId="0" applyAlignment="1" applyBorder="1" applyFont="1">
      <alignment horizontal="left" shrinkToFit="0" vertical="center" wrapText="0"/>
    </xf>
    <xf borderId="24" fillId="4" fontId="18" numFmtId="0" xfId="0" applyAlignment="1" applyBorder="1" applyFont="1">
      <alignment horizontal="left" shrinkToFit="0" vertical="center" wrapText="0"/>
    </xf>
    <xf borderId="25" fillId="12" fontId="18" numFmtId="0" xfId="0" applyAlignment="1" applyBorder="1" applyFill="1" applyFont="1">
      <alignment horizontal="center" shrinkToFit="0" vertical="bottom" wrapText="1"/>
    </xf>
    <xf borderId="26" fillId="12" fontId="18" numFmtId="0" xfId="0" applyAlignment="1" applyBorder="1" applyFont="1">
      <alignment horizontal="center" shrinkToFit="0" vertical="bottom" wrapText="1"/>
    </xf>
    <xf borderId="27" fillId="12" fontId="18" numFmtId="0" xfId="0" applyAlignment="1" applyBorder="1" applyFont="1">
      <alignment horizontal="center" shrinkToFit="0" textRotation="180" vertical="bottom" wrapText="0"/>
    </xf>
    <xf borderId="25" fillId="12" fontId="18" numFmtId="0" xfId="0" applyAlignment="1" applyBorder="1" applyFont="1">
      <alignment horizontal="center" shrinkToFit="0" textRotation="180" vertical="bottom" wrapText="0"/>
    </xf>
    <xf borderId="26" fillId="12" fontId="18" numFmtId="0" xfId="0" applyAlignment="1" applyBorder="1" applyFont="1">
      <alignment horizontal="center" shrinkToFit="0" textRotation="180" vertical="bottom" wrapText="0"/>
    </xf>
    <xf borderId="25" fillId="0" fontId="19" numFmtId="0" xfId="0" applyAlignment="1" applyBorder="1" applyFont="1">
      <alignment horizontal="center" shrinkToFit="0" vertical="center" wrapText="0"/>
    </xf>
    <xf borderId="26" fillId="0" fontId="19" numFmtId="0" xfId="0" applyAlignment="1" applyBorder="1" applyFont="1">
      <alignment horizontal="center" shrinkToFit="0" vertical="center" wrapText="0"/>
    </xf>
    <xf borderId="28" fillId="0" fontId="19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horizontal="center" shrinkToFit="0" vertical="center" wrapText="0"/>
    </xf>
    <xf borderId="25" fillId="13" fontId="18" numFmtId="0" xfId="0" applyAlignment="1" applyBorder="1" applyFill="1" applyFont="1">
      <alignment horizontal="left" shrinkToFit="0" vertical="center" wrapText="0"/>
    </xf>
    <xf borderId="25" fillId="13" fontId="18" numFmtId="0" xfId="0" applyAlignment="1" applyBorder="1" applyFont="1">
      <alignment horizontal="center" shrinkToFit="0" vertical="center" wrapText="0"/>
    </xf>
    <xf borderId="26" fillId="13" fontId="18" numFmtId="0" xfId="0" applyAlignment="1" applyBorder="1" applyFont="1">
      <alignment horizontal="center" shrinkToFit="0" vertical="center" wrapText="0"/>
    </xf>
    <xf borderId="27" fillId="13" fontId="18" numFmtId="0" xfId="0" applyAlignment="1" applyBorder="1" applyFont="1">
      <alignment horizontal="center" shrinkToFit="0" vertical="center" wrapText="0"/>
    </xf>
    <xf borderId="0" fillId="0" fontId="23" numFmtId="0" xfId="0" applyAlignment="1" applyFont="1">
      <alignment shrinkToFit="0" vertical="bottom" wrapText="0"/>
    </xf>
    <xf borderId="0" fillId="11" fontId="3" numFmtId="0" xfId="0" applyAlignment="1" applyFont="1">
      <alignment horizontal="left" readingOrder="0" shrinkToFit="0" wrapText="0"/>
    </xf>
    <xf borderId="0" fillId="11" fontId="3" numFmtId="0" xfId="0" applyAlignment="1" applyFont="1">
      <alignment horizontal="left" shrinkToFit="0" wrapText="0"/>
    </xf>
    <xf borderId="0" fillId="13" fontId="18" numFmtId="0" xfId="0" applyAlignment="1" applyFont="1">
      <alignment horizontal="left" readingOrder="0" shrinkToFit="0" wrapText="0"/>
    </xf>
    <xf borderId="0" fillId="4" fontId="19" numFmtId="0" xfId="0" applyAlignment="1" applyFont="1">
      <alignment horizontal="center" readingOrder="0" shrinkToFit="0" wrapText="0"/>
    </xf>
    <xf borderId="26" fillId="12" fontId="18" numFmtId="0" xfId="0" applyAlignment="1" applyBorder="1" applyFont="1">
      <alignment horizontal="center" readingOrder="0" vertical="bottom"/>
    </xf>
    <xf borderId="27" fillId="12" fontId="18" numFmtId="0" xfId="0" applyAlignment="1" applyBorder="1" applyFont="1">
      <alignment horizontal="center" readingOrder="0" shrinkToFit="0" textRotation="180" vertical="bottom" wrapText="0"/>
    </xf>
    <xf borderId="25" fillId="12" fontId="18" numFmtId="0" xfId="0" applyAlignment="1" applyBorder="1" applyFont="1">
      <alignment horizontal="center" readingOrder="0" shrinkToFit="0" textRotation="180" vertical="bottom" wrapText="0"/>
    </xf>
    <xf borderId="26" fillId="0" fontId="19" numFmtId="0" xfId="0" applyAlignment="1" applyBorder="1" applyFont="1">
      <alignment horizontal="left" readingOrder="0" shrinkToFit="0" wrapText="0"/>
    </xf>
    <xf borderId="27" fillId="14" fontId="19" numFmtId="0" xfId="0" applyAlignment="1" applyBorder="1" applyFill="1" applyFont="1">
      <alignment horizontal="center" readingOrder="0" shrinkToFit="0" wrapText="0"/>
    </xf>
    <xf borderId="25" fillId="0" fontId="19" numFmtId="0" xfId="0" applyAlignment="1" applyBorder="1" applyFont="1">
      <alignment horizontal="center" readingOrder="0" shrinkToFit="0" wrapText="0"/>
    </xf>
    <xf borderId="25" fillId="14" fontId="19" numFmtId="0" xfId="0" applyAlignment="1" applyBorder="1" applyFont="1">
      <alignment horizontal="center" readingOrder="0" shrinkToFit="0" wrapText="0"/>
    </xf>
    <xf borderId="26" fillId="15" fontId="19" numFmtId="0" xfId="0" applyAlignment="1" applyBorder="1" applyFill="1" applyFont="1">
      <alignment horizontal="left" readingOrder="0" shrinkToFit="0" wrapText="0"/>
    </xf>
    <xf borderId="25" fillId="15" fontId="19" numFmtId="0" xfId="0" applyAlignment="1" applyBorder="1" applyFont="1">
      <alignment horizontal="center" readingOrder="0" shrinkToFit="0" wrapText="0"/>
    </xf>
    <xf borderId="27" fillId="0" fontId="19" numFmtId="0" xfId="0" applyAlignment="1" applyBorder="1" applyFont="1">
      <alignment horizontal="center" readingOrder="0" shrinkToFit="0" wrapText="0"/>
    </xf>
    <xf borderId="27" fillId="15" fontId="19" numFmtId="0" xfId="0" applyAlignment="1" applyBorder="1" applyFont="1">
      <alignment horizontal="center" readingOrder="0" shrinkToFit="0" wrapText="0"/>
    </xf>
    <xf borderId="12" fillId="13" fontId="18" numFmtId="0" xfId="0" applyAlignment="1" applyBorder="1" applyFont="1">
      <alignment horizontal="left" shrinkToFit="0" vertical="center" wrapText="0"/>
    </xf>
    <xf borderId="12" fillId="4" fontId="19" numFmtId="0" xfId="0" applyAlignment="1" applyBorder="1" applyFont="1">
      <alignment horizontal="center" shrinkToFit="0" vertical="center" wrapText="0"/>
    </xf>
    <xf borderId="25" fillId="12" fontId="18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vertical="bottom"/>
    </xf>
    <xf borderId="27" fillId="0" fontId="19" numFmtId="0" xfId="0" applyAlignment="1" applyBorder="1" applyFont="1">
      <alignment horizontal="center" shrinkToFit="0" vertical="center" wrapText="0"/>
    </xf>
    <xf borderId="0" fillId="0" fontId="18" numFmtId="0" xfId="0" applyAlignment="1" applyFont="1">
      <alignment readingOrder="0"/>
    </xf>
    <xf borderId="0" fillId="0" fontId="24" numFmtId="0" xfId="0" applyFont="1"/>
    <xf borderId="5" fillId="4" fontId="24" numFmtId="0" xfId="0" applyAlignment="1" applyBorder="1" applyFont="1">
      <alignment horizontal="center"/>
    </xf>
    <xf borderId="12" fillId="4" fontId="19" numFmtId="0" xfId="0" applyAlignment="1" applyBorder="1" applyFont="1">
      <alignment horizontal="center" readingOrder="0" shrinkToFit="0" vertical="center" wrapText="0"/>
    </xf>
    <xf borderId="5" fillId="5" fontId="24" numFmtId="0" xfId="0" applyAlignment="1" applyBorder="1" applyFont="1">
      <alignment horizontal="center"/>
    </xf>
    <xf borderId="5" fillId="10" fontId="2" numFmtId="0" xfId="0" applyAlignment="1" applyBorder="1" applyFont="1">
      <alignment horizontal="center"/>
    </xf>
    <xf borderId="5" fillId="10" fontId="2" numFmtId="1" xfId="0" applyAlignment="1" applyBorder="1" applyFont="1" applyNumberFormat="1">
      <alignment horizontal="center"/>
    </xf>
    <xf borderId="5" fillId="10" fontId="2" numFmtId="0" xfId="0" applyAlignment="1" applyBorder="1" applyFont="1">
      <alignment horizontal="left"/>
    </xf>
    <xf borderId="26" fillId="0" fontId="19" numFmtId="0" xfId="0" applyAlignment="1" applyBorder="1" applyFont="1">
      <alignment horizontal="left" shrinkToFit="0" vertical="center" wrapText="0"/>
    </xf>
    <xf borderId="25" fillId="0" fontId="19" numFmtId="0" xfId="0" applyAlignment="1" applyBorder="1" applyFont="1">
      <alignment horizontal="center" readingOrder="0" shrinkToFit="0" vertical="center" wrapText="0"/>
    </xf>
    <xf borderId="5" fillId="4" fontId="24" numFmtId="9" xfId="0" applyBorder="1" applyFont="1" applyNumberFormat="1"/>
    <xf borderId="5" fillId="5" fontId="24" numFmtId="0" xfId="0" applyBorder="1" applyFont="1"/>
    <xf borderId="5" fillId="0" fontId="2" numFmtId="0" xfId="0" applyBorder="1" applyFont="1"/>
    <xf borderId="5" fillId="4" fontId="2" numFmtId="0" xfId="0" applyBorder="1" applyFont="1"/>
    <xf borderId="5" fillId="10" fontId="2" numFmtId="165" xfId="0" applyBorder="1" applyFont="1" applyNumberFormat="1"/>
    <xf borderId="0" fillId="0" fontId="25" numFmtId="0" xfId="0" applyFont="1"/>
    <xf borderId="25" fillId="0" fontId="19" numFmtId="0" xfId="0" applyAlignment="1" applyBorder="1" applyFont="1">
      <alignment horizontal="left" shrinkToFit="0" vertical="center" wrapText="0"/>
    </xf>
    <xf borderId="5" fillId="4" fontId="24" numFmtId="0" xfId="0" applyAlignment="1" applyBorder="1" applyFont="1">
      <alignment horizontal="center" readingOrder="0"/>
    </xf>
    <xf borderId="0" fillId="0" fontId="1" numFmtId="0" xfId="0" applyFont="1"/>
    <xf borderId="12" fillId="11" fontId="3" numFmtId="0" xfId="0" applyAlignment="1" applyBorder="1" applyFont="1">
      <alignment horizontal="left" vertical="center"/>
    </xf>
    <xf borderId="12" fillId="13" fontId="18" numFmtId="0" xfId="0" applyAlignment="1" applyBorder="1" applyFont="1">
      <alignment horizontal="left" vertical="center"/>
    </xf>
    <xf borderId="12" fillId="4" fontId="19" numFmtId="0" xfId="0" applyAlignment="1" applyBorder="1" applyFont="1">
      <alignment horizontal="center" vertical="center"/>
    </xf>
    <xf borderId="25" fillId="0" fontId="19" numFmtId="0" xfId="0" applyAlignment="1" applyBorder="1" applyFont="1">
      <alignment horizontal="center" vertical="center"/>
    </xf>
    <xf borderId="25" fillId="4" fontId="19" numFmtId="0" xfId="0" applyAlignment="1" applyBorder="1" applyFont="1">
      <alignment horizontal="center" vertical="center"/>
    </xf>
    <xf borderId="25" fillId="12" fontId="18" numFmtId="0" xfId="0" applyAlignment="1" applyBorder="1" applyFont="1">
      <alignment horizontal="center" textRotation="180" vertical="bottom"/>
    </xf>
    <xf borderId="0" fillId="0" fontId="8" numFmtId="0" xfId="0" applyFont="1"/>
    <xf borderId="12" fillId="4" fontId="19" numFmtId="0" xfId="0" applyAlignment="1" applyBorder="1" applyFont="1">
      <alignment horizontal="center" readingOrder="0" vertical="center"/>
    </xf>
    <xf borderId="0" fillId="0" fontId="8" numFmtId="2" xfId="0" applyFont="1" applyNumberFormat="1"/>
    <xf borderId="12" fillId="11" fontId="3" numFmtId="2" xfId="0" applyAlignment="1" applyBorder="1" applyFont="1" applyNumberFormat="1">
      <alignment horizontal="left" shrinkToFit="0" vertical="center" wrapText="0"/>
    </xf>
    <xf borderId="29" fillId="11" fontId="3" numFmtId="0" xfId="0" applyAlignment="1" applyBorder="1" applyFont="1">
      <alignment horizontal="left" shrinkToFit="0" vertical="center" wrapText="0"/>
    </xf>
    <xf borderId="29" fillId="11" fontId="3" numFmtId="2" xfId="0" applyAlignment="1" applyBorder="1" applyFont="1" applyNumberFormat="1">
      <alignment horizontal="left" shrinkToFit="0" vertical="center" wrapText="0"/>
    </xf>
    <xf borderId="0" fillId="16" fontId="18" numFmtId="0" xfId="0" applyAlignment="1" applyFill="1" applyFont="1">
      <alignment horizontal="left" shrinkToFit="0" vertical="center" wrapText="0"/>
    </xf>
    <xf borderId="0" fillId="0" fontId="18" numFmtId="0" xfId="0" applyAlignment="1" applyFont="1">
      <alignment horizontal="left" shrinkToFit="0" vertical="center" wrapText="0"/>
    </xf>
    <xf borderId="0" fillId="0" fontId="18" numFmtId="2" xfId="0" applyAlignment="1" applyFont="1" applyNumberFormat="1">
      <alignment horizontal="left" shrinkToFit="0" vertical="center" wrapText="0"/>
    </xf>
    <xf borderId="30" fillId="12" fontId="18" numFmtId="0" xfId="0" applyAlignment="1" applyBorder="1" applyFont="1">
      <alignment horizontal="center" shrinkToFit="0" vertical="bottom" wrapText="1"/>
    </xf>
    <xf borderId="30" fillId="12" fontId="18" numFmtId="0" xfId="0" applyAlignment="1" applyBorder="1" applyFont="1">
      <alignment horizontal="center" readingOrder="0" shrinkToFit="0" vertical="bottom" wrapText="1"/>
    </xf>
    <xf borderId="30" fillId="12" fontId="18" numFmtId="2" xfId="0" applyAlignment="1" applyBorder="1" applyFont="1" applyNumberFormat="1">
      <alignment horizontal="center" shrinkToFit="0" vertical="bottom" wrapText="1"/>
    </xf>
    <xf borderId="30" fillId="12" fontId="18" numFmtId="0" xfId="0" applyAlignment="1" applyBorder="1" applyFont="1">
      <alignment horizontal="center" readingOrder="0" shrinkToFit="0" textRotation="180" vertical="bottom" wrapText="0"/>
    </xf>
    <xf borderId="30" fillId="12" fontId="18" numFmtId="0" xfId="0" applyAlignment="1" applyBorder="1" applyFont="1">
      <alignment horizontal="center" shrinkToFit="0" textRotation="180" vertical="bottom" wrapText="0"/>
    </xf>
    <xf borderId="25" fillId="0" fontId="19" numFmtId="2" xfId="0" applyAlignment="1" applyBorder="1" applyFont="1" applyNumberFormat="1">
      <alignment horizontal="center" shrinkToFit="0" vertical="center" wrapText="0"/>
    </xf>
    <xf borderId="25" fillId="12" fontId="18" numFmtId="0" xfId="0" applyAlignment="1" applyBorder="1" applyFont="1">
      <alignment horizontal="center" readingOrder="0" shrinkToFit="0" vertical="bottom" wrapText="1"/>
    </xf>
    <xf borderId="25" fillId="12" fontId="18" numFmtId="2" xfId="0" applyAlignment="1" applyBorder="1" applyFont="1" applyNumberFormat="1">
      <alignment horizontal="center" shrinkToFit="0" vertical="bottom" wrapText="1"/>
    </xf>
    <xf borderId="12" fillId="4" fontId="19" numFmtId="0" xfId="0" applyAlignment="1" applyBorder="1" applyFont="1">
      <alignment horizontal="center" shrinkToFit="0" vertical="center" wrapText="1"/>
    </xf>
    <xf borderId="31" fillId="12" fontId="18" numFmtId="0" xfId="0" applyAlignment="1" applyBorder="1" applyFont="1">
      <alignment horizontal="center" shrinkToFit="0" textRotation="180" vertical="bottom" wrapText="0"/>
    </xf>
    <xf borderId="31" fillId="0" fontId="19" numFmtId="0" xfId="0" applyAlignment="1" applyBorder="1" applyFont="1">
      <alignment horizontal="center" shrinkToFit="0" vertical="center" wrapText="0"/>
    </xf>
    <xf borderId="5" fillId="10" fontId="2" numFmtId="3" xfId="0" applyBorder="1" applyFont="1" applyNumberFormat="1"/>
    <xf borderId="5" fillId="10" fontId="26" numFmtId="0" xfId="0" applyBorder="1" applyFont="1"/>
    <xf borderId="0" fillId="0" fontId="25" numFmtId="0" xfId="0" applyAlignment="1" applyFont="1">
      <alignment readingOrder="0"/>
    </xf>
    <xf borderId="12" fillId="13" fontId="18" numFmtId="0" xfId="0" applyAlignment="1" applyBorder="1" applyFont="1">
      <alignment horizontal="left" readingOrder="0" shrinkToFit="0" vertical="center" wrapText="0"/>
    </xf>
    <xf borderId="29" fillId="11" fontId="3" numFmtId="0" xfId="0" applyAlignment="1" applyBorder="1" applyFont="1">
      <alignment horizontal="left" readingOrder="0" shrinkToFit="0" vertical="center" wrapText="0"/>
    </xf>
    <xf borderId="0" fillId="12" fontId="18" numFmtId="0" xfId="0" applyAlignment="1" applyFont="1">
      <alignment horizontal="center" readingOrder="0" shrinkToFit="0" vertical="bottom" wrapText="1"/>
    </xf>
    <xf borderId="2" fillId="12" fontId="18" numFmtId="0" xfId="0" applyAlignment="1" applyBorder="1" applyFont="1">
      <alignment horizontal="center" readingOrder="0" shrinkToFit="0" textRotation="180" vertical="bottom" wrapText="0"/>
    </xf>
    <xf borderId="0" fillId="12" fontId="18" numFmtId="0" xfId="0" applyAlignment="1" applyFont="1">
      <alignment horizontal="center" readingOrder="0" shrinkToFit="0" textRotation="180" vertical="bottom" wrapText="0"/>
    </xf>
    <xf borderId="32" fillId="12" fontId="18" numFmtId="0" xfId="0" applyAlignment="1" applyBorder="1" applyFont="1">
      <alignment horizontal="center" readingOrder="0" shrinkToFit="0" textRotation="180" vertical="bottom" wrapText="0"/>
    </xf>
    <xf borderId="0" fillId="0" fontId="19" numFmtId="0" xfId="0" applyAlignment="1" applyFont="1">
      <alignment horizontal="center" readingOrder="0" shrinkToFit="0" vertical="center" wrapText="0"/>
    </xf>
    <xf borderId="2" fillId="0" fontId="19" numFmtId="0" xfId="0" applyAlignment="1" applyBorder="1" applyFont="1">
      <alignment horizontal="center" readingOrder="0" shrinkToFit="0" vertical="center" wrapText="0"/>
    </xf>
    <xf borderId="32" fillId="0" fontId="19" numFmtId="0" xfId="0" applyAlignment="1" applyBorder="1" applyFont="1">
      <alignment horizontal="center" readingOrder="0" shrinkToFit="0" vertical="center" wrapText="0"/>
    </xf>
    <xf borderId="26" fillId="12" fontId="18" numFmtId="0" xfId="0" applyAlignment="1" applyBorder="1" applyFont="1">
      <alignment horizontal="center" readingOrder="0" shrinkToFit="0" vertical="bottom" wrapText="1"/>
    </xf>
    <xf borderId="31" fillId="12" fontId="18" numFmtId="0" xfId="0" applyAlignment="1" applyBorder="1" applyFont="1">
      <alignment horizontal="center" readingOrder="0" shrinkToFit="0" textRotation="180" vertical="bottom" wrapText="0"/>
    </xf>
    <xf borderId="26" fillId="0" fontId="19" numFmtId="0" xfId="0" applyAlignment="1" applyBorder="1" applyFont="1">
      <alignment horizontal="center" readingOrder="0" shrinkToFit="0" vertical="center" wrapText="0"/>
    </xf>
    <xf borderId="31" fillId="0" fontId="19" numFmtId="0" xfId="0" applyAlignment="1" applyBorder="1" applyFont="1">
      <alignment horizontal="center" readingOrder="0" shrinkToFit="0" vertical="center" wrapText="0"/>
    </xf>
    <xf borderId="0" fillId="0" fontId="6" numFmtId="0" xfId="0" applyFont="1"/>
    <xf borderId="0" fillId="11" fontId="3" numFmtId="0" xfId="0" applyAlignment="1" applyFont="1">
      <alignment horizontal="left" vertical="center"/>
    </xf>
    <xf borderId="0" fillId="13" fontId="18" numFmtId="0" xfId="0" applyAlignment="1" applyFont="1">
      <alignment horizontal="left" vertical="center"/>
    </xf>
    <xf borderId="0" fillId="4" fontId="19" numFmtId="0" xfId="0" applyAlignment="1" applyFont="1">
      <alignment horizontal="left" vertical="center"/>
    </xf>
    <xf borderId="0" fillId="4" fontId="19" numFmtId="0" xfId="0" applyAlignment="1" applyFont="1">
      <alignment horizontal="center" vertical="center"/>
    </xf>
    <xf borderId="26" fillId="12" fontId="18" numFmtId="0" xfId="0" applyAlignment="1" applyBorder="1" applyFont="1">
      <alignment horizontal="center" vertical="bottom"/>
    </xf>
    <xf borderId="31" fillId="12" fontId="18" numFmtId="0" xfId="0" applyAlignment="1" applyBorder="1" applyFont="1">
      <alignment horizontal="center" textRotation="180" vertical="bottom"/>
    </xf>
    <xf borderId="26" fillId="0" fontId="19" numFmtId="0" xfId="0" applyAlignment="1" applyBorder="1" applyFont="1">
      <alignment horizontal="center" vertical="center"/>
    </xf>
    <xf borderId="31" fillId="0" fontId="19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0" fillId="11" fontId="3" numFmtId="0" xfId="0" applyAlignment="1" applyFont="1">
      <alignment horizontal="left" readingOrder="0" vertical="center"/>
    </xf>
    <xf borderId="33" fillId="17" fontId="27" numFmtId="0" xfId="0" applyBorder="1" applyFill="1" applyFont="1"/>
    <xf borderId="34" fillId="18" fontId="28" numFmtId="0" xfId="0" applyAlignment="1" applyBorder="1" applyFill="1" applyFont="1">
      <alignment horizontal="center" shrinkToFit="0" wrapText="1"/>
    </xf>
    <xf borderId="35" fillId="0" fontId="4" numFmtId="0" xfId="0" applyBorder="1" applyFont="1"/>
    <xf borderId="36" fillId="0" fontId="4" numFmtId="0" xfId="0" applyBorder="1" applyFont="1"/>
    <xf borderId="33" fillId="19" fontId="29" numFmtId="0" xfId="0" applyAlignment="1" applyBorder="1" applyFill="1" applyFont="1">
      <alignment horizontal="center" shrinkToFit="0" wrapText="1"/>
    </xf>
    <xf borderId="33" fillId="19" fontId="30" numFmtId="0" xfId="0" applyAlignment="1" applyBorder="1" applyFont="1">
      <alignment horizontal="center" shrinkToFit="0" wrapText="1"/>
    </xf>
    <xf borderId="34" fillId="20" fontId="30" numFmtId="0" xfId="0" applyAlignment="1" applyBorder="1" applyFill="1" applyFont="1">
      <alignment horizontal="center" shrinkToFit="0" wrapText="1"/>
    </xf>
    <xf borderId="33" fillId="21" fontId="30" numFmtId="0" xfId="0" applyAlignment="1" applyBorder="1" applyFill="1" applyFont="1">
      <alignment horizontal="center" shrinkToFit="0" wrapText="1"/>
    </xf>
    <xf borderId="33" fillId="21" fontId="30" numFmtId="0" xfId="0" applyAlignment="1" applyBorder="1" applyFont="1">
      <alignment horizontal="center" shrinkToFit="0" vertical="bottom" wrapText="1"/>
    </xf>
    <xf borderId="33" fillId="17" fontId="14" numFmtId="0" xfId="0" applyAlignment="1" applyBorder="1" applyFont="1">
      <alignment vertical="bottom"/>
    </xf>
    <xf borderId="34" fillId="21" fontId="30" numFmtId="0" xfId="0" applyAlignment="1" applyBorder="1" applyFont="1">
      <alignment horizontal="center" shrinkToFit="0" wrapText="1"/>
    </xf>
    <xf borderId="33" fillId="22" fontId="30" numFmtId="0" xfId="0" applyAlignment="1" applyBorder="1" applyFill="1" applyFont="1">
      <alignment horizontal="center" shrinkToFit="0" wrapText="1"/>
    </xf>
    <xf borderId="34" fillId="23" fontId="30" numFmtId="0" xfId="0" applyAlignment="1" applyBorder="1" applyFill="1" applyFont="1">
      <alignment horizontal="center" shrinkToFit="0" wrapText="1"/>
    </xf>
    <xf borderId="34" fillId="24" fontId="30" numFmtId="0" xfId="0" applyAlignment="1" applyBorder="1" applyFill="1" applyFont="1">
      <alignment horizontal="center" shrinkToFit="0" wrapText="1"/>
    </xf>
    <xf borderId="33" fillId="23" fontId="30" numFmtId="0" xfId="0" applyAlignment="1" applyBorder="1" applyFont="1">
      <alignment horizontal="center" shrinkToFit="0" wrapText="1"/>
    </xf>
    <xf borderId="34" fillId="17" fontId="30" numFmtId="0" xfId="0" applyAlignment="1" applyBorder="1" applyFont="1">
      <alignment horizontal="center" shrinkToFit="0" wrapText="1"/>
    </xf>
    <xf borderId="33" fillId="17" fontId="30" numFmtId="0" xfId="0" applyAlignment="1" applyBorder="1" applyFont="1">
      <alignment horizontal="center" shrinkToFit="0" wrapText="1"/>
    </xf>
    <xf borderId="0" fillId="0" fontId="31" numFmtId="0" xfId="0" applyFont="1"/>
    <xf borderId="0" fillId="0" fontId="32" numFmtId="0" xfId="0" applyAlignment="1" applyFont="1">
      <alignment readingOrder="0"/>
    </xf>
    <xf borderId="0" fillId="0" fontId="32" numFmtId="0" xfId="0" applyFont="1"/>
    <xf borderId="12" fillId="25" fontId="3" numFmtId="0" xfId="0" applyBorder="1" applyFill="1" applyFont="1"/>
    <xf borderId="12" fillId="26" fontId="3" numFmtId="0" xfId="0" applyBorder="1" applyFill="1" applyFont="1"/>
    <xf borderId="12" fillId="27" fontId="3" numFmtId="0" xfId="0" applyBorder="1" applyFill="1" applyFont="1"/>
    <xf borderId="12" fillId="28" fontId="3" numFmtId="0" xfId="0" applyBorder="1" applyFill="1" applyFont="1"/>
    <xf borderId="5" fillId="9" fontId="24" numFmtId="0" xfId="0" applyAlignment="1" applyBorder="1" applyFont="1">
      <alignment horizontal="center"/>
    </xf>
    <xf borderId="5" fillId="29" fontId="24" numFmtId="0" xfId="0" applyAlignment="1" applyBorder="1" applyFill="1" applyFont="1">
      <alignment horizontal="center"/>
    </xf>
    <xf borderId="5" fillId="10" fontId="24" numFmtId="0" xfId="0" applyAlignment="1" applyBorder="1" applyFont="1">
      <alignment horizontal="center"/>
    </xf>
    <xf borderId="12" fillId="30" fontId="33" numFmtId="0" xfId="0" applyBorder="1" applyFill="1" applyFont="1"/>
    <xf borderId="0" fillId="0" fontId="19" numFmtId="0" xfId="0" applyAlignment="1" applyFont="1">
      <alignment horizontal="center"/>
    </xf>
    <xf borderId="0" fillId="0" fontId="19" numFmtId="165" xfId="0" applyAlignment="1" applyFont="1" applyNumberFormat="1">
      <alignment horizontal="center" readingOrder="0"/>
    </xf>
    <xf borderId="0" fillId="0" fontId="19" numFmtId="165" xfId="0" applyAlignment="1" applyFont="1" applyNumberFormat="1">
      <alignment horizontal="center"/>
    </xf>
    <xf borderId="0" fillId="0" fontId="19" numFmtId="166" xfId="0" applyAlignment="1" applyFont="1" applyNumberFormat="1">
      <alignment horizontal="center"/>
    </xf>
    <xf borderId="0" fillId="0" fontId="17" numFmtId="0" xfId="0" applyFont="1"/>
    <xf borderId="0" fillId="0" fontId="9" numFmtId="0" xfId="0" applyFont="1"/>
    <xf borderId="12" fillId="4" fontId="9" numFmtId="0" xfId="0" applyAlignment="1" applyBorder="1" applyFont="1">
      <alignment readingOrder="0"/>
    </xf>
    <xf borderId="0" fillId="0" fontId="34" numFmtId="0" xfId="0" applyFont="1"/>
    <xf borderId="0" fillId="0" fontId="18" numFmtId="0" xfId="0" applyFont="1"/>
    <xf borderId="12" fillId="31" fontId="9" numFmtId="0" xfId="0" applyAlignment="1" applyBorder="1" applyFill="1" applyFont="1">
      <alignment horizontal="center"/>
    </xf>
    <xf borderId="0" fillId="0" fontId="8" numFmtId="0" xfId="0" applyAlignment="1" applyFont="1">
      <alignment shrinkToFit="0" wrapText="1"/>
    </xf>
    <xf borderId="5" fillId="5" fontId="24" numFmtId="0" xfId="0" applyAlignment="1" applyBorder="1" applyFont="1">
      <alignment shrinkToFit="0" wrapText="1"/>
    </xf>
    <xf borderId="5" fillId="5" fontId="24" numFmtId="0" xfId="0" applyAlignment="1" applyBorder="1" applyFont="1">
      <alignment horizontal="center" shrinkToFit="0" wrapText="1"/>
    </xf>
    <xf borderId="5" fillId="0" fontId="24" numFmtId="0" xfId="0" applyBorder="1" applyFont="1"/>
    <xf borderId="5" fillId="32" fontId="2" numFmtId="167" xfId="0" applyBorder="1" applyFill="1" applyFont="1" applyNumberFormat="1"/>
    <xf borderId="5" fillId="0" fontId="2" numFmtId="168" xfId="0" applyBorder="1" applyFont="1" applyNumberFormat="1"/>
    <xf borderId="0" fillId="0" fontId="8" numFmtId="0" xfId="0" applyAlignment="1" applyFont="1">
      <alignment horizontal="center"/>
    </xf>
    <xf borderId="5" fillId="4" fontId="24" numFmtId="0" xfId="0" applyBorder="1" applyFont="1"/>
    <xf borderId="5" fillId="10" fontId="2" numFmtId="167" xfId="0" applyBorder="1" applyFont="1" applyNumberFormat="1"/>
    <xf borderId="9" fillId="0" fontId="8" numFmtId="0" xfId="0" applyAlignment="1" applyBorder="1" applyFont="1">
      <alignment horizontal="center"/>
    </xf>
    <xf borderId="0" fillId="0" fontId="31" numFmtId="0" xfId="0" applyAlignment="1" applyFont="1">
      <alignment readingOrder="0"/>
    </xf>
    <xf borderId="5" fillId="4" fontId="9" numFmtId="0" xfId="0" applyAlignment="1" applyBorder="1" applyFont="1">
      <alignment horizontal="center"/>
    </xf>
    <xf borderId="5" fillId="4" fontId="9" numFmtId="0" xfId="0" applyAlignment="1" applyBorder="1" applyFont="1">
      <alignment horizontal="center" readingOrder="0"/>
    </xf>
    <xf borderId="5" fillId="9" fontId="24" numFmtId="0" xfId="0" applyAlignment="1" applyBorder="1" applyFont="1">
      <alignment horizontal="center" textRotation="180"/>
    </xf>
    <xf borderId="5" fillId="29" fontId="24" numFmtId="0" xfId="0" applyAlignment="1" applyBorder="1" applyFont="1">
      <alignment horizontal="center" textRotation="180"/>
    </xf>
    <xf borderId="5" fillId="10" fontId="24" numFmtId="0" xfId="0" applyAlignment="1" applyBorder="1" applyFont="1">
      <alignment horizontal="center" textRotation="180"/>
    </xf>
    <xf borderId="0" fillId="0" fontId="5" numFmtId="0" xfId="0" applyAlignment="1" applyFont="1">
      <alignment horizontal="center"/>
    </xf>
    <xf borderId="0" fillId="0" fontId="5" numFmtId="4" xfId="0" applyAlignment="1" applyFont="1" applyNumberFormat="1">
      <alignment horizontal="center"/>
    </xf>
    <xf borderId="0" fillId="0" fontId="5" numFmtId="168" xfId="0" applyAlignment="1" applyFont="1" applyNumberFormat="1">
      <alignment horizontal="center"/>
    </xf>
    <xf borderId="5" fillId="5" fontId="2" numFmtId="0" xfId="0" applyBorder="1" applyFont="1"/>
    <xf borderId="5" fillId="9" fontId="9" numFmtId="4" xfId="0" applyAlignment="1" applyBorder="1" applyFont="1" applyNumberFormat="1">
      <alignment horizontal="center"/>
    </xf>
    <xf borderId="5" fillId="29" fontId="9" numFmtId="4" xfId="0" applyAlignment="1" applyBorder="1" applyFont="1" applyNumberFormat="1">
      <alignment horizontal="center"/>
    </xf>
    <xf borderId="5" fillId="10" fontId="9" numFmtId="168" xfId="0" applyAlignment="1" applyBorder="1" applyFont="1" applyNumberFormat="1">
      <alignment horizontal="center"/>
    </xf>
    <xf borderId="0" fillId="0" fontId="35" numFmtId="0" xfId="0" applyAlignment="1" applyFont="1">
      <alignment readingOrder="0"/>
    </xf>
    <xf borderId="0" fillId="0" fontId="34" numFmtId="0" xfId="0" applyAlignment="1" applyFont="1">
      <alignment readingOrder="0"/>
    </xf>
    <xf borderId="0" fillId="13" fontId="18" numFmtId="0" xfId="0" applyAlignment="1" applyFont="1">
      <alignment horizontal="right" readingOrder="0" vertical="center"/>
    </xf>
    <xf borderId="0" fillId="5" fontId="8" numFmtId="0" xfId="0" applyFont="1"/>
    <xf borderId="0" fillId="0" fontId="36" numFmtId="0" xfId="0" applyAlignment="1" applyFont="1">
      <alignment readingOrder="0"/>
    </xf>
    <xf borderId="26" fillId="12" fontId="18" numFmtId="0" xfId="0" applyAlignment="1" applyBorder="1" applyFont="1">
      <alignment horizontal="center" textRotation="180" vertical="bottom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left" readingOrder="0"/>
    </xf>
    <xf borderId="23" fillId="33" fontId="28" numFmtId="0" xfId="0" applyAlignment="1" applyBorder="1" applyFill="1" applyFont="1">
      <alignment shrinkToFit="0" vertical="center" wrapText="0"/>
    </xf>
    <xf borderId="37" fillId="0" fontId="4" numFmtId="0" xfId="0" applyBorder="1" applyFont="1"/>
    <xf borderId="38" fillId="0" fontId="4" numFmtId="0" xfId="0" applyBorder="1" applyFont="1"/>
    <xf borderId="18" fillId="0" fontId="37" numFmtId="0" xfId="0" applyAlignment="1" applyBorder="1" applyFont="1">
      <alignment shrinkToFit="0" vertical="center" wrapText="1"/>
    </xf>
    <xf borderId="18" fillId="0" fontId="37" numFmtId="0" xfId="0" applyAlignment="1" applyBorder="1" applyFont="1">
      <alignment horizontal="center" shrinkToFit="0" vertical="center" wrapText="1"/>
    </xf>
    <xf borderId="18" fillId="0" fontId="37" numFmtId="0" xfId="0" applyAlignment="1" applyBorder="1" applyFont="1">
      <alignment horizontal="center" readingOrder="0" shrinkToFit="0" vertical="center" wrapText="1"/>
    </xf>
    <xf borderId="0" fillId="0" fontId="38" numFmtId="0" xfId="0" applyAlignment="1" applyFont="1">
      <alignment shrinkToFit="0" vertical="center" wrapText="1"/>
    </xf>
    <xf borderId="12" fillId="34" fontId="38" numFmtId="0" xfId="0" applyAlignment="1" applyBorder="1" applyFill="1" applyFont="1">
      <alignment horizontal="center" readingOrder="0" shrinkToFit="0" vertical="center" wrapText="0"/>
    </xf>
    <xf borderId="0" fillId="0" fontId="39" numFmtId="0" xfId="0" applyAlignment="1" applyFont="1">
      <alignment shrinkToFit="0" vertical="center" wrapText="1"/>
    </xf>
    <xf borderId="39" fillId="35" fontId="40" numFmtId="0" xfId="0" applyAlignment="1" applyBorder="1" applyFill="1" applyFont="1">
      <alignment horizontal="left" shrinkToFit="0" vertical="center" wrapText="0"/>
    </xf>
    <xf borderId="0" fillId="0" fontId="39" numFmtId="0" xfId="0" applyAlignment="1" applyFont="1">
      <alignment readingOrder="0" shrinkToFit="0" vertical="center" wrapText="1"/>
    </xf>
    <xf borderId="0" fillId="0" fontId="38" numFmtId="0" xfId="0" applyAlignment="1" applyFont="1">
      <alignment readingOrder="0" shrinkToFit="0" vertical="center" wrapText="1"/>
    </xf>
    <xf borderId="12" fillId="35" fontId="40" numFmtId="0" xfId="0" applyAlignment="1" applyBorder="1" applyFont="1">
      <alignment horizontal="center" readingOrder="0" shrinkToFit="0" vertical="center" wrapText="0"/>
    </xf>
    <xf borderId="12" fillId="35" fontId="40" numFmtId="0" xfId="0" applyAlignment="1" applyBorder="1" applyFont="1">
      <alignment horizontal="left" shrinkToFit="0" vertical="center" wrapText="0"/>
    </xf>
    <xf borderId="40" fillId="33" fontId="28" numFmtId="0" xfId="0" applyAlignment="1" applyBorder="1" applyFont="1">
      <alignment readingOrder="0" shrinkToFit="0" vertical="center" wrapText="0"/>
    </xf>
    <xf borderId="41" fillId="33" fontId="28" numFmtId="0" xfId="0" applyAlignment="1" applyBorder="1" applyFont="1">
      <alignment readingOrder="0" shrinkToFit="0" vertical="center" wrapText="0"/>
    </xf>
    <xf borderId="42" fillId="33" fontId="28" numFmtId="0" xfId="0" applyAlignment="1" applyBorder="1" applyFont="1">
      <alignment readingOrder="0" shrinkToFit="0" vertical="center" wrapText="0"/>
    </xf>
    <xf borderId="18" fillId="0" fontId="37" numFmtId="0" xfId="0" applyAlignment="1" applyBorder="1" applyFont="1">
      <alignment readingOrder="0" shrinkToFit="0" vertical="center" wrapText="1"/>
    </xf>
    <xf borderId="39" fillId="36" fontId="41" numFmtId="0" xfId="0" applyAlignment="1" applyBorder="1" applyFill="1" applyFont="1">
      <alignment horizontal="center" readingOrder="0" shrinkToFit="0" vertical="center" wrapText="0"/>
    </xf>
    <xf borderId="39" fillId="34" fontId="42" numFmtId="2" xfId="0" applyAlignment="1" applyBorder="1" applyFont="1" applyNumberFormat="1">
      <alignment horizontal="center" readingOrder="0"/>
    </xf>
    <xf borderId="12" fillId="35" fontId="43" numFmtId="2" xfId="0" applyAlignment="1" applyBorder="1" applyFont="1" applyNumberFormat="1">
      <alignment horizontal="center"/>
    </xf>
    <xf borderId="12" fillId="35" fontId="40" numFmtId="2" xfId="0" applyAlignment="1" applyBorder="1" applyFont="1" applyNumberFormat="1">
      <alignment horizontal="center" shrinkToFit="0" vertical="center" wrapText="0"/>
    </xf>
    <xf borderId="12" fillId="36" fontId="41" numFmtId="0" xfId="0" applyAlignment="1" applyBorder="1" applyFont="1">
      <alignment horizontal="center" readingOrder="0" shrinkToFit="0" vertical="center" wrapText="0"/>
    </xf>
    <xf borderId="12" fillId="34" fontId="42" numFmtId="2" xfId="0" applyAlignment="1" applyBorder="1" applyFont="1" applyNumberFormat="1">
      <alignment horizontal="center" readingOrder="0"/>
    </xf>
    <xf borderId="0" fillId="0" fontId="42" numFmtId="0" xfId="0" applyAlignment="1" applyFont="1">
      <alignment shrinkToFit="0" wrapText="1"/>
    </xf>
    <xf borderId="12" fillId="36" fontId="44" numFmtId="2" xfId="0" applyAlignment="1" applyBorder="1" applyFont="1" applyNumberFormat="1">
      <alignment horizontal="center" readingOrder="0"/>
    </xf>
    <xf borderId="0" fillId="0" fontId="14" numFmtId="0" xfId="0" applyAlignment="1" applyFont="1">
      <alignment vertical="bottom"/>
    </xf>
    <xf borderId="18" fillId="0" fontId="38" numFmtId="0" xfId="0" applyAlignment="1" applyBorder="1" applyFont="1">
      <alignment readingOrder="0" shrinkToFit="0" vertical="center" wrapText="1"/>
    </xf>
    <xf borderId="15" fillId="36" fontId="41" numFmtId="0" xfId="0" applyAlignment="1" applyBorder="1" applyFont="1">
      <alignment horizontal="center" readingOrder="0" shrinkToFit="0" vertical="center" wrapText="0"/>
    </xf>
    <xf borderId="15" fillId="35" fontId="43" numFmtId="2" xfId="0" applyAlignment="1" applyBorder="1" applyFont="1" applyNumberFormat="1">
      <alignment horizontal="center"/>
    </xf>
    <xf borderId="15" fillId="35" fontId="40" numFmtId="2" xfId="0" applyAlignment="1" applyBorder="1" applyFont="1" applyNumberFormat="1">
      <alignment horizontal="center" shrinkToFit="0" vertical="center" wrapText="0"/>
    </xf>
    <xf borderId="39" fillId="35" fontId="40" numFmtId="2" xfId="0" applyAlignment="1" applyBorder="1" applyFont="1" applyNumberFormat="1">
      <alignment horizontal="center" shrinkToFit="0" vertical="center" wrapText="0"/>
    </xf>
    <xf borderId="12" fillId="34" fontId="38" numFmtId="0" xfId="0" applyAlignment="1" applyBorder="1" applyFont="1">
      <alignment horizontal="center" shrinkToFit="0" vertical="center" wrapText="0"/>
    </xf>
    <xf borderId="0" fillId="0" fontId="45" numFmtId="0" xfId="0" applyAlignment="1" applyFont="1">
      <alignment readingOrder="0"/>
    </xf>
    <xf borderId="12" fillId="34" fontId="38" numFmtId="164" xfId="0" applyAlignment="1" applyBorder="1" applyFont="1" applyNumberFormat="1">
      <alignment horizontal="center" readingOrder="0" shrinkToFit="0" vertical="center" wrapText="0"/>
    </xf>
    <xf borderId="12" fillId="34" fontId="38" numFmtId="164" xfId="0" applyAlignment="1" applyBorder="1" applyFont="1" applyNumberFormat="1">
      <alignment horizontal="center" shrinkToFit="0" vertical="center" wrapText="0"/>
    </xf>
    <xf borderId="12" fillId="35" fontId="40" numFmtId="164" xfId="0" applyAlignment="1" applyBorder="1" applyFont="1" applyNumberFormat="1">
      <alignment horizontal="center" shrinkToFit="0" vertical="center" wrapText="0"/>
    </xf>
    <xf borderId="0" fillId="0" fontId="46" numFmtId="0" xfId="0" applyAlignment="1" applyFont="1">
      <alignment readingOrder="0"/>
    </xf>
    <xf borderId="23" fillId="33" fontId="28" numFmtId="0" xfId="0" applyAlignment="1" applyBorder="1" applyFont="1">
      <alignment readingOrder="0" shrinkToFit="0" vertical="center" wrapText="0"/>
    </xf>
    <xf borderId="0" fillId="0" fontId="38" numFmtId="0" xfId="0" applyAlignment="1" applyFont="1">
      <alignment horizontal="right" shrinkToFit="0" vertical="center" wrapText="1"/>
    </xf>
    <xf borderId="0" fillId="0" fontId="47" numFmtId="0" xfId="0" applyAlignment="1" applyFont="1">
      <alignment readingOrder="0"/>
    </xf>
    <xf borderId="0" fillId="0" fontId="48" numFmtId="0" xfId="0" applyAlignment="1" applyFont="1">
      <alignment readingOrder="0"/>
    </xf>
    <xf borderId="0" fillId="0" fontId="36" numFmtId="0" xfId="0" applyAlignment="1" applyFont="1">
      <alignment horizontal="center" readingOrder="0"/>
    </xf>
    <xf borderId="2" fillId="0" fontId="36" numFmtId="0" xfId="0" applyAlignment="1" applyBorder="1" applyFont="1">
      <alignment horizontal="center" readingOrder="0"/>
    </xf>
    <xf borderId="3" fillId="0" fontId="8" numFmtId="10" xfId="0" applyAlignment="1" applyBorder="1" applyFont="1" applyNumberFormat="1">
      <alignment horizontal="center"/>
    </xf>
    <xf borderId="2" fillId="0" fontId="8" numFmtId="0" xfId="0" applyAlignment="1" applyBorder="1" applyFont="1">
      <alignment horizontal="right"/>
    </xf>
    <xf borderId="3" fillId="0" fontId="8" numFmtId="0" xfId="0" applyBorder="1" applyFont="1"/>
    <xf borderId="3" fillId="0" fontId="36" numFmtId="10" xfId="0" applyAlignment="1" applyBorder="1" applyFont="1" applyNumberFormat="1">
      <alignment horizontal="center"/>
    </xf>
    <xf borderId="3" fillId="0" fontId="36" numFmtId="0" xfId="0" applyAlignment="1" applyBorder="1" applyFont="1">
      <alignment horizontal="center" readingOrder="0"/>
    </xf>
    <xf borderId="12" fillId="34" fontId="38" numFmtId="0" xfId="0" applyAlignment="1" applyBorder="1" applyFont="1">
      <alignment readingOrder="0" shrinkToFit="0" vertical="center" wrapText="0"/>
    </xf>
    <xf borderId="12" fillId="35" fontId="40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right"/>
    </xf>
    <xf borderId="0" fillId="4" fontId="8" numFmtId="0" xfId="0" applyAlignment="1" applyFont="1">
      <alignment horizontal="center" readingOrder="0"/>
    </xf>
    <xf borderId="2" fillId="0" fontId="8" numFmtId="0" xfId="0" applyAlignment="1" applyBorder="1" applyFont="1">
      <alignment horizontal="right" readingOrder="0"/>
    </xf>
    <xf borderId="3" fillId="4" fontId="8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right"/>
    </xf>
    <xf borderId="3" fillId="0" fontId="8" numFmtId="10" xfId="0" applyBorder="1" applyFont="1" applyNumberFormat="1"/>
    <xf borderId="2" fillId="0" fontId="8" numFmtId="0" xfId="0" applyBorder="1" applyFont="1"/>
    <xf borderId="3" fillId="0" fontId="8" numFmtId="0" xfId="0" applyAlignment="1" applyBorder="1" applyFont="1">
      <alignment horizontal="center" readingOrder="0"/>
    </xf>
    <xf borderId="3" fillId="0" fontId="8" numFmtId="0" xfId="0" applyAlignment="1" applyBorder="1" applyFont="1">
      <alignment horizontal="center"/>
    </xf>
    <xf borderId="2" fillId="0" fontId="8" numFmtId="0" xfId="0" applyAlignment="1" applyBorder="1" applyFont="1">
      <alignment horizontal="center"/>
    </xf>
    <xf borderId="37" fillId="33" fontId="28" numFmtId="0" xfId="0" applyAlignment="1" applyBorder="1" applyFont="1">
      <alignment shrinkToFit="0" vertical="center" wrapText="0"/>
    </xf>
    <xf borderId="17" fillId="0" fontId="37" numFmtId="0" xfId="0" applyAlignment="1" applyBorder="1" applyFont="1">
      <alignment horizontal="right" shrinkToFit="0" vertical="center" wrapText="1"/>
    </xf>
    <xf borderId="23" fillId="34" fontId="38" numFmtId="0" xfId="0" applyAlignment="1" applyBorder="1" applyFont="1">
      <alignment horizontal="center" shrinkToFit="0" vertical="center" wrapText="0"/>
    </xf>
    <xf borderId="43" fillId="34" fontId="38" numFmtId="0" xfId="0" applyAlignment="1" applyBorder="1" applyFont="1">
      <alignment horizontal="right" shrinkToFit="0" vertical="center" wrapText="0"/>
    </xf>
    <xf borderId="37" fillId="34" fontId="38" numFmtId="0" xfId="0" applyAlignment="1" applyBorder="1" applyFont="1">
      <alignment horizontal="center" shrinkToFit="0" vertical="center" wrapText="0"/>
    </xf>
    <xf borderId="0" fillId="0" fontId="8" numFmtId="10" xfId="0" applyAlignment="1" applyFont="1" applyNumberFormat="1">
      <alignment horizontal="center"/>
    </xf>
    <xf borderId="18" fillId="0" fontId="36" numFmtId="0" xfId="0" applyAlignment="1" applyBorder="1" applyFont="1">
      <alignment horizontal="center" readingOrder="0"/>
    </xf>
    <xf borderId="0" fillId="0" fontId="8" numFmtId="0" xfId="0" applyAlignment="1" applyFont="1">
      <alignment horizontal="right"/>
    </xf>
    <xf borderId="0" fillId="10" fontId="8" numFmtId="0" xfId="0" applyAlignment="1" applyFont="1">
      <alignment horizontal="center" readingOrder="0"/>
    </xf>
    <xf borderId="0" fillId="4" fontId="8" numFmtId="0" xfId="0" applyAlignment="1" applyFont="1">
      <alignment horizontal="center"/>
    </xf>
    <xf borderId="0" fillId="10" fontId="8" numFmtId="10" xfId="0" applyAlignment="1" applyFont="1" applyNumberFormat="1">
      <alignment horizontal="center"/>
    </xf>
    <xf borderId="0" fillId="0" fontId="36" numFmtId="1" xfId="0" applyAlignment="1" applyFont="1" applyNumberFormat="1">
      <alignment horizontal="center" readingOrder="0"/>
    </xf>
    <xf borderId="17" fillId="0" fontId="36" numFmtId="0" xfId="0" applyAlignment="1" applyBorder="1" applyFont="1">
      <alignment horizontal="center" readingOrder="0"/>
    </xf>
    <xf borderId="19" fillId="0" fontId="36" numFmtId="10" xfId="0" applyAlignment="1" applyBorder="1" applyFont="1" applyNumberFormat="1">
      <alignment horizontal="center"/>
    </xf>
    <xf borderId="19" fillId="0" fontId="8" numFmtId="0" xfId="0" applyAlignment="1" applyBorder="1" applyFont="1">
      <alignment horizontal="center"/>
    </xf>
    <xf borderId="19" fillId="0" fontId="36" numFmtId="0" xfId="0" applyAlignment="1" applyBorder="1" applyFont="1">
      <alignment horizontal="center" readingOrder="0"/>
    </xf>
    <xf borderId="3" fillId="10" fontId="8" numFmtId="0" xfId="0" applyAlignment="1" applyBorder="1" applyFont="1">
      <alignment horizontal="center"/>
    </xf>
    <xf borderId="3" fillId="10" fontId="8" numFmtId="10" xfId="0" applyAlignment="1" applyBorder="1" applyFont="1" applyNumberFormat="1">
      <alignment horizontal="center"/>
    </xf>
    <xf borderId="12" fillId="34" fontId="38" numFmtId="0" xfId="0" applyAlignment="1" applyBorder="1" applyFont="1">
      <alignment shrinkToFit="0" vertical="center" wrapText="0"/>
    </xf>
    <xf borderId="18" fillId="0" fontId="4" numFmtId="0" xfId="0" applyBorder="1" applyFont="1"/>
    <xf borderId="44" fillId="33" fontId="28" numFmtId="0" xfId="0" applyAlignment="1" applyBorder="1" applyFont="1">
      <alignment readingOrder="0" shrinkToFit="0" vertical="center" wrapText="0"/>
    </xf>
    <xf borderId="18" fillId="0" fontId="36" numFmtId="0" xfId="0" applyAlignment="1" applyBorder="1" applyFont="1">
      <alignment readingOrder="0"/>
    </xf>
    <xf borderId="0" fillId="10" fontId="8" numFmtId="0" xfId="0" applyFont="1"/>
    <xf borderId="0" fillId="0" fontId="8" numFmtId="0" xfId="0" applyAlignment="1" applyFont="1">
      <alignment shrinkToFit="0" wrapText="0"/>
    </xf>
    <xf borderId="0" fillId="33" fontId="8" numFmtId="0" xfId="0" applyFont="1"/>
    <xf borderId="18" fillId="0" fontId="14" numFmtId="0" xfId="0" applyAlignment="1" applyBorder="1" applyFont="1">
      <alignment horizontal="center" vertical="bottom"/>
    </xf>
    <xf borderId="17" fillId="0" fontId="14" numFmtId="0" xfId="0" applyAlignment="1" applyBorder="1" applyFont="1">
      <alignment horizontal="center" vertical="bottom"/>
    </xf>
    <xf borderId="14" fillId="0" fontId="14" numFmtId="0" xfId="0" applyAlignment="1" applyBorder="1" applyFont="1">
      <alignment horizontal="center" vertical="bottom"/>
    </xf>
    <xf borderId="12" fillId="35" fontId="40" numFmtId="0" xfId="0" applyAlignment="1" applyBorder="1" applyFont="1">
      <alignment horizontal="center" readingOrder="0" shrinkToFit="0" vertical="center" wrapText="0"/>
    </xf>
    <xf borderId="12" fillId="35" fontId="40" numFmtId="0" xfId="0" applyAlignment="1" applyBorder="1" applyFont="1">
      <alignment horizontal="left" readingOrder="0" shrinkToFit="0" vertical="center" wrapText="0"/>
    </xf>
    <xf borderId="12" fillId="35" fontId="40" numFmtId="0" xfId="0" applyAlignment="1" applyBorder="1" applyFont="1">
      <alignment horizontal="center" readingOrder="0" shrinkToFit="0" vertical="center" wrapText="0"/>
    </xf>
    <xf borderId="0" fillId="0" fontId="14" numFmtId="0" xfId="0" applyAlignment="1" applyFont="1">
      <alignment horizontal="center" vertical="bottom"/>
    </xf>
    <xf borderId="0" fillId="0" fontId="14" numFmtId="10" xfId="0" applyAlignment="1" applyFont="1" applyNumberFormat="1">
      <alignment horizontal="center" vertical="bottom"/>
    </xf>
    <xf borderId="5" fillId="0" fontId="8" numFmtId="0" xfId="0" applyAlignment="1" applyBorder="1" applyFont="1">
      <alignment horizontal="center" readingOrder="0"/>
    </xf>
    <xf borderId="0" fillId="0" fontId="49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169" xfId="0" applyAlignment="1" applyFont="1" applyNumberFormat="1">
      <alignment horizontal="center" vertical="bottom"/>
    </xf>
    <xf borderId="0" fillId="0" fontId="8" numFmtId="0" xfId="0" applyAlignment="1" applyFont="1">
      <alignment readingOrder="0" shrinkToFit="0" wrapText="0"/>
    </xf>
    <xf borderId="29" fillId="27" fontId="3" numFmtId="0" xfId="0" applyBorder="1" applyFont="1"/>
    <xf borderId="0" fillId="29" fontId="24" numFmtId="0" xfId="0" applyAlignment="1" applyFont="1">
      <alignment horizontal="left" textRotation="0"/>
    </xf>
    <xf borderId="38" fillId="4" fontId="26" numFmtId="0" xfId="0" applyAlignment="1" applyBorder="1" applyFont="1">
      <alignment horizontal="center"/>
    </xf>
    <xf borderId="38" fillId="4" fontId="26" numFmtId="0" xfId="0" applyAlignment="1" applyBorder="1" applyFont="1">
      <alignment horizontal="center" readingOrder="0"/>
    </xf>
    <xf borderId="5" fillId="29" fontId="24" numFmtId="0" xfId="0" applyAlignment="1" applyBorder="1" applyFont="1">
      <alignment horizontal="center" textRotation="0"/>
    </xf>
    <xf borderId="5" fillId="4" fontId="26" numFmtId="0" xfId="0" applyAlignment="1" applyBorder="1" applyFont="1">
      <alignment horizontal="center"/>
    </xf>
    <xf borderId="12" fillId="27" fontId="3" numFmtId="0" xfId="0" applyAlignment="1" applyBorder="1" applyFont="1">
      <alignment readingOrder="0"/>
    </xf>
    <xf borderId="0" fillId="8" fontId="50" numFmtId="0" xfId="0" applyAlignment="1" applyFont="1">
      <alignment horizontal="center"/>
    </xf>
    <xf borderId="0" fillId="0" fontId="51" numFmtId="0" xfId="0" applyFont="1"/>
    <xf borderId="5" fillId="29" fontId="24" numFmtId="0" xfId="0" applyAlignment="1" applyBorder="1" applyFont="1">
      <alignment horizontal="left" textRotation="0"/>
    </xf>
    <xf borderId="0" fillId="10" fontId="50" numFmtId="0" xfId="0" applyFont="1"/>
    <xf borderId="12" fillId="11" fontId="3" numFmtId="0" xfId="0" applyAlignment="1" applyBorder="1" applyFont="1">
      <alignment horizontal="left"/>
    </xf>
    <xf borderId="5" fillId="29" fontId="24" numFmtId="0" xfId="0" applyAlignment="1" applyBorder="1" applyFont="1">
      <alignment horizontal="center" shrinkToFit="0" textRotation="0" wrapText="1"/>
    </xf>
    <xf borderId="5" fillId="29" fontId="24" numFmtId="0" xfId="0" applyAlignment="1" applyBorder="1" applyFont="1">
      <alignment horizontal="center" shrinkToFit="0" textRotation="180" wrapText="1"/>
    </xf>
    <xf borderId="0" fillId="10" fontId="8" numFmtId="0" xfId="0" applyAlignment="1" applyFont="1">
      <alignment horizontal="center"/>
    </xf>
    <xf borderId="0" fillId="10" fontId="32" numFmtId="0" xfId="0" applyAlignment="1" applyFont="1">
      <alignment horizontal="center" shrinkToFit="0" wrapText="1"/>
    </xf>
    <xf borderId="0" fillId="0" fontId="52" numFmtId="0" xfId="0" applyAlignment="1" applyFont="1">
      <alignment readingOrder="0" shrinkToFit="0" vertical="bottom" wrapText="1"/>
    </xf>
    <xf borderId="0" fillId="0" fontId="36" numFmtId="0" xfId="0" applyAlignment="1" applyFont="1">
      <alignment readingOrder="0" shrinkToFit="0" wrapText="1"/>
    </xf>
    <xf borderId="0" fillId="0" fontId="21" numFmtId="0" xfId="0" applyAlignment="1" applyFont="1">
      <alignment readingOrder="0" shrinkToFit="0" vertical="bottom" wrapText="0"/>
    </xf>
    <xf borderId="0" fillId="0" fontId="21" numFmtId="0" xfId="0" applyAlignment="1" applyFont="1">
      <alignment horizontal="right" readingOrder="0" shrinkToFit="0" vertical="bottom" wrapText="0"/>
    </xf>
    <xf borderId="0" fillId="0" fontId="21" numFmtId="4" xfId="0" applyAlignment="1" applyFont="1" applyNumberFormat="1">
      <alignment horizontal="right" readingOrder="0" shrinkToFit="0" vertical="bottom" wrapText="0"/>
    </xf>
    <xf borderId="0" fillId="0" fontId="36" numFmtId="170" xfId="0" applyAlignment="1" applyFont="1" applyNumberFormat="1">
      <alignment readingOrder="0" shrinkToFit="0" wrapText="1"/>
    </xf>
    <xf borderId="0" fillId="0" fontId="8" numFmtId="170" xfId="0" applyAlignment="1" applyFont="1" applyNumberFormat="1">
      <alignment readingOrder="0"/>
    </xf>
    <xf borderId="0" fillId="0" fontId="8" numFmtId="170" xfId="0" applyFont="1" applyNumberFormat="1"/>
    <xf borderId="0" fillId="0" fontId="36" numFmtId="0" xfId="0" applyAlignment="1" applyFont="1">
      <alignment horizontal="center" readingOrder="0" shrinkToFit="0" wrapText="1"/>
    </xf>
  </cellXfs>
  <cellStyles count="1">
    <cellStyle xfId="0" name="Normal" builtinId="0"/>
  </cellStyles>
  <dxfs count="10">
    <dxf>
      <font>
        <b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11" Type="http://schemas.openxmlformats.org/officeDocument/2006/relationships/image" Target="../media/image21.png"/><Relationship Id="rId10" Type="http://schemas.openxmlformats.org/officeDocument/2006/relationships/image" Target="../media/image16.png"/><Relationship Id="rId9" Type="http://schemas.openxmlformats.org/officeDocument/2006/relationships/image" Target="../media/image9.png"/><Relationship Id="rId5" Type="http://schemas.openxmlformats.org/officeDocument/2006/relationships/image" Target="../media/image6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11" Type="http://schemas.openxmlformats.org/officeDocument/2006/relationships/image" Target="../media/image21.png"/><Relationship Id="rId10" Type="http://schemas.openxmlformats.org/officeDocument/2006/relationships/image" Target="../media/image16.png"/><Relationship Id="rId9" Type="http://schemas.openxmlformats.org/officeDocument/2006/relationships/image" Target="../media/image9.png"/><Relationship Id="rId5" Type="http://schemas.openxmlformats.org/officeDocument/2006/relationships/image" Target="../media/image6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11" Type="http://schemas.openxmlformats.org/officeDocument/2006/relationships/image" Target="../media/image21.png"/><Relationship Id="rId10" Type="http://schemas.openxmlformats.org/officeDocument/2006/relationships/image" Target="../media/image16.png"/><Relationship Id="rId9" Type="http://schemas.openxmlformats.org/officeDocument/2006/relationships/image" Target="../media/image9.png"/><Relationship Id="rId5" Type="http://schemas.openxmlformats.org/officeDocument/2006/relationships/image" Target="../media/image6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11" Type="http://schemas.openxmlformats.org/officeDocument/2006/relationships/image" Target="../media/image21.png"/><Relationship Id="rId10" Type="http://schemas.openxmlformats.org/officeDocument/2006/relationships/image" Target="../media/image16.png"/><Relationship Id="rId9" Type="http://schemas.openxmlformats.org/officeDocument/2006/relationships/image" Target="../media/image9.png"/><Relationship Id="rId5" Type="http://schemas.openxmlformats.org/officeDocument/2006/relationships/image" Target="../media/image6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3</xdr:row>
      <xdr:rowOff>0</xdr:rowOff>
    </xdr:from>
    <xdr:ext cx="247650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5</xdr:row>
      <xdr:rowOff>0</xdr:rowOff>
    </xdr:from>
    <xdr:ext cx="171450" cy="1905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6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7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8</xdr:row>
      <xdr:rowOff>0</xdr:rowOff>
    </xdr:from>
    <xdr:ext cx="190500" cy="19050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9</xdr:row>
      <xdr:rowOff>0</xdr:rowOff>
    </xdr:from>
    <xdr:ext cx="190500" cy="19050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10</xdr:row>
      <xdr:rowOff>0</xdr:rowOff>
    </xdr:from>
    <xdr:ext cx="190500" cy="19050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11</xdr:row>
      <xdr:rowOff>0</xdr:rowOff>
    </xdr:from>
    <xdr:ext cx="200025" cy="19050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12</xdr:row>
      <xdr:rowOff>0</xdr:rowOff>
    </xdr:from>
    <xdr:ext cx="180975" cy="1905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13</xdr:row>
      <xdr:rowOff>0</xdr:rowOff>
    </xdr:from>
    <xdr:ext cx="180975" cy="190500"/>
    <xdr:pic>
      <xdr:nvPicPr>
        <xdr:cNvPr id="0" name="image1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14</xdr:row>
      <xdr:rowOff>0</xdr:rowOff>
    </xdr:from>
    <xdr:ext cx="180975" cy="190500"/>
    <xdr:pic>
      <xdr:nvPicPr>
        <xdr:cNvPr id="0" name="image2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0</xdr:colOff>
      <xdr:row>4</xdr:row>
      <xdr:rowOff>0</xdr:rowOff>
    </xdr:from>
    <xdr:ext cx="247650" cy="19050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6</xdr:row>
      <xdr:rowOff>0</xdr:rowOff>
    </xdr:from>
    <xdr:ext cx="171450" cy="190500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7</xdr:row>
      <xdr:rowOff>0</xdr:rowOff>
    </xdr:from>
    <xdr:ext cx="171450" cy="19050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8</xdr:row>
      <xdr:rowOff>0</xdr:rowOff>
    </xdr:from>
    <xdr:ext cx="171450" cy="190500"/>
    <xdr:pic>
      <xdr:nvPicPr>
        <xdr:cNvPr id="0" name="image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9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10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11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12</xdr:row>
      <xdr:rowOff>0</xdr:rowOff>
    </xdr:from>
    <xdr:ext cx="200025" cy="190500"/>
    <xdr:pic>
      <xdr:nvPicPr>
        <xdr:cNvPr id="0" name="image1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13</xdr:row>
      <xdr:rowOff>0</xdr:rowOff>
    </xdr:from>
    <xdr:ext cx="180975" cy="190500"/>
    <xdr:pic>
      <xdr:nvPicPr>
        <xdr:cNvPr id="0" name="image1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14</xdr:row>
      <xdr:rowOff>0</xdr:rowOff>
    </xdr:from>
    <xdr:ext cx="180975" cy="190500"/>
    <xdr:pic>
      <xdr:nvPicPr>
        <xdr:cNvPr id="0" name="image1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15</xdr:row>
      <xdr:rowOff>0</xdr:rowOff>
    </xdr:from>
    <xdr:ext cx="180975" cy="190500"/>
    <xdr:pic>
      <xdr:nvPicPr>
        <xdr:cNvPr id="0" name="image2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2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2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3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2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2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2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2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2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3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2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2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2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s://royalkingdom.com/en/collection)" TargetMode="External"/><Relationship Id="rId2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2.v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4.xml"/><Relationship Id="rId3" Type="http://schemas.openxmlformats.org/officeDocument/2006/relationships/vmlDrawing" Target="../drawings/vmlDrawing3.v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5.xml"/><Relationship Id="rId3" Type="http://schemas.openxmlformats.org/officeDocument/2006/relationships/vmlDrawing" Target="../drawings/vmlDrawing4.v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6.xml"/><Relationship Id="rId3" Type="http://schemas.openxmlformats.org/officeDocument/2006/relationships/vmlDrawing" Target="../drawings/vmlDrawing5.v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7.xml"/><Relationship Id="rId3" Type="http://schemas.openxmlformats.org/officeDocument/2006/relationships/vmlDrawing" Target="../drawings/vmlDrawing6.v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48.xml"/><Relationship Id="rId3" Type="http://schemas.openxmlformats.org/officeDocument/2006/relationships/vmlDrawing" Target="../drawings/vmlDrawing7.v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0.xml"/><Relationship Id="rId3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15.75"/>
    <col customWidth="1" min="3" max="3" width="13.13"/>
    <col customWidth="1" min="4" max="13" width="4.0"/>
    <col customWidth="1" min="14" max="25" width="9.5"/>
    <col hidden="1" min="27" max="28" width="12.63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15.0" customHeight="1">
      <c r="A3" s="3" t="s">
        <v>1</v>
      </c>
      <c r="B3" s="3" t="s">
        <v>2</v>
      </c>
      <c r="C3" s="3" t="s">
        <v>3</v>
      </c>
      <c r="D3" s="2"/>
      <c r="E3" s="4" t="s">
        <v>4</v>
      </c>
      <c r="L3" s="5"/>
      <c r="M3" s="2"/>
      <c r="N3" s="6" t="s">
        <v>5</v>
      </c>
      <c r="O3" s="6" t="s">
        <v>6</v>
      </c>
      <c r="P3" s="6" t="s">
        <v>7</v>
      </c>
      <c r="Q3" s="6" t="s">
        <v>8</v>
      </c>
      <c r="R3" s="6" t="s">
        <v>9</v>
      </c>
      <c r="S3" s="6" t="s">
        <v>10</v>
      </c>
      <c r="T3" s="6" t="s">
        <v>11</v>
      </c>
      <c r="U3" s="7" t="s">
        <v>12</v>
      </c>
      <c r="V3" s="6" t="s">
        <v>13</v>
      </c>
      <c r="W3" s="6" t="s">
        <v>14</v>
      </c>
      <c r="X3" s="6" t="s">
        <v>15</v>
      </c>
      <c r="Y3" s="8" t="s">
        <v>16</v>
      </c>
      <c r="Z3" s="2"/>
      <c r="AA3" s="8" t="s">
        <v>17</v>
      </c>
      <c r="AB3" s="8" t="s">
        <v>18</v>
      </c>
      <c r="AC3" s="2"/>
      <c r="AD3" s="2"/>
      <c r="AE3" s="2"/>
      <c r="AF3" s="2"/>
      <c r="AG3" s="2"/>
    </row>
    <row r="4" ht="15.0" customHeight="1">
      <c r="A4" s="9">
        <v>1.0</v>
      </c>
      <c r="B4" s="10">
        <v>10.0</v>
      </c>
      <c r="C4" s="11">
        <v>15.0</v>
      </c>
      <c r="D4" s="2"/>
      <c r="E4" s="12" t="str">
        <f>IFERROR(__xludf.DUMMYFUNCTION("LET(
  names, HSTACK(""Coins"", $N$3:$X$3),
  amounts, HSTACK(C4, N4:X4),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4" s="13">
        <f>IFERROR(__xludf.DUMMYFUNCTION("""COMPUTED_VALUE"""),15.0)</f>
        <v>15</v>
      </c>
      <c r="G4" s="14" t="str">
        <f>IFERROR(__xludf.DUMMYFUNCTION("""COMPUTED_VALUE"""),"")</f>
        <v/>
      </c>
      <c r="H4" s="13">
        <f>IFERROR(__xludf.DUMMYFUNCTION("""COMPUTED_VALUE"""),1.0)</f>
        <v>1</v>
      </c>
      <c r="I4" s="14" t="str">
        <f>IFERROR(__xludf.DUMMYFUNCTION("""COMPUTED_VALUE"""),"")</f>
        <v/>
      </c>
      <c r="J4" s="13">
        <f>IFERROR(__xludf.DUMMYFUNCTION("""COMPUTED_VALUE"""),1.0)</f>
        <v>1</v>
      </c>
      <c r="K4" s="13"/>
      <c r="L4" s="15"/>
      <c r="M4" s="2"/>
      <c r="N4" s="16">
        <v>0.0</v>
      </c>
      <c r="O4" s="17">
        <v>1.0</v>
      </c>
      <c r="P4" s="17">
        <v>0.0</v>
      </c>
      <c r="Q4" s="17">
        <v>1.0</v>
      </c>
      <c r="R4" s="17">
        <v>0.0</v>
      </c>
      <c r="S4" s="17">
        <v>0.0</v>
      </c>
      <c r="T4" s="17">
        <v>0.0</v>
      </c>
      <c r="U4" s="18">
        <v>0.0</v>
      </c>
      <c r="V4" s="17">
        <v>0.0</v>
      </c>
      <c r="W4" s="17">
        <v>0.0</v>
      </c>
      <c r="X4" s="19">
        <v>0.0</v>
      </c>
      <c r="Y4" s="20">
        <f t="shared" ref="Y4:Y13" si="1">SUMPRODUCT(N4:X4, {0,33,50,67,167,67,50,4.17,7.56,12.17,16.22})</f>
        <v>100</v>
      </c>
      <c r="Z4" s="2"/>
      <c r="AA4" s="21" t="s">
        <v>19</v>
      </c>
      <c r="AB4" s="22"/>
      <c r="AC4" s="2"/>
      <c r="AD4" s="2"/>
      <c r="AE4" s="2"/>
      <c r="AF4" s="2"/>
      <c r="AG4" s="2"/>
    </row>
    <row r="5" ht="15.0" customHeight="1">
      <c r="A5" s="23">
        <v>2.0</v>
      </c>
      <c r="B5" s="24">
        <v>10.0</v>
      </c>
      <c r="C5" s="25">
        <v>15.0</v>
      </c>
      <c r="D5" s="2"/>
      <c r="E5" s="12" t="str">
        <f>IFERROR(__xludf.DUMMYFUNCTION("LET(
  names, HSTACK(""Coins"", $N$3:$X$3),
  amounts, HSTACK(C5, N5:X5),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3">
        <f>IFERROR(__xludf.DUMMYFUNCTION("""COMPUTED_VALUE"""),15.0)</f>
        <v>15</v>
      </c>
      <c r="G5" s="14" t="str">
        <f>IFERROR(__xludf.DUMMYFUNCTION("""COMPUTED_VALUE"""),"")</f>
        <v/>
      </c>
      <c r="H5" s="13">
        <f>IFERROR(__xludf.DUMMYFUNCTION("""COMPUTED_VALUE"""),1.0)</f>
        <v>1</v>
      </c>
      <c r="I5" s="14" t="str">
        <f>IFERROR(__xludf.DUMMYFUNCTION("""COMPUTED_VALUE"""),"")</f>
        <v/>
      </c>
      <c r="J5" s="13">
        <f>IFERROR(__xludf.DUMMYFUNCTION("""COMPUTED_VALUE"""),15.0)</f>
        <v>15</v>
      </c>
      <c r="K5" s="13"/>
      <c r="L5" s="15"/>
      <c r="M5" s="2"/>
      <c r="N5" s="26">
        <v>0.0</v>
      </c>
      <c r="O5" s="18">
        <v>0.0</v>
      </c>
      <c r="P5" s="18">
        <v>1.0</v>
      </c>
      <c r="Q5" s="18">
        <v>0.0</v>
      </c>
      <c r="R5" s="18">
        <v>0.0</v>
      </c>
      <c r="S5" s="18">
        <v>0.0</v>
      </c>
      <c r="T5" s="18">
        <v>0.0</v>
      </c>
      <c r="U5" s="18">
        <v>15.0</v>
      </c>
      <c r="V5" s="18">
        <v>0.0</v>
      </c>
      <c r="W5" s="18">
        <v>0.0</v>
      </c>
      <c r="X5" s="27">
        <v>0.0</v>
      </c>
      <c r="Y5" s="20">
        <f t="shared" si="1"/>
        <v>112.55</v>
      </c>
      <c r="Z5" s="2"/>
      <c r="AA5" s="14" t="str">
        <f t="array" ref="AA5:AA15">TRANSPOSE(N3:X3)</f>
        <v>SPT</v>
      </c>
      <c r="AB5" s="2"/>
      <c r="AC5" s="2"/>
      <c r="AD5" s="2"/>
      <c r="AE5" s="2"/>
      <c r="AF5" s="2"/>
      <c r="AG5" s="2"/>
    </row>
    <row r="6" ht="15.0" customHeight="1">
      <c r="A6" s="23">
        <v>3.0</v>
      </c>
      <c r="B6" s="24">
        <v>10.0</v>
      </c>
      <c r="C6" s="25">
        <v>15.0</v>
      </c>
      <c r="D6" s="2"/>
      <c r="E6" s="12" t="str">
        <f>IFERROR(__xludf.DUMMYFUNCTION("LET(
  names, HSTACK(""Coins"", $N$3:$X$3),
  amounts, HSTACK(C6, N6:X6),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3">
        <f>IFERROR(__xludf.DUMMYFUNCTION("""COMPUTED_VALUE"""),15.0)</f>
        <v>15</v>
      </c>
      <c r="G6" s="14" t="str">
        <f>IFERROR(__xludf.DUMMYFUNCTION("""COMPUTED_VALUE"""),"")</f>
        <v/>
      </c>
      <c r="H6" s="13">
        <f>IFERROR(__xludf.DUMMYFUNCTION("""COMPUTED_VALUE"""),1.0)</f>
        <v>1</v>
      </c>
      <c r="I6" s="14" t="str">
        <f>IFERROR(__xludf.DUMMYFUNCTION("""COMPUTED_VALUE"""),"")</f>
        <v/>
      </c>
      <c r="J6" s="13">
        <f>IFERROR(__xludf.DUMMYFUNCTION("""COMPUTED_VALUE"""),15.0)</f>
        <v>15</v>
      </c>
      <c r="K6" s="13"/>
      <c r="L6" s="15"/>
      <c r="M6" s="2"/>
      <c r="N6" s="26">
        <v>0.0</v>
      </c>
      <c r="O6" s="18">
        <v>1.0</v>
      </c>
      <c r="P6" s="18">
        <v>0.0</v>
      </c>
      <c r="Q6" s="18">
        <v>0.0</v>
      </c>
      <c r="R6" s="18">
        <v>0.0</v>
      </c>
      <c r="S6" s="18">
        <v>0.0</v>
      </c>
      <c r="T6" s="18">
        <v>0.0</v>
      </c>
      <c r="U6" s="18">
        <v>15.0</v>
      </c>
      <c r="V6" s="18">
        <v>0.0</v>
      </c>
      <c r="W6" s="18">
        <v>0.0</v>
      </c>
      <c r="X6" s="27">
        <v>0.0</v>
      </c>
      <c r="Y6" s="20">
        <f t="shared" si="1"/>
        <v>95.55</v>
      </c>
      <c r="Z6" s="2"/>
      <c r="AA6" s="14" t="s">
        <v>6</v>
      </c>
      <c r="AB6" s="22"/>
      <c r="AC6" s="2"/>
      <c r="AD6" s="2"/>
      <c r="AE6" s="2"/>
      <c r="AF6" s="2"/>
      <c r="AG6" s="2"/>
    </row>
    <row r="7" ht="15.0" customHeight="1">
      <c r="A7" s="23">
        <v>4.0</v>
      </c>
      <c r="B7" s="24">
        <v>10.0</v>
      </c>
      <c r="C7" s="25">
        <v>20.0</v>
      </c>
      <c r="D7" s="2"/>
      <c r="E7" s="12" t="str">
        <f>IFERROR(__xludf.DUMMYFUNCTION("LET(
  names, HSTACK(""Coins"", $N$3:$X$3),
  amounts, HSTACK(C7, N7:X7),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3">
        <f>IFERROR(__xludf.DUMMYFUNCTION("""COMPUTED_VALUE"""),20.0)</f>
        <v>20</v>
      </c>
      <c r="G7" s="14" t="str">
        <f>IFERROR(__xludf.DUMMYFUNCTION("""COMPUTED_VALUE"""),"")</f>
        <v/>
      </c>
      <c r="H7" s="13">
        <f>IFERROR(__xludf.DUMMYFUNCTION("""COMPUTED_VALUE"""),1.0)</f>
        <v>1</v>
      </c>
      <c r="I7" s="14" t="str">
        <f>IFERROR(__xludf.DUMMYFUNCTION("""COMPUTED_VALUE"""),"")</f>
        <v/>
      </c>
      <c r="J7" s="13">
        <f>IFERROR(__xludf.DUMMYFUNCTION("""COMPUTED_VALUE"""),15.0)</f>
        <v>15</v>
      </c>
      <c r="K7" s="13"/>
      <c r="L7" s="15"/>
      <c r="M7" s="2"/>
      <c r="N7" s="26">
        <v>0.0</v>
      </c>
      <c r="O7" s="18">
        <v>1.0</v>
      </c>
      <c r="P7" s="18">
        <v>0.0</v>
      </c>
      <c r="Q7" s="18">
        <v>0.0</v>
      </c>
      <c r="R7" s="18">
        <v>0.0</v>
      </c>
      <c r="S7" s="18">
        <v>0.0</v>
      </c>
      <c r="T7" s="18">
        <v>0.0</v>
      </c>
      <c r="U7" s="18">
        <v>15.0</v>
      </c>
      <c r="V7" s="18">
        <v>0.0</v>
      </c>
      <c r="W7" s="18">
        <v>0.0</v>
      </c>
      <c r="X7" s="27">
        <v>0.0</v>
      </c>
      <c r="Y7" s="20">
        <f t="shared" si="1"/>
        <v>95.55</v>
      </c>
      <c r="Z7" s="2"/>
      <c r="AA7" s="14" t="s">
        <v>7</v>
      </c>
      <c r="AB7" s="22"/>
      <c r="AC7" s="2"/>
      <c r="AD7" s="2"/>
      <c r="AE7" s="2"/>
      <c r="AF7" s="2"/>
      <c r="AG7" s="2"/>
    </row>
    <row r="8" ht="15.0" customHeight="1">
      <c r="A8" s="23">
        <v>5.0</v>
      </c>
      <c r="B8" s="24">
        <v>10.0</v>
      </c>
      <c r="C8" s="25">
        <v>20.0</v>
      </c>
      <c r="D8" s="2"/>
      <c r="E8" s="12" t="str">
        <f>IFERROR(__xludf.DUMMYFUNCTION("LET(
  names, HSTACK(""Coins"", $N$3:$X$3),
  amounts, HSTACK(C8, N8:X8),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3">
        <f>IFERROR(__xludf.DUMMYFUNCTION("""COMPUTED_VALUE"""),20.0)</f>
        <v>20</v>
      </c>
      <c r="G8" s="14" t="str">
        <f>IFERROR(__xludf.DUMMYFUNCTION("""COMPUTED_VALUE"""),"")</f>
        <v/>
      </c>
      <c r="H8" s="13">
        <f>IFERROR(__xludf.DUMMYFUNCTION("""COMPUTED_VALUE"""),1.0)</f>
        <v>1</v>
      </c>
      <c r="I8" s="14" t="str">
        <f>IFERROR(__xludf.DUMMYFUNCTION("""COMPUTED_VALUE"""),"")</f>
        <v/>
      </c>
      <c r="J8" s="13">
        <f>IFERROR(__xludf.DUMMYFUNCTION("""COMPUTED_VALUE"""),1.0)</f>
        <v>1</v>
      </c>
      <c r="K8" s="13"/>
      <c r="L8" s="15"/>
      <c r="M8" s="2"/>
      <c r="N8" s="26">
        <v>0.0</v>
      </c>
      <c r="O8" s="18">
        <v>1.0</v>
      </c>
      <c r="P8" s="18">
        <v>0.0</v>
      </c>
      <c r="Q8" s="18">
        <v>0.0</v>
      </c>
      <c r="R8" s="18">
        <v>0.0</v>
      </c>
      <c r="S8" s="18">
        <v>1.0</v>
      </c>
      <c r="T8" s="18">
        <v>0.0</v>
      </c>
      <c r="U8" s="18">
        <v>0.0</v>
      </c>
      <c r="V8" s="18">
        <v>0.0</v>
      </c>
      <c r="W8" s="18">
        <v>0.0</v>
      </c>
      <c r="X8" s="27">
        <v>0.0</v>
      </c>
      <c r="Y8" s="20">
        <f t="shared" si="1"/>
        <v>100</v>
      </c>
      <c r="Z8" s="2"/>
      <c r="AA8" s="14" t="s">
        <v>8</v>
      </c>
      <c r="AB8" s="22"/>
      <c r="AC8" s="2"/>
      <c r="AD8" s="2"/>
      <c r="AE8" s="2"/>
      <c r="AF8" s="2"/>
      <c r="AG8" s="2"/>
    </row>
    <row r="9" ht="15.0" customHeight="1">
      <c r="A9" s="23">
        <v>6.0</v>
      </c>
      <c r="B9" s="24">
        <v>10.0</v>
      </c>
      <c r="C9" s="25">
        <v>20.0</v>
      </c>
      <c r="D9" s="2"/>
      <c r="E9" s="12" t="str">
        <f>IFERROR(__xludf.DUMMYFUNCTION("LET(
  names, HSTACK(""Coins"", $N$3:$X$3),
  amounts, HSTACK(C9, N9:X9),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3">
        <f>IFERROR(__xludf.DUMMYFUNCTION("""COMPUTED_VALUE"""),20.0)</f>
        <v>20</v>
      </c>
      <c r="G9" s="14" t="str">
        <f>IFERROR(__xludf.DUMMYFUNCTION("""COMPUTED_VALUE"""),"")</f>
        <v/>
      </c>
      <c r="H9" s="13">
        <f>IFERROR(__xludf.DUMMYFUNCTION("""COMPUTED_VALUE"""),1.0)</f>
        <v>1</v>
      </c>
      <c r="I9" s="14" t="str">
        <f>IFERROR(__xludf.DUMMYFUNCTION("""COMPUTED_VALUE"""),"")</f>
        <v/>
      </c>
      <c r="J9" s="13">
        <f>IFERROR(__xludf.DUMMYFUNCTION("""COMPUTED_VALUE"""),15.0)</f>
        <v>15</v>
      </c>
      <c r="K9" s="13"/>
      <c r="L9" s="15"/>
      <c r="M9" s="2"/>
      <c r="N9" s="26">
        <v>0.0</v>
      </c>
      <c r="O9" s="18">
        <v>0.0</v>
      </c>
      <c r="P9" s="18">
        <v>0.0</v>
      </c>
      <c r="Q9" s="18">
        <v>0.0</v>
      </c>
      <c r="R9" s="18">
        <v>1.0</v>
      </c>
      <c r="S9" s="18">
        <v>0.0</v>
      </c>
      <c r="T9" s="18">
        <v>0.0</v>
      </c>
      <c r="U9" s="18">
        <v>15.0</v>
      </c>
      <c r="V9" s="18">
        <v>0.0</v>
      </c>
      <c r="W9" s="18">
        <v>0.0</v>
      </c>
      <c r="X9" s="27">
        <v>0.0</v>
      </c>
      <c r="Y9" s="20">
        <f t="shared" si="1"/>
        <v>229.55</v>
      </c>
      <c r="Z9" s="2"/>
      <c r="AA9" s="14" t="s">
        <v>9</v>
      </c>
      <c r="AB9" s="22"/>
      <c r="AC9" s="2"/>
      <c r="AD9" s="2"/>
      <c r="AE9" s="2"/>
      <c r="AF9" s="2"/>
      <c r="AG9" s="2"/>
    </row>
    <row r="10" ht="15.0" customHeight="1">
      <c r="A10" s="23">
        <v>7.0</v>
      </c>
      <c r="B10" s="24">
        <v>10.0</v>
      </c>
      <c r="C10" s="25">
        <v>25.0</v>
      </c>
      <c r="D10" s="2"/>
      <c r="E10" s="12" t="str">
        <f>IFERROR(__xludf.DUMMYFUNCTION("LET(
  names, HSTACK(""Coins"", $N$3:$X$3),
  amounts, HSTACK(C10, N10:X10),
  lookupNames, $AA$4:$AA$15,
  lookupImages, $AB$4:$AB$15,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3">
        <f>IFERROR(__xludf.DUMMYFUNCTION("""COMPUTED_VALUE"""),25.0)</f>
        <v>25</v>
      </c>
      <c r="G10" s="14" t="str">
        <f>IFERROR(__xludf.DUMMYFUNCTION("""COMPUTED_VALUE"""),"")</f>
        <v/>
      </c>
      <c r="H10" s="13">
        <f>IFERROR(__xludf.DUMMYFUNCTION("""COMPUTED_VALUE"""),1.0)</f>
        <v>1</v>
      </c>
      <c r="I10" s="14" t="str">
        <f>IFERROR(__xludf.DUMMYFUNCTION("""COMPUTED_VALUE"""),"")</f>
        <v/>
      </c>
      <c r="J10" s="13">
        <f>IFERROR(__xludf.DUMMYFUNCTION("""COMPUTED_VALUE"""),30.0)</f>
        <v>30</v>
      </c>
      <c r="K10" s="13"/>
      <c r="L10" s="15"/>
      <c r="M10" s="2"/>
      <c r="N10" s="26">
        <v>0.0</v>
      </c>
      <c r="O10" s="18">
        <v>0.0</v>
      </c>
      <c r="P10" s="18">
        <v>0.0</v>
      </c>
      <c r="Q10" s="18">
        <v>0.0</v>
      </c>
      <c r="R10" s="18">
        <v>0.0</v>
      </c>
      <c r="S10" s="18">
        <v>1.0</v>
      </c>
      <c r="T10" s="18">
        <v>0.0</v>
      </c>
      <c r="U10" s="18">
        <v>30.0</v>
      </c>
      <c r="V10" s="18">
        <v>0.0</v>
      </c>
      <c r="W10" s="18">
        <v>0.0</v>
      </c>
      <c r="X10" s="27">
        <v>0.0</v>
      </c>
      <c r="Y10" s="20">
        <f t="shared" si="1"/>
        <v>192.1</v>
      </c>
      <c r="Z10" s="2"/>
      <c r="AA10" s="14" t="s">
        <v>10</v>
      </c>
      <c r="AB10" s="22"/>
      <c r="AC10" s="2"/>
      <c r="AD10" s="2"/>
      <c r="AE10" s="2"/>
      <c r="AF10" s="2"/>
      <c r="AG10" s="2"/>
    </row>
    <row r="11" ht="15.0" customHeight="1">
      <c r="A11" s="23">
        <v>8.0</v>
      </c>
      <c r="B11" s="24">
        <v>10.0</v>
      </c>
      <c r="C11" s="25">
        <v>25.0</v>
      </c>
      <c r="D11" s="2"/>
      <c r="E11" s="12" t="str">
        <f>IFERROR(__xludf.DUMMYFUNCTION("LET(
  names, HSTACK(""Coins"", $N$3:$X$3),
  amounts, HSTACK(C11, N11:X11),
  lookupNames, $AA$4:$AA$15,
  lookupImages, $AB$4:$AB$15,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3">
        <f>IFERROR(__xludf.DUMMYFUNCTION("""COMPUTED_VALUE"""),25.0)</f>
        <v>25</v>
      </c>
      <c r="G11" s="14" t="str">
        <f>IFERROR(__xludf.DUMMYFUNCTION("""COMPUTED_VALUE"""),"")</f>
        <v/>
      </c>
      <c r="H11" s="13">
        <f>IFERROR(__xludf.DUMMYFUNCTION("""COMPUTED_VALUE"""),1.0)</f>
        <v>1</v>
      </c>
      <c r="I11" s="14" t="str">
        <f>IFERROR(__xludf.DUMMYFUNCTION("""COMPUTED_VALUE"""),"")</f>
        <v/>
      </c>
      <c r="J11" s="13">
        <f>IFERROR(__xludf.DUMMYFUNCTION("""COMPUTED_VALUE"""),1.0)</f>
        <v>1</v>
      </c>
      <c r="K11" s="13"/>
      <c r="L11" s="15"/>
      <c r="M11" s="2"/>
      <c r="N11" s="26">
        <v>0.0</v>
      </c>
      <c r="O11" s="18">
        <v>0.0</v>
      </c>
      <c r="P11" s="18">
        <v>1.0</v>
      </c>
      <c r="Q11" s="18">
        <v>0.0</v>
      </c>
      <c r="R11" s="18">
        <v>1.0</v>
      </c>
      <c r="S11" s="18">
        <v>0.0</v>
      </c>
      <c r="T11" s="18">
        <v>0.0</v>
      </c>
      <c r="U11" s="18">
        <v>0.0</v>
      </c>
      <c r="V11" s="18">
        <v>0.0</v>
      </c>
      <c r="W11" s="18">
        <v>0.0</v>
      </c>
      <c r="X11" s="27">
        <v>0.0</v>
      </c>
      <c r="Y11" s="20">
        <f t="shared" si="1"/>
        <v>217</v>
      </c>
      <c r="Z11" s="2"/>
      <c r="AA11" s="14" t="s">
        <v>11</v>
      </c>
      <c r="AB11" s="22"/>
      <c r="AC11" s="2"/>
      <c r="AD11" s="2"/>
      <c r="AE11" s="2"/>
      <c r="AF11" s="2"/>
      <c r="AG11" s="2"/>
    </row>
    <row r="12" ht="15.0" customHeight="1">
      <c r="A12" s="23">
        <v>9.0</v>
      </c>
      <c r="B12" s="24">
        <v>10.0</v>
      </c>
      <c r="C12" s="25">
        <v>25.0</v>
      </c>
      <c r="D12" s="2"/>
      <c r="E12" s="12" t="str">
        <f>IFERROR(__xludf.DUMMYFUNCTION("LET(
  names, HSTACK(""Coins"", $N$3:$X$3),
  amounts, HSTACK(C12, N12:X12),
  lookupNames, $AA$4:$AA$15,
  lookupImages, $AB$4:$AB$15,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2" s="13">
        <f>IFERROR(__xludf.DUMMYFUNCTION("""COMPUTED_VALUE"""),25.0)</f>
        <v>25</v>
      </c>
      <c r="G12" s="14" t="str">
        <f>IFERROR(__xludf.DUMMYFUNCTION("""COMPUTED_VALUE"""),"")</f>
        <v/>
      </c>
      <c r="H12" s="13">
        <f>IFERROR(__xludf.DUMMYFUNCTION("""COMPUTED_VALUE"""),1.0)</f>
        <v>1</v>
      </c>
      <c r="I12" s="14" t="str">
        <f>IFERROR(__xludf.DUMMYFUNCTION("""COMPUTED_VALUE"""),"")</f>
        <v/>
      </c>
      <c r="J12" s="13">
        <f>IFERROR(__xludf.DUMMYFUNCTION("""COMPUTED_VALUE"""),60.0)</f>
        <v>60</v>
      </c>
      <c r="K12" s="13"/>
      <c r="L12" s="15"/>
      <c r="M12" s="2"/>
      <c r="N12" s="26">
        <v>0.0</v>
      </c>
      <c r="O12" s="18">
        <v>0.0</v>
      </c>
      <c r="P12" s="18">
        <v>1.0</v>
      </c>
      <c r="Q12" s="18">
        <v>0.0</v>
      </c>
      <c r="R12" s="18">
        <v>0.0</v>
      </c>
      <c r="S12" s="18">
        <v>0.0</v>
      </c>
      <c r="T12" s="18">
        <v>0.0</v>
      </c>
      <c r="U12" s="18">
        <v>60.0</v>
      </c>
      <c r="V12" s="18">
        <v>0.0</v>
      </c>
      <c r="W12" s="18">
        <v>0.0</v>
      </c>
      <c r="X12" s="27">
        <v>0.0</v>
      </c>
      <c r="Y12" s="20">
        <f t="shared" si="1"/>
        <v>300.2</v>
      </c>
      <c r="Z12" s="2"/>
      <c r="AA12" s="14" t="s">
        <v>12</v>
      </c>
      <c r="AB12" s="22"/>
      <c r="AC12" s="2"/>
      <c r="AD12" s="2"/>
      <c r="AE12" s="2"/>
      <c r="AF12" s="2"/>
      <c r="AG12" s="2"/>
    </row>
    <row r="13" ht="15.0" customHeight="1">
      <c r="A13" s="28">
        <v>10.0</v>
      </c>
      <c r="B13" s="29">
        <v>10.0</v>
      </c>
      <c r="C13" s="30">
        <v>30.0</v>
      </c>
      <c r="D13" s="2"/>
      <c r="E13" s="12" t="str">
        <f>IFERROR(__xludf.DUMMYFUNCTION("LET(
  names, HSTACK(""Coins"", $N$3:$X$3),
  amounts, HSTACK(C13, N13:X13),
  lookupNames, $AA$4:$AA$15,
  lookupImages, $AB$4:$AB$15,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3" s="13">
        <f>IFERROR(__xludf.DUMMYFUNCTION("""COMPUTED_VALUE"""),30.0)</f>
        <v>30</v>
      </c>
      <c r="G13" s="14" t="str">
        <f>IFERROR(__xludf.DUMMYFUNCTION("""COMPUTED_VALUE"""),"")</f>
        <v/>
      </c>
      <c r="H13" s="13">
        <f>IFERROR(__xludf.DUMMYFUNCTION("""COMPUTED_VALUE"""),1.0)</f>
        <v>1</v>
      </c>
      <c r="I13" s="14" t="str">
        <f>IFERROR(__xludf.DUMMYFUNCTION("""COMPUTED_VALUE"""),"")</f>
        <v/>
      </c>
      <c r="J13" s="13">
        <f>IFERROR(__xludf.DUMMYFUNCTION("""COMPUTED_VALUE"""),1.0)</f>
        <v>1</v>
      </c>
      <c r="K13" s="13"/>
      <c r="L13" s="15"/>
      <c r="M13" s="2"/>
      <c r="N13" s="31">
        <v>0.0</v>
      </c>
      <c r="O13" s="32">
        <v>0.0</v>
      </c>
      <c r="P13" s="32">
        <v>0.0</v>
      </c>
      <c r="Q13" s="32">
        <v>1.0</v>
      </c>
      <c r="R13" s="32">
        <v>0.0</v>
      </c>
      <c r="S13" s="32">
        <v>0.0</v>
      </c>
      <c r="T13" s="32">
        <v>1.0</v>
      </c>
      <c r="U13" s="32">
        <v>0.0</v>
      </c>
      <c r="V13" s="32">
        <v>0.0</v>
      </c>
      <c r="W13" s="32">
        <v>0.0</v>
      </c>
      <c r="X13" s="33">
        <v>0.0</v>
      </c>
      <c r="Y13" s="20">
        <f t="shared" si="1"/>
        <v>117</v>
      </c>
      <c r="Z13" s="2"/>
      <c r="AA13" s="14" t="s">
        <v>13</v>
      </c>
      <c r="AB13" s="22"/>
      <c r="AC13" s="2"/>
      <c r="AD13" s="2"/>
      <c r="AE13" s="2"/>
      <c r="AF13" s="2"/>
      <c r="AG13" s="2"/>
    </row>
    <row r="14" ht="15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14" t="s">
        <v>14</v>
      </c>
      <c r="AB14" s="22"/>
      <c r="AC14" s="2"/>
      <c r="AD14" s="2"/>
      <c r="AE14" s="2"/>
      <c r="AF14" s="2"/>
      <c r="AG14" s="2"/>
    </row>
    <row r="15" ht="15.0" customHeight="1">
      <c r="A15" s="34" t="s">
        <v>20</v>
      </c>
      <c r="B15" s="35">
        <f t="shared" ref="B15:C15" si="2">SUM(B4:B13)</f>
        <v>100</v>
      </c>
      <c r="C15" s="35">
        <f t="shared" si="2"/>
        <v>210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 t="s">
        <v>15</v>
      </c>
      <c r="AB15" s="22"/>
      <c r="AC15" s="2"/>
      <c r="AD15" s="2"/>
      <c r="AE15" s="2"/>
      <c r="AF15" s="2"/>
      <c r="AG15" s="2"/>
    </row>
    <row r="16" ht="15.0" customHeight="1">
      <c r="A16" s="34" t="s">
        <v>21</v>
      </c>
      <c r="B16" s="2"/>
      <c r="C16" s="36">
        <f>C15/B15</f>
        <v>2.1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ht="15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ht="15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ht="15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ht="15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</sheetData>
  <mergeCells count="1">
    <mergeCell ref="E3:L3"/>
  </mergeCells>
  <conditionalFormatting sqref="N4:X13">
    <cfRule type="cellIs" dxfId="0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7" t="s">
        <v>22</v>
      </c>
      <c r="B1" s="37" t="s">
        <v>23</v>
      </c>
      <c r="C1" s="37" t="s">
        <v>24</v>
      </c>
      <c r="D1" s="37" t="s">
        <v>25</v>
      </c>
    </row>
    <row r="2">
      <c r="A2" s="37" t="s">
        <v>26</v>
      </c>
      <c r="B2" s="37" t="s">
        <v>27</v>
      </c>
      <c r="C2" s="38">
        <v>10.0</v>
      </c>
      <c r="D2" s="38">
        <v>7.0</v>
      </c>
    </row>
    <row r="3">
      <c r="A3" s="37" t="s">
        <v>26</v>
      </c>
      <c r="B3" s="37" t="s">
        <v>27</v>
      </c>
      <c r="C3" s="38">
        <v>24.0</v>
      </c>
      <c r="D3" s="38">
        <v>7.0</v>
      </c>
    </row>
    <row r="4">
      <c r="A4" s="37" t="s">
        <v>26</v>
      </c>
      <c r="B4" s="37" t="s">
        <v>27</v>
      </c>
      <c r="C4" s="38">
        <v>1.0</v>
      </c>
      <c r="D4" s="38">
        <v>2.0</v>
      </c>
    </row>
    <row r="5">
      <c r="A5" s="37" t="s">
        <v>26</v>
      </c>
      <c r="B5" s="37" t="s">
        <v>28</v>
      </c>
      <c r="C5" s="38">
        <v>6.0</v>
      </c>
      <c r="D5" s="38">
        <v>7.0</v>
      </c>
    </row>
    <row r="6">
      <c r="A6" s="37" t="s">
        <v>26</v>
      </c>
      <c r="B6" s="37" t="s">
        <v>28</v>
      </c>
      <c r="C6" s="38">
        <v>13.0</v>
      </c>
      <c r="D6" s="38">
        <v>7.0</v>
      </c>
    </row>
    <row r="7">
      <c r="A7" s="37" t="s">
        <v>26</v>
      </c>
      <c r="B7" s="37" t="s">
        <v>28</v>
      </c>
      <c r="C7" s="38">
        <v>20.0</v>
      </c>
      <c r="D7" s="38">
        <v>7.0</v>
      </c>
    </row>
    <row r="8">
      <c r="A8" s="37" t="s">
        <v>26</v>
      </c>
      <c r="B8" s="37" t="s">
        <v>28</v>
      </c>
      <c r="C8" s="38">
        <v>27.0</v>
      </c>
      <c r="D8" s="38">
        <v>7.0</v>
      </c>
    </row>
    <row r="9">
      <c r="A9" s="37" t="s">
        <v>26</v>
      </c>
      <c r="B9" s="37" t="s">
        <v>28</v>
      </c>
      <c r="C9" s="38">
        <v>1.0</v>
      </c>
      <c r="D9" s="38">
        <v>5.0</v>
      </c>
    </row>
    <row r="10">
      <c r="A10" s="37" t="s">
        <v>26</v>
      </c>
      <c r="B10" s="37" t="s">
        <v>29</v>
      </c>
      <c r="C10" s="38">
        <v>1.0</v>
      </c>
      <c r="D10" s="38">
        <v>3.0</v>
      </c>
    </row>
    <row r="11">
      <c r="A11" s="37" t="s">
        <v>26</v>
      </c>
      <c r="B11" s="37" t="s">
        <v>29</v>
      </c>
      <c r="C11" s="38">
        <v>14.0</v>
      </c>
      <c r="D11" s="38">
        <v>4.0</v>
      </c>
    </row>
    <row r="12">
      <c r="A12" s="37" t="s">
        <v>26</v>
      </c>
      <c r="B12" s="37" t="s">
        <v>29</v>
      </c>
      <c r="C12" s="38">
        <v>28.0</v>
      </c>
      <c r="D12" s="38">
        <v>4.0</v>
      </c>
    </row>
    <row r="13">
      <c r="A13" s="37" t="s">
        <v>26</v>
      </c>
      <c r="B13" s="37" t="s">
        <v>30</v>
      </c>
      <c r="C13" s="38">
        <v>7.0</v>
      </c>
      <c r="D13" s="38">
        <v>4.0</v>
      </c>
    </row>
    <row r="14">
      <c r="A14" s="37" t="s">
        <v>26</v>
      </c>
      <c r="B14" s="37" t="s">
        <v>31</v>
      </c>
      <c r="C14" s="38">
        <v>21.0</v>
      </c>
      <c r="D14" s="38">
        <v>4.0</v>
      </c>
    </row>
    <row r="15">
      <c r="A15" s="37" t="s">
        <v>26</v>
      </c>
      <c r="B15" s="37" t="s">
        <v>32</v>
      </c>
      <c r="C15" s="38">
        <v>17.0</v>
      </c>
      <c r="D15" s="38">
        <v>3.0</v>
      </c>
    </row>
    <row r="16">
      <c r="A16" s="37" t="s">
        <v>26</v>
      </c>
      <c r="B16" s="37" t="s">
        <v>32</v>
      </c>
      <c r="C16" s="38">
        <v>24.0</v>
      </c>
      <c r="D16" s="38">
        <v>3.0</v>
      </c>
    </row>
    <row r="17">
      <c r="A17" s="37" t="s">
        <v>26</v>
      </c>
      <c r="B17" s="37" t="s">
        <v>32</v>
      </c>
      <c r="C17" s="38">
        <v>10.0</v>
      </c>
      <c r="D17" s="38">
        <v>3.0</v>
      </c>
    </row>
    <row r="18">
      <c r="A18" s="37" t="s">
        <v>26</v>
      </c>
      <c r="B18" s="37" t="s">
        <v>32</v>
      </c>
      <c r="C18" s="38">
        <v>31.0</v>
      </c>
      <c r="D18" s="38">
        <v>3.0</v>
      </c>
    </row>
    <row r="19">
      <c r="A19" s="37" t="s">
        <v>26</v>
      </c>
      <c r="B19" s="37" t="s">
        <v>32</v>
      </c>
      <c r="C19" s="38">
        <v>3.0</v>
      </c>
      <c r="D19" s="38">
        <v>3.0</v>
      </c>
    </row>
    <row r="20">
      <c r="A20" s="37" t="s">
        <v>26</v>
      </c>
      <c r="B20" s="37" t="s">
        <v>33</v>
      </c>
      <c r="C20" s="38">
        <v>1.0</v>
      </c>
      <c r="D20" s="38">
        <v>5.0</v>
      </c>
    </row>
    <row r="21">
      <c r="A21" s="37" t="s">
        <v>26</v>
      </c>
      <c r="B21" s="37" t="s">
        <v>33</v>
      </c>
      <c r="C21" s="38">
        <v>6.0</v>
      </c>
      <c r="D21" s="38">
        <v>7.0</v>
      </c>
    </row>
    <row r="22">
      <c r="A22" s="37" t="s">
        <v>26</v>
      </c>
      <c r="B22" s="37" t="s">
        <v>33</v>
      </c>
      <c r="C22" s="38">
        <v>13.0</v>
      </c>
      <c r="D22" s="38">
        <v>7.0</v>
      </c>
    </row>
    <row r="23">
      <c r="A23" s="37" t="s">
        <v>26</v>
      </c>
      <c r="B23" s="37" t="s">
        <v>33</v>
      </c>
      <c r="C23" s="38">
        <v>20.0</v>
      </c>
      <c r="D23" s="38">
        <v>7.0</v>
      </c>
    </row>
    <row r="24">
      <c r="A24" s="37" t="s">
        <v>26</v>
      </c>
      <c r="B24" s="37" t="s">
        <v>33</v>
      </c>
      <c r="C24" s="38">
        <v>27.0</v>
      </c>
      <c r="D24" s="38">
        <v>7.0</v>
      </c>
    </row>
    <row r="25">
      <c r="A25" s="37" t="s">
        <v>26</v>
      </c>
      <c r="B25" s="37" t="s">
        <v>34</v>
      </c>
      <c r="C25" s="38">
        <v>1.0</v>
      </c>
      <c r="D25" s="38">
        <v>30.0</v>
      </c>
    </row>
    <row r="26">
      <c r="A26" s="37" t="s">
        <v>26</v>
      </c>
      <c r="B26" s="37" t="s">
        <v>34</v>
      </c>
      <c r="C26" s="38">
        <v>31.0</v>
      </c>
      <c r="D26" s="38">
        <v>3.0</v>
      </c>
    </row>
    <row r="27">
      <c r="A27" s="37" t="s">
        <v>26</v>
      </c>
      <c r="B27" s="37" t="s">
        <v>35</v>
      </c>
      <c r="C27" s="38">
        <v>13.0</v>
      </c>
      <c r="D27" s="38">
        <v>4.0</v>
      </c>
    </row>
    <row r="28">
      <c r="A28" s="37" t="s">
        <v>26</v>
      </c>
      <c r="B28" s="37" t="s">
        <v>35</v>
      </c>
      <c r="C28" s="38">
        <v>20.0</v>
      </c>
      <c r="D28" s="38">
        <v>4.0</v>
      </c>
    </row>
    <row r="29">
      <c r="A29" s="37" t="s">
        <v>26</v>
      </c>
      <c r="B29" s="37" t="s">
        <v>35</v>
      </c>
      <c r="C29" s="38">
        <v>6.0</v>
      </c>
      <c r="D29" s="38">
        <v>4.0</v>
      </c>
    </row>
    <row r="30">
      <c r="A30" s="37" t="s">
        <v>26</v>
      </c>
      <c r="B30" s="37" t="s">
        <v>35</v>
      </c>
      <c r="C30" s="38">
        <v>27.0</v>
      </c>
      <c r="D30" s="38">
        <v>4.0</v>
      </c>
    </row>
    <row r="31">
      <c r="A31" s="37" t="s">
        <v>26</v>
      </c>
      <c r="B31" s="37" t="s">
        <v>35</v>
      </c>
      <c r="C31" s="38">
        <v>1.0</v>
      </c>
      <c r="D31" s="38">
        <v>2.0</v>
      </c>
    </row>
    <row r="32">
      <c r="A32" s="37" t="s">
        <v>26</v>
      </c>
      <c r="B32" s="37" t="s">
        <v>36</v>
      </c>
      <c r="C32" s="38">
        <v>13.0</v>
      </c>
      <c r="D32" s="38">
        <v>7.0</v>
      </c>
    </row>
    <row r="33">
      <c r="A33" s="37" t="s">
        <v>26</v>
      </c>
      <c r="B33" s="37" t="s">
        <v>36</v>
      </c>
      <c r="C33" s="38">
        <v>20.0</v>
      </c>
      <c r="D33" s="38">
        <v>7.0</v>
      </c>
    </row>
    <row r="34">
      <c r="A34" s="37" t="s">
        <v>26</v>
      </c>
      <c r="B34" s="37" t="s">
        <v>36</v>
      </c>
      <c r="C34" s="38">
        <v>27.0</v>
      </c>
      <c r="D34" s="38">
        <v>7.0</v>
      </c>
    </row>
    <row r="35">
      <c r="A35" s="37" t="s">
        <v>26</v>
      </c>
      <c r="B35" s="37" t="s">
        <v>36</v>
      </c>
      <c r="C35" s="38">
        <v>1.0</v>
      </c>
      <c r="D35" s="38">
        <v>5.0</v>
      </c>
    </row>
    <row r="36">
      <c r="A36" s="37" t="s">
        <v>26</v>
      </c>
      <c r="B36" s="37" t="s">
        <v>36</v>
      </c>
      <c r="C36" s="38">
        <v>6.0</v>
      </c>
      <c r="D36" s="38">
        <v>7.0</v>
      </c>
    </row>
    <row r="37">
      <c r="A37" s="37" t="s">
        <v>26</v>
      </c>
      <c r="B37" s="37" t="s">
        <v>37</v>
      </c>
      <c r="C37" s="38">
        <v>3.0</v>
      </c>
      <c r="D37" s="38">
        <v>3.0</v>
      </c>
    </row>
    <row r="38">
      <c r="A38" s="37" t="s">
        <v>26</v>
      </c>
      <c r="B38" s="37" t="s">
        <v>37</v>
      </c>
      <c r="C38" s="38">
        <v>10.0</v>
      </c>
      <c r="D38" s="38">
        <v>3.0</v>
      </c>
    </row>
    <row r="39">
      <c r="A39" s="37" t="s">
        <v>26</v>
      </c>
      <c r="B39" s="37" t="s">
        <v>37</v>
      </c>
      <c r="C39" s="38">
        <v>17.0</v>
      </c>
      <c r="D39" s="38">
        <v>3.0</v>
      </c>
    </row>
    <row r="40">
      <c r="A40" s="37" t="s">
        <v>26</v>
      </c>
      <c r="B40" s="37" t="s">
        <v>37</v>
      </c>
      <c r="C40" s="38">
        <v>24.0</v>
      </c>
      <c r="D40" s="38">
        <v>3.0</v>
      </c>
    </row>
    <row r="41">
      <c r="A41" s="37" t="s">
        <v>26</v>
      </c>
      <c r="B41" s="37" t="s">
        <v>37</v>
      </c>
      <c r="C41" s="38">
        <v>31.0</v>
      </c>
      <c r="D41" s="38">
        <v>3.0</v>
      </c>
    </row>
    <row r="42">
      <c r="A42" s="37" t="s">
        <v>26</v>
      </c>
      <c r="B42" s="37" t="s">
        <v>38</v>
      </c>
      <c r="C42" s="38">
        <v>3.0</v>
      </c>
      <c r="D42" s="38">
        <v>7.0</v>
      </c>
    </row>
    <row r="43">
      <c r="A43" s="37" t="s">
        <v>26</v>
      </c>
      <c r="B43" s="37" t="s">
        <v>38</v>
      </c>
      <c r="C43" s="38">
        <v>17.0</v>
      </c>
      <c r="D43" s="38">
        <v>7.0</v>
      </c>
    </row>
    <row r="44">
      <c r="A44" s="37" t="s">
        <v>26</v>
      </c>
      <c r="B44" s="37" t="s">
        <v>38</v>
      </c>
      <c r="C44" s="38">
        <v>31.0</v>
      </c>
      <c r="D44" s="38">
        <v>3.0</v>
      </c>
    </row>
    <row r="45">
      <c r="A45" s="37" t="s">
        <v>26</v>
      </c>
      <c r="B45" s="37" t="s">
        <v>39</v>
      </c>
      <c r="C45" s="38">
        <v>4.0</v>
      </c>
      <c r="D45" s="38">
        <v>3.0</v>
      </c>
    </row>
    <row r="46">
      <c r="A46" s="37" t="s">
        <v>26</v>
      </c>
      <c r="B46" s="37" t="s">
        <v>39</v>
      </c>
      <c r="C46" s="38">
        <v>11.0</v>
      </c>
      <c r="D46" s="38">
        <v>3.0</v>
      </c>
    </row>
    <row r="47">
      <c r="A47" s="37" t="s">
        <v>26</v>
      </c>
      <c r="B47" s="37" t="s">
        <v>39</v>
      </c>
      <c r="C47" s="38">
        <v>18.0</v>
      </c>
      <c r="D47" s="38">
        <v>3.0</v>
      </c>
    </row>
    <row r="48">
      <c r="A48" s="37" t="s">
        <v>26</v>
      </c>
      <c r="B48" s="37" t="s">
        <v>39</v>
      </c>
      <c r="C48" s="38">
        <v>25.0</v>
      </c>
      <c r="D48" s="38">
        <v>3.0</v>
      </c>
    </row>
    <row r="49">
      <c r="A49" s="37" t="s">
        <v>26</v>
      </c>
      <c r="B49" s="37" t="s">
        <v>39</v>
      </c>
      <c r="C49" s="38">
        <v>32.0</v>
      </c>
      <c r="D49" s="38">
        <v>2.0</v>
      </c>
    </row>
    <row r="50">
      <c r="A50" s="37" t="s">
        <v>26</v>
      </c>
      <c r="B50" s="37" t="s">
        <v>40</v>
      </c>
      <c r="C50" s="38">
        <v>4.0</v>
      </c>
      <c r="D50" s="38">
        <v>2.0</v>
      </c>
    </row>
    <row r="51">
      <c r="A51" s="37" t="s">
        <v>26</v>
      </c>
      <c r="B51" s="37" t="s">
        <v>40</v>
      </c>
      <c r="C51" s="38">
        <v>11.0</v>
      </c>
      <c r="D51" s="38">
        <v>2.0</v>
      </c>
    </row>
    <row r="52">
      <c r="A52" s="37" t="s">
        <v>26</v>
      </c>
      <c r="B52" s="37" t="s">
        <v>40</v>
      </c>
      <c r="C52" s="38">
        <v>18.0</v>
      </c>
      <c r="D52" s="38">
        <v>2.0</v>
      </c>
    </row>
    <row r="53">
      <c r="A53" s="37" t="s">
        <v>26</v>
      </c>
      <c r="B53" s="37" t="s">
        <v>40</v>
      </c>
      <c r="C53" s="38">
        <v>25.0</v>
      </c>
      <c r="D53" s="38">
        <v>2.0</v>
      </c>
    </row>
    <row r="54">
      <c r="A54" s="37" t="s">
        <v>26</v>
      </c>
      <c r="B54" s="37" t="s">
        <v>40</v>
      </c>
      <c r="C54" s="38">
        <v>32.0</v>
      </c>
      <c r="D54" s="38">
        <v>2.0</v>
      </c>
    </row>
    <row r="55">
      <c r="A55" s="37" t="s">
        <v>26</v>
      </c>
      <c r="B55" s="37" t="s">
        <v>41</v>
      </c>
      <c r="C55" s="38">
        <v>1.0</v>
      </c>
      <c r="D55" s="38">
        <v>1.0</v>
      </c>
    </row>
    <row r="56">
      <c r="A56" s="37" t="s">
        <v>26</v>
      </c>
      <c r="B56" s="37" t="s">
        <v>41</v>
      </c>
      <c r="C56" s="38">
        <v>3.0</v>
      </c>
      <c r="D56" s="38">
        <v>1.0</v>
      </c>
    </row>
    <row r="57">
      <c r="A57" s="37" t="s">
        <v>26</v>
      </c>
      <c r="B57" s="37" t="s">
        <v>41</v>
      </c>
      <c r="C57" s="38">
        <v>5.0</v>
      </c>
      <c r="D57" s="38">
        <v>1.0</v>
      </c>
    </row>
    <row r="58">
      <c r="A58" s="37" t="s">
        <v>26</v>
      </c>
      <c r="B58" s="37" t="s">
        <v>41</v>
      </c>
      <c r="C58" s="38">
        <v>8.0</v>
      </c>
      <c r="D58" s="38">
        <v>1.0</v>
      </c>
    </row>
    <row r="59">
      <c r="A59" s="37" t="s">
        <v>26</v>
      </c>
      <c r="B59" s="37" t="s">
        <v>41</v>
      </c>
      <c r="C59" s="38">
        <v>10.0</v>
      </c>
      <c r="D59" s="38">
        <v>1.0</v>
      </c>
    </row>
    <row r="60">
      <c r="A60" s="37" t="s">
        <v>26</v>
      </c>
      <c r="B60" s="37" t="s">
        <v>41</v>
      </c>
      <c r="C60" s="38">
        <v>12.0</v>
      </c>
      <c r="D60" s="38">
        <v>1.0</v>
      </c>
    </row>
    <row r="61">
      <c r="A61" s="37" t="s">
        <v>26</v>
      </c>
      <c r="B61" s="37" t="s">
        <v>41</v>
      </c>
      <c r="C61" s="38">
        <v>15.0</v>
      </c>
      <c r="D61" s="38">
        <v>1.0</v>
      </c>
    </row>
    <row r="62">
      <c r="A62" s="37" t="s">
        <v>26</v>
      </c>
      <c r="B62" s="37" t="s">
        <v>41</v>
      </c>
      <c r="C62" s="38">
        <v>17.0</v>
      </c>
      <c r="D62" s="38">
        <v>1.0</v>
      </c>
    </row>
    <row r="63">
      <c r="A63" s="37" t="s">
        <v>26</v>
      </c>
      <c r="B63" s="37" t="s">
        <v>41</v>
      </c>
      <c r="C63" s="38">
        <v>19.0</v>
      </c>
      <c r="D63" s="38">
        <v>1.0</v>
      </c>
    </row>
    <row r="64">
      <c r="A64" s="37" t="s">
        <v>26</v>
      </c>
      <c r="B64" s="37" t="s">
        <v>41</v>
      </c>
      <c r="C64" s="38">
        <v>22.0</v>
      </c>
      <c r="D64" s="38">
        <v>1.0</v>
      </c>
    </row>
    <row r="65">
      <c r="A65" s="37" t="s">
        <v>26</v>
      </c>
      <c r="B65" s="37" t="s">
        <v>41</v>
      </c>
      <c r="C65" s="38">
        <v>24.0</v>
      </c>
      <c r="D65" s="38">
        <v>1.0</v>
      </c>
    </row>
    <row r="66">
      <c r="A66" s="37" t="s">
        <v>26</v>
      </c>
      <c r="B66" s="37" t="s">
        <v>41</v>
      </c>
      <c r="C66" s="38">
        <v>26.0</v>
      </c>
      <c r="D66" s="38">
        <v>1.0</v>
      </c>
    </row>
    <row r="67">
      <c r="A67" s="37" t="s">
        <v>26</v>
      </c>
      <c r="B67" s="37" t="s">
        <v>41</v>
      </c>
      <c r="C67" s="38">
        <v>29.0</v>
      </c>
      <c r="D67" s="38">
        <v>1.0</v>
      </c>
    </row>
    <row r="68">
      <c r="A68" s="37" t="s">
        <v>26</v>
      </c>
      <c r="B68" s="37" t="s">
        <v>41</v>
      </c>
      <c r="C68" s="38">
        <v>31.0</v>
      </c>
      <c r="D68" s="38">
        <v>1.0</v>
      </c>
    </row>
    <row r="69">
      <c r="A69" s="37" t="s">
        <v>26</v>
      </c>
      <c r="B69" s="37" t="s">
        <v>41</v>
      </c>
      <c r="C69" s="38">
        <v>33.0</v>
      </c>
      <c r="D69" s="38">
        <v>1.0</v>
      </c>
    </row>
    <row r="70">
      <c r="A70" s="37" t="s">
        <v>26</v>
      </c>
      <c r="B70" s="37" t="s">
        <v>42</v>
      </c>
      <c r="C70" s="38">
        <v>2.0</v>
      </c>
      <c r="D70" s="38">
        <v>1.0</v>
      </c>
    </row>
    <row r="71">
      <c r="A71" s="37" t="s">
        <v>26</v>
      </c>
      <c r="B71" s="37" t="s">
        <v>42</v>
      </c>
      <c r="C71" s="38">
        <v>9.0</v>
      </c>
      <c r="D71" s="38">
        <v>1.0</v>
      </c>
    </row>
    <row r="72">
      <c r="A72" s="37" t="s">
        <v>26</v>
      </c>
      <c r="B72" s="37" t="s">
        <v>42</v>
      </c>
      <c r="C72" s="38">
        <v>16.0</v>
      </c>
      <c r="D72" s="38">
        <v>1.0</v>
      </c>
    </row>
    <row r="73">
      <c r="A73" s="37" t="s">
        <v>26</v>
      </c>
      <c r="B73" s="37" t="s">
        <v>42</v>
      </c>
      <c r="C73" s="38">
        <v>23.0</v>
      </c>
      <c r="D73" s="38">
        <v>1.0</v>
      </c>
    </row>
    <row r="74">
      <c r="A74" s="37" t="s">
        <v>26</v>
      </c>
      <c r="B74" s="37" t="s">
        <v>42</v>
      </c>
      <c r="C74" s="38">
        <v>30.0</v>
      </c>
      <c r="D74" s="38">
        <v>1.0</v>
      </c>
    </row>
    <row r="75">
      <c r="A75" s="37" t="s">
        <v>26</v>
      </c>
      <c r="B75" s="37" t="s">
        <v>43</v>
      </c>
      <c r="C75" s="38">
        <v>4.0</v>
      </c>
      <c r="D75" s="38">
        <v>1.0</v>
      </c>
    </row>
    <row r="76">
      <c r="A76" s="37" t="s">
        <v>26</v>
      </c>
      <c r="B76" s="37" t="s">
        <v>43</v>
      </c>
      <c r="C76" s="38">
        <v>13.0</v>
      </c>
      <c r="D76" s="38">
        <v>1.0</v>
      </c>
    </row>
    <row r="77">
      <c r="A77" s="37" t="s">
        <v>26</v>
      </c>
      <c r="B77" s="37" t="s">
        <v>43</v>
      </c>
      <c r="C77" s="38">
        <v>20.0</v>
      </c>
      <c r="D77" s="38">
        <v>1.0</v>
      </c>
    </row>
    <row r="78">
      <c r="A78" s="37" t="s">
        <v>26</v>
      </c>
      <c r="B78" s="37" t="s">
        <v>43</v>
      </c>
      <c r="C78" s="38">
        <v>27.0</v>
      </c>
      <c r="D78" s="38">
        <v>1.0</v>
      </c>
    </row>
    <row r="79">
      <c r="A79" s="37" t="s">
        <v>26</v>
      </c>
      <c r="B79" s="37" t="s">
        <v>44</v>
      </c>
      <c r="C79" s="38">
        <v>2.0</v>
      </c>
      <c r="D79" s="38">
        <v>1.0</v>
      </c>
    </row>
    <row r="80">
      <c r="A80" s="37" t="s">
        <v>26</v>
      </c>
      <c r="B80" s="37" t="s">
        <v>44</v>
      </c>
      <c r="C80" s="38">
        <v>4.0</v>
      </c>
      <c r="D80" s="38">
        <v>1.0</v>
      </c>
    </row>
    <row r="81">
      <c r="A81" s="37" t="s">
        <v>26</v>
      </c>
      <c r="B81" s="37" t="s">
        <v>44</v>
      </c>
      <c r="C81" s="38">
        <v>6.0</v>
      </c>
      <c r="D81" s="38">
        <v>1.0</v>
      </c>
    </row>
    <row r="82">
      <c r="A82" s="37" t="s">
        <v>26</v>
      </c>
      <c r="B82" s="37" t="s">
        <v>44</v>
      </c>
      <c r="C82" s="38">
        <v>7.0</v>
      </c>
      <c r="D82" s="38">
        <v>1.0</v>
      </c>
    </row>
    <row r="83">
      <c r="A83" s="37" t="s">
        <v>26</v>
      </c>
      <c r="B83" s="37" t="s">
        <v>44</v>
      </c>
      <c r="C83" s="38">
        <v>9.0</v>
      </c>
      <c r="D83" s="38">
        <v>1.0</v>
      </c>
    </row>
    <row r="84">
      <c r="A84" s="37" t="s">
        <v>26</v>
      </c>
      <c r="B84" s="37" t="s">
        <v>44</v>
      </c>
      <c r="C84" s="38">
        <v>11.0</v>
      </c>
      <c r="D84" s="38">
        <v>1.0</v>
      </c>
    </row>
    <row r="85">
      <c r="A85" s="37" t="s">
        <v>26</v>
      </c>
      <c r="B85" s="37" t="s">
        <v>44</v>
      </c>
      <c r="C85" s="38">
        <v>13.0</v>
      </c>
      <c r="D85" s="38">
        <v>1.0</v>
      </c>
    </row>
    <row r="86">
      <c r="A86" s="37" t="s">
        <v>26</v>
      </c>
      <c r="B86" s="37" t="s">
        <v>44</v>
      </c>
      <c r="C86" s="38">
        <v>14.0</v>
      </c>
      <c r="D86" s="38">
        <v>1.0</v>
      </c>
    </row>
    <row r="87">
      <c r="A87" s="37" t="s">
        <v>26</v>
      </c>
      <c r="B87" s="37" t="s">
        <v>44</v>
      </c>
      <c r="C87" s="38">
        <v>16.0</v>
      </c>
      <c r="D87" s="38">
        <v>1.0</v>
      </c>
    </row>
    <row r="88">
      <c r="A88" s="37" t="s">
        <v>26</v>
      </c>
      <c r="B88" s="37" t="s">
        <v>44</v>
      </c>
      <c r="C88" s="38">
        <v>18.0</v>
      </c>
      <c r="D88" s="38">
        <v>1.0</v>
      </c>
    </row>
    <row r="89">
      <c r="A89" s="37" t="s">
        <v>26</v>
      </c>
      <c r="B89" s="37" t="s">
        <v>44</v>
      </c>
      <c r="C89" s="38">
        <v>20.0</v>
      </c>
      <c r="D89" s="38">
        <v>1.0</v>
      </c>
    </row>
    <row r="90">
      <c r="A90" s="37" t="s">
        <v>26</v>
      </c>
      <c r="B90" s="37" t="s">
        <v>44</v>
      </c>
      <c r="C90" s="38">
        <v>21.0</v>
      </c>
      <c r="D90" s="38">
        <v>1.0</v>
      </c>
    </row>
    <row r="91">
      <c r="A91" s="37" t="s">
        <v>26</v>
      </c>
      <c r="B91" s="37" t="s">
        <v>44</v>
      </c>
      <c r="C91" s="38">
        <v>23.0</v>
      </c>
      <c r="D91" s="38">
        <v>1.0</v>
      </c>
    </row>
    <row r="92">
      <c r="A92" s="37" t="s">
        <v>26</v>
      </c>
      <c r="B92" s="37" t="s">
        <v>44</v>
      </c>
      <c r="C92" s="38">
        <v>25.0</v>
      </c>
      <c r="D92" s="38">
        <v>1.0</v>
      </c>
    </row>
    <row r="93">
      <c r="A93" s="37" t="s">
        <v>26</v>
      </c>
      <c r="B93" s="37" t="s">
        <v>44</v>
      </c>
      <c r="C93" s="38">
        <v>27.0</v>
      </c>
      <c r="D93" s="38">
        <v>1.0</v>
      </c>
    </row>
    <row r="94">
      <c r="A94" s="37" t="s">
        <v>26</v>
      </c>
      <c r="B94" s="37" t="s">
        <v>44</v>
      </c>
      <c r="C94" s="38">
        <v>28.0</v>
      </c>
      <c r="D94" s="38">
        <v>1.0</v>
      </c>
    </row>
    <row r="95">
      <c r="A95" s="37" t="s">
        <v>26</v>
      </c>
      <c r="B95" s="37" t="s">
        <v>44</v>
      </c>
      <c r="C95" s="38">
        <v>30.0</v>
      </c>
      <c r="D95" s="38">
        <v>1.0</v>
      </c>
    </row>
    <row r="96">
      <c r="A96" s="37" t="s">
        <v>26</v>
      </c>
      <c r="B96" s="37" t="s">
        <v>44</v>
      </c>
      <c r="C96" s="38">
        <v>32.0</v>
      </c>
      <c r="D96" s="38">
        <v>1.0</v>
      </c>
    </row>
    <row r="97">
      <c r="A97" s="37" t="s">
        <v>26</v>
      </c>
      <c r="B97" s="37" t="s">
        <v>45</v>
      </c>
      <c r="C97" s="38">
        <v>4.0</v>
      </c>
      <c r="D97" s="38">
        <v>1.0</v>
      </c>
    </row>
    <row r="98">
      <c r="A98" s="37" t="s">
        <v>26</v>
      </c>
      <c r="B98" s="37" t="s">
        <v>45</v>
      </c>
      <c r="C98" s="38">
        <v>13.0</v>
      </c>
      <c r="D98" s="38">
        <v>1.0</v>
      </c>
    </row>
    <row r="99">
      <c r="A99" s="37" t="s">
        <v>26</v>
      </c>
      <c r="B99" s="37" t="s">
        <v>45</v>
      </c>
      <c r="C99" s="38">
        <v>20.0</v>
      </c>
      <c r="D99" s="38">
        <v>1.0</v>
      </c>
    </row>
    <row r="100">
      <c r="A100" s="37" t="s">
        <v>26</v>
      </c>
      <c r="B100" s="37" t="s">
        <v>45</v>
      </c>
      <c r="C100" s="38">
        <v>27.0</v>
      </c>
      <c r="D100" s="38">
        <v>1.0</v>
      </c>
    </row>
    <row r="101">
      <c r="A101" s="37" t="s">
        <v>26</v>
      </c>
      <c r="B101" s="37" t="s">
        <v>46</v>
      </c>
      <c r="C101" s="38">
        <v>5.0</v>
      </c>
      <c r="D101" s="38">
        <v>1.0</v>
      </c>
    </row>
    <row r="102">
      <c r="A102" s="37" t="s">
        <v>26</v>
      </c>
      <c r="B102" s="37" t="s">
        <v>46</v>
      </c>
      <c r="C102" s="38">
        <v>14.0</v>
      </c>
      <c r="D102" s="38">
        <v>1.0</v>
      </c>
    </row>
    <row r="103">
      <c r="A103" s="37" t="s">
        <v>26</v>
      </c>
      <c r="B103" s="37" t="s">
        <v>46</v>
      </c>
      <c r="C103" s="38">
        <v>21.0</v>
      </c>
      <c r="D103" s="38">
        <v>1.0</v>
      </c>
    </row>
    <row r="104">
      <c r="A104" s="37" t="s">
        <v>26</v>
      </c>
      <c r="B104" s="37" t="s">
        <v>46</v>
      </c>
      <c r="C104" s="38">
        <v>28.0</v>
      </c>
      <c r="D104" s="38">
        <v>1.0</v>
      </c>
    </row>
    <row r="105">
      <c r="A105" s="37" t="s">
        <v>26</v>
      </c>
      <c r="B105" s="37" t="s">
        <v>47</v>
      </c>
      <c r="C105" s="38">
        <v>1.0</v>
      </c>
      <c r="D105" s="38">
        <v>1.0</v>
      </c>
    </row>
    <row r="106">
      <c r="A106" s="37" t="s">
        <v>26</v>
      </c>
      <c r="B106" s="37" t="s">
        <v>47</v>
      </c>
      <c r="C106" s="38">
        <v>2.0</v>
      </c>
      <c r="D106" s="38">
        <v>1.0</v>
      </c>
    </row>
    <row r="107">
      <c r="A107" s="37" t="s">
        <v>26</v>
      </c>
      <c r="B107" s="37" t="s">
        <v>47</v>
      </c>
      <c r="C107" s="38">
        <v>3.0</v>
      </c>
      <c r="D107" s="38">
        <v>1.0</v>
      </c>
    </row>
    <row r="108">
      <c r="A108" s="37" t="s">
        <v>26</v>
      </c>
      <c r="B108" s="37" t="s">
        <v>47</v>
      </c>
      <c r="C108" s="38">
        <v>4.0</v>
      </c>
      <c r="D108" s="38">
        <v>1.0</v>
      </c>
    </row>
    <row r="109">
      <c r="A109" s="37" t="s">
        <v>26</v>
      </c>
      <c r="B109" s="37" t="s">
        <v>47</v>
      </c>
      <c r="C109" s="38">
        <v>5.0</v>
      </c>
      <c r="D109" s="38">
        <v>1.0</v>
      </c>
    </row>
    <row r="110">
      <c r="A110" s="37" t="s">
        <v>26</v>
      </c>
      <c r="B110" s="37" t="s">
        <v>47</v>
      </c>
      <c r="C110" s="38">
        <v>6.0</v>
      </c>
      <c r="D110" s="38">
        <v>1.0</v>
      </c>
    </row>
    <row r="111">
      <c r="A111" s="37" t="s">
        <v>26</v>
      </c>
      <c r="B111" s="37" t="s">
        <v>47</v>
      </c>
      <c r="C111" s="38">
        <v>7.0</v>
      </c>
      <c r="D111" s="38">
        <v>1.0</v>
      </c>
    </row>
    <row r="112">
      <c r="A112" s="37" t="s">
        <v>26</v>
      </c>
      <c r="B112" s="37" t="s">
        <v>47</v>
      </c>
      <c r="C112" s="38">
        <v>8.0</v>
      </c>
      <c r="D112" s="38">
        <v>1.0</v>
      </c>
    </row>
    <row r="113">
      <c r="A113" s="37" t="s">
        <v>26</v>
      </c>
      <c r="B113" s="37" t="s">
        <v>47</v>
      </c>
      <c r="C113" s="38">
        <v>9.0</v>
      </c>
      <c r="D113" s="38">
        <v>1.0</v>
      </c>
    </row>
    <row r="114">
      <c r="A114" s="37" t="s">
        <v>26</v>
      </c>
      <c r="B114" s="37" t="s">
        <v>47</v>
      </c>
      <c r="C114" s="38">
        <v>10.0</v>
      </c>
      <c r="D114" s="38">
        <v>1.0</v>
      </c>
    </row>
    <row r="115">
      <c r="A115" s="37" t="s">
        <v>26</v>
      </c>
      <c r="B115" s="37" t="s">
        <v>47</v>
      </c>
      <c r="C115" s="38">
        <v>11.0</v>
      </c>
      <c r="D115" s="38">
        <v>1.0</v>
      </c>
    </row>
    <row r="116">
      <c r="A116" s="37" t="s">
        <v>26</v>
      </c>
      <c r="B116" s="37" t="s">
        <v>47</v>
      </c>
      <c r="C116" s="38">
        <v>12.0</v>
      </c>
      <c r="D116" s="38">
        <v>1.0</v>
      </c>
    </row>
    <row r="117">
      <c r="A117" s="37" t="s">
        <v>26</v>
      </c>
      <c r="B117" s="37" t="s">
        <v>47</v>
      </c>
      <c r="C117" s="38">
        <v>13.0</v>
      </c>
      <c r="D117" s="38">
        <v>1.0</v>
      </c>
    </row>
    <row r="118">
      <c r="A118" s="37" t="s">
        <v>26</v>
      </c>
      <c r="B118" s="37" t="s">
        <v>47</v>
      </c>
      <c r="C118" s="38">
        <v>14.0</v>
      </c>
      <c r="D118" s="38">
        <v>1.0</v>
      </c>
    </row>
    <row r="119">
      <c r="A119" s="37" t="s">
        <v>26</v>
      </c>
      <c r="B119" s="37" t="s">
        <v>47</v>
      </c>
      <c r="C119" s="38">
        <v>15.0</v>
      </c>
      <c r="D119" s="38">
        <v>1.0</v>
      </c>
    </row>
    <row r="120">
      <c r="A120" s="37" t="s">
        <v>26</v>
      </c>
      <c r="B120" s="37" t="s">
        <v>47</v>
      </c>
      <c r="C120" s="38">
        <v>16.0</v>
      </c>
      <c r="D120" s="38">
        <v>1.0</v>
      </c>
    </row>
    <row r="121">
      <c r="A121" s="37" t="s">
        <v>26</v>
      </c>
      <c r="B121" s="37" t="s">
        <v>47</v>
      </c>
      <c r="C121" s="38">
        <v>17.0</v>
      </c>
      <c r="D121" s="38">
        <v>1.0</v>
      </c>
    </row>
    <row r="122">
      <c r="A122" s="37" t="s">
        <v>26</v>
      </c>
      <c r="B122" s="37" t="s">
        <v>47</v>
      </c>
      <c r="C122" s="38">
        <v>18.0</v>
      </c>
      <c r="D122" s="38">
        <v>1.0</v>
      </c>
    </row>
    <row r="123">
      <c r="A123" s="37" t="s">
        <v>26</v>
      </c>
      <c r="B123" s="37" t="s">
        <v>47</v>
      </c>
      <c r="C123" s="38">
        <v>19.0</v>
      </c>
      <c r="D123" s="38">
        <v>1.0</v>
      </c>
    </row>
    <row r="124">
      <c r="A124" s="37" t="s">
        <v>26</v>
      </c>
      <c r="B124" s="37" t="s">
        <v>47</v>
      </c>
      <c r="C124" s="38">
        <v>20.0</v>
      </c>
      <c r="D124" s="38">
        <v>1.0</v>
      </c>
    </row>
    <row r="125">
      <c r="A125" s="37" t="s">
        <v>26</v>
      </c>
      <c r="B125" s="37" t="s">
        <v>47</v>
      </c>
      <c r="C125" s="38">
        <v>21.0</v>
      </c>
      <c r="D125" s="38">
        <v>1.0</v>
      </c>
    </row>
    <row r="126">
      <c r="A126" s="37" t="s">
        <v>26</v>
      </c>
      <c r="B126" s="37" t="s">
        <v>47</v>
      </c>
      <c r="C126" s="38">
        <v>22.0</v>
      </c>
      <c r="D126" s="38">
        <v>1.0</v>
      </c>
    </row>
    <row r="127">
      <c r="A127" s="37" t="s">
        <v>26</v>
      </c>
      <c r="B127" s="37" t="s">
        <v>47</v>
      </c>
      <c r="C127" s="38">
        <v>23.0</v>
      </c>
      <c r="D127" s="38">
        <v>1.0</v>
      </c>
    </row>
    <row r="128">
      <c r="A128" s="37" t="s">
        <v>26</v>
      </c>
      <c r="B128" s="37" t="s">
        <v>47</v>
      </c>
      <c r="C128" s="38">
        <v>24.0</v>
      </c>
      <c r="D128" s="38">
        <v>1.0</v>
      </c>
    </row>
    <row r="129">
      <c r="A129" s="37" t="s">
        <v>26</v>
      </c>
      <c r="B129" s="37" t="s">
        <v>47</v>
      </c>
      <c r="C129" s="38">
        <v>25.0</v>
      </c>
      <c r="D129" s="38">
        <v>1.0</v>
      </c>
    </row>
    <row r="130">
      <c r="A130" s="37" t="s">
        <v>26</v>
      </c>
      <c r="B130" s="37" t="s">
        <v>47</v>
      </c>
      <c r="C130" s="38">
        <v>26.0</v>
      </c>
      <c r="D130" s="38">
        <v>1.0</v>
      </c>
    </row>
    <row r="131">
      <c r="A131" s="37" t="s">
        <v>26</v>
      </c>
      <c r="B131" s="37" t="s">
        <v>47</v>
      </c>
      <c r="C131" s="38">
        <v>27.0</v>
      </c>
      <c r="D131" s="38">
        <v>1.0</v>
      </c>
    </row>
    <row r="132">
      <c r="A132" s="37" t="s">
        <v>26</v>
      </c>
      <c r="B132" s="37" t="s">
        <v>47</v>
      </c>
      <c r="C132" s="38">
        <v>28.0</v>
      </c>
      <c r="D132" s="38">
        <v>1.0</v>
      </c>
    </row>
    <row r="133">
      <c r="A133" s="37" t="s">
        <v>26</v>
      </c>
      <c r="B133" s="37" t="s">
        <v>47</v>
      </c>
      <c r="C133" s="38">
        <v>29.0</v>
      </c>
      <c r="D133" s="38">
        <v>1.0</v>
      </c>
    </row>
    <row r="134">
      <c r="A134" s="37" t="s">
        <v>26</v>
      </c>
      <c r="B134" s="37" t="s">
        <v>47</v>
      </c>
      <c r="C134" s="38">
        <v>30.0</v>
      </c>
      <c r="D134" s="38">
        <v>1.0</v>
      </c>
    </row>
    <row r="135">
      <c r="A135" s="37" t="s">
        <v>26</v>
      </c>
      <c r="B135" s="37" t="s">
        <v>47</v>
      </c>
      <c r="C135" s="38">
        <v>31.0</v>
      </c>
      <c r="D135" s="38">
        <v>1.0</v>
      </c>
    </row>
    <row r="136">
      <c r="A136" s="37" t="s">
        <v>26</v>
      </c>
      <c r="B136" s="37" t="s">
        <v>47</v>
      </c>
      <c r="C136" s="38">
        <v>32.0</v>
      </c>
      <c r="D136" s="38">
        <v>1.0</v>
      </c>
    </row>
    <row r="137">
      <c r="A137" s="37" t="s">
        <v>26</v>
      </c>
      <c r="B137" s="37" t="s">
        <v>47</v>
      </c>
      <c r="C137" s="38">
        <v>33.0</v>
      </c>
      <c r="D137" s="38">
        <v>1.0</v>
      </c>
    </row>
    <row r="138">
      <c r="A138" s="37" t="s">
        <v>48</v>
      </c>
      <c r="B138" s="37" t="s">
        <v>29</v>
      </c>
      <c r="C138" s="38">
        <v>17.0</v>
      </c>
      <c r="D138" s="38">
        <v>3.0</v>
      </c>
    </row>
    <row r="139">
      <c r="A139" s="37" t="s">
        <v>48</v>
      </c>
      <c r="B139" s="37" t="s">
        <v>29</v>
      </c>
      <c r="C139" s="38">
        <v>31.0</v>
      </c>
      <c r="D139" s="38">
        <v>3.0</v>
      </c>
    </row>
    <row r="140">
      <c r="A140" s="37" t="s">
        <v>48</v>
      </c>
      <c r="B140" s="37" t="s">
        <v>29</v>
      </c>
      <c r="C140" s="38">
        <v>3.0</v>
      </c>
      <c r="D140" s="38">
        <v>3.0</v>
      </c>
    </row>
    <row r="141">
      <c r="A141" s="37" t="s">
        <v>48</v>
      </c>
      <c r="B141" s="37" t="s">
        <v>30</v>
      </c>
      <c r="C141" s="38">
        <v>24.0</v>
      </c>
      <c r="D141" s="38">
        <v>3.0</v>
      </c>
    </row>
    <row r="142">
      <c r="A142" s="37" t="s">
        <v>48</v>
      </c>
      <c r="B142" s="37" t="s">
        <v>28</v>
      </c>
      <c r="C142" s="38">
        <v>1.0</v>
      </c>
      <c r="D142" s="38">
        <v>5.0</v>
      </c>
    </row>
    <row r="143">
      <c r="A143" s="37" t="s">
        <v>48</v>
      </c>
      <c r="B143" s="37" t="s">
        <v>28</v>
      </c>
      <c r="C143" s="38">
        <v>6.0</v>
      </c>
      <c r="D143" s="38">
        <v>7.0</v>
      </c>
    </row>
    <row r="144">
      <c r="A144" s="37" t="s">
        <v>48</v>
      </c>
      <c r="B144" s="37" t="s">
        <v>28</v>
      </c>
      <c r="C144" s="38">
        <v>13.0</v>
      </c>
      <c r="D144" s="38">
        <v>7.0</v>
      </c>
    </row>
    <row r="145">
      <c r="A145" s="37" t="s">
        <v>48</v>
      </c>
      <c r="B145" s="37" t="s">
        <v>28</v>
      </c>
      <c r="C145" s="38">
        <v>20.0</v>
      </c>
      <c r="D145" s="38">
        <v>7.0</v>
      </c>
    </row>
    <row r="146">
      <c r="A146" s="37" t="s">
        <v>48</v>
      </c>
      <c r="B146" s="37" t="s">
        <v>28</v>
      </c>
      <c r="C146" s="38">
        <v>27.0</v>
      </c>
      <c r="D146" s="38">
        <v>7.0</v>
      </c>
    </row>
    <row r="147">
      <c r="A147" s="37" t="s">
        <v>48</v>
      </c>
      <c r="B147" s="37" t="s">
        <v>31</v>
      </c>
      <c r="C147" s="38">
        <v>10.0</v>
      </c>
      <c r="D147" s="38">
        <v>3.0</v>
      </c>
    </row>
    <row r="148">
      <c r="A148" s="37" t="s">
        <v>48</v>
      </c>
      <c r="B148" s="37" t="s">
        <v>39</v>
      </c>
      <c r="C148" s="38">
        <v>20.0</v>
      </c>
      <c r="D148" s="38">
        <v>4.0</v>
      </c>
    </row>
    <row r="149">
      <c r="A149" s="37" t="s">
        <v>48</v>
      </c>
      <c r="B149" s="37" t="s">
        <v>39</v>
      </c>
      <c r="C149" s="38">
        <v>27.0</v>
      </c>
      <c r="D149" s="38">
        <v>4.0</v>
      </c>
    </row>
    <row r="150">
      <c r="A150" s="37" t="s">
        <v>48</v>
      </c>
      <c r="B150" s="37" t="s">
        <v>39</v>
      </c>
      <c r="C150" s="38">
        <v>1.0</v>
      </c>
      <c r="D150" s="38">
        <v>2.0</v>
      </c>
    </row>
    <row r="151">
      <c r="A151" s="37" t="s">
        <v>48</v>
      </c>
      <c r="B151" s="37" t="s">
        <v>39</v>
      </c>
      <c r="C151" s="38">
        <v>13.0</v>
      </c>
      <c r="D151" s="38">
        <v>4.0</v>
      </c>
    </row>
    <row r="152">
      <c r="A152" s="37" t="s">
        <v>48</v>
      </c>
      <c r="B152" s="37" t="s">
        <v>39</v>
      </c>
      <c r="C152" s="38">
        <v>6.0</v>
      </c>
      <c r="D152" s="38">
        <v>4.0</v>
      </c>
    </row>
    <row r="153">
      <c r="A153" s="37" t="s">
        <v>48</v>
      </c>
      <c r="B153" s="37" t="s">
        <v>49</v>
      </c>
      <c r="C153" s="38">
        <v>1.0</v>
      </c>
      <c r="D153" s="38">
        <v>2.0</v>
      </c>
    </row>
    <row r="154">
      <c r="A154" s="37" t="s">
        <v>48</v>
      </c>
      <c r="B154" s="37" t="s">
        <v>49</v>
      </c>
      <c r="C154" s="38">
        <v>6.0</v>
      </c>
      <c r="D154" s="38">
        <v>4.0</v>
      </c>
    </row>
    <row r="155">
      <c r="A155" s="37" t="s">
        <v>48</v>
      </c>
      <c r="B155" s="37" t="s">
        <v>49</v>
      </c>
      <c r="C155" s="38">
        <v>13.0</v>
      </c>
      <c r="D155" s="38">
        <v>4.0</v>
      </c>
    </row>
    <row r="156">
      <c r="A156" s="37" t="s">
        <v>48</v>
      </c>
      <c r="B156" s="37" t="s">
        <v>49</v>
      </c>
      <c r="C156" s="38">
        <v>20.0</v>
      </c>
      <c r="D156" s="38">
        <v>4.0</v>
      </c>
    </row>
    <row r="157">
      <c r="A157" s="37" t="s">
        <v>48</v>
      </c>
      <c r="B157" s="37" t="s">
        <v>49</v>
      </c>
      <c r="C157" s="38">
        <v>27.0</v>
      </c>
      <c r="D157" s="38">
        <v>4.0</v>
      </c>
    </row>
    <row r="158">
      <c r="A158" s="37" t="s">
        <v>48</v>
      </c>
      <c r="B158" s="37" t="s">
        <v>33</v>
      </c>
      <c r="C158" s="38">
        <v>1.0</v>
      </c>
      <c r="D158" s="38">
        <v>5.0</v>
      </c>
    </row>
    <row r="159">
      <c r="A159" s="37" t="s">
        <v>48</v>
      </c>
      <c r="B159" s="37" t="s">
        <v>33</v>
      </c>
      <c r="C159" s="38">
        <v>6.0</v>
      </c>
      <c r="D159" s="38">
        <v>7.0</v>
      </c>
    </row>
    <row r="160">
      <c r="A160" s="37" t="s">
        <v>48</v>
      </c>
      <c r="B160" s="37" t="s">
        <v>33</v>
      </c>
      <c r="C160" s="38">
        <v>13.0</v>
      </c>
      <c r="D160" s="38">
        <v>7.0</v>
      </c>
    </row>
    <row r="161">
      <c r="A161" s="37" t="s">
        <v>48</v>
      </c>
      <c r="B161" s="37" t="s">
        <v>33</v>
      </c>
      <c r="C161" s="38">
        <v>20.0</v>
      </c>
      <c r="D161" s="38">
        <v>7.0</v>
      </c>
    </row>
    <row r="162">
      <c r="A162" s="37" t="s">
        <v>48</v>
      </c>
      <c r="B162" s="37" t="s">
        <v>33</v>
      </c>
      <c r="C162" s="38">
        <v>27.0</v>
      </c>
      <c r="D162" s="38">
        <v>7.0</v>
      </c>
    </row>
    <row r="163">
      <c r="A163" s="37" t="s">
        <v>48</v>
      </c>
      <c r="B163" s="37" t="s">
        <v>32</v>
      </c>
      <c r="C163" s="38">
        <v>24.0</v>
      </c>
      <c r="D163" s="38">
        <v>3.0</v>
      </c>
    </row>
    <row r="164">
      <c r="A164" s="37" t="s">
        <v>48</v>
      </c>
      <c r="B164" s="37" t="s">
        <v>32</v>
      </c>
      <c r="C164" s="38">
        <v>3.0</v>
      </c>
      <c r="D164" s="38">
        <v>3.0</v>
      </c>
    </row>
    <row r="165">
      <c r="A165" s="37" t="s">
        <v>48</v>
      </c>
      <c r="B165" s="37" t="s">
        <v>32</v>
      </c>
      <c r="C165" s="38">
        <v>10.0</v>
      </c>
      <c r="D165" s="38">
        <v>3.0</v>
      </c>
    </row>
    <row r="166">
      <c r="A166" s="37" t="s">
        <v>48</v>
      </c>
      <c r="B166" s="37" t="s">
        <v>32</v>
      </c>
      <c r="C166" s="38">
        <v>17.0</v>
      </c>
      <c r="D166" s="38">
        <v>3.0</v>
      </c>
    </row>
    <row r="167">
      <c r="A167" s="37" t="s">
        <v>48</v>
      </c>
      <c r="B167" s="37" t="s">
        <v>32</v>
      </c>
      <c r="C167" s="38">
        <v>31.0</v>
      </c>
      <c r="D167" s="38">
        <v>3.0</v>
      </c>
    </row>
    <row r="168">
      <c r="A168" s="37" t="s">
        <v>48</v>
      </c>
      <c r="B168" s="37" t="s">
        <v>40</v>
      </c>
      <c r="C168" s="38">
        <v>25.0</v>
      </c>
      <c r="D168" s="38">
        <v>2.0</v>
      </c>
    </row>
    <row r="169">
      <c r="A169" s="37" t="s">
        <v>48</v>
      </c>
      <c r="B169" s="37" t="s">
        <v>40</v>
      </c>
      <c r="C169" s="38">
        <v>4.0</v>
      </c>
      <c r="D169" s="38">
        <v>2.0</v>
      </c>
    </row>
    <row r="170">
      <c r="A170" s="37" t="s">
        <v>48</v>
      </c>
      <c r="B170" s="37" t="s">
        <v>40</v>
      </c>
      <c r="C170" s="38">
        <v>11.0</v>
      </c>
      <c r="D170" s="38">
        <v>2.0</v>
      </c>
    </row>
    <row r="171">
      <c r="A171" s="37" t="s">
        <v>48</v>
      </c>
      <c r="B171" s="37" t="s">
        <v>40</v>
      </c>
      <c r="C171" s="38">
        <v>18.0</v>
      </c>
      <c r="D171" s="38">
        <v>2.0</v>
      </c>
    </row>
    <row r="172">
      <c r="A172" s="37" t="s">
        <v>48</v>
      </c>
      <c r="B172" s="37" t="s">
        <v>40</v>
      </c>
      <c r="C172" s="38">
        <v>32.0</v>
      </c>
      <c r="D172" s="38">
        <v>2.0</v>
      </c>
    </row>
    <row r="173">
      <c r="A173" s="37" t="s">
        <v>48</v>
      </c>
      <c r="B173" s="37" t="s">
        <v>34</v>
      </c>
      <c r="C173" s="38">
        <v>1.0</v>
      </c>
      <c r="D173" s="38">
        <v>30.0</v>
      </c>
    </row>
    <row r="174">
      <c r="A174" s="37" t="s">
        <v>48</v>
      </c>
      <c r="B174" s="37" t="s">
        <v>34</v>
      </c>
      <c r="C174" s="38">
        <v>31.0</v>
      </c>
      <c r="D174" s="38">
        <v>3.0</v>
      </c>
    </row>
    <row r="175">
      <c r="A175" s="37" t="s">
        <v>48</v>
      </c>
      <c r="B175" s="37" t="s">
        <v>35</v>
      </c>
      <c r="C175" s="38">
        <v>13.0</v>
      </c>
      <c r="D175" s="38">
        <v>4.0</v>
      </c>
    </row>
    <row r="176">
      <c r="A176" s="37" t="s">
        <v>48</v>
      </c>
      <c r="B176" s="37" t="s">
        <v>35</v>
      </c>
      <c r="C176" s="38">
        <v>20.0</v>
      </c>
      <c r="D176" s="38">
        <v>4.0</v>
      </c>
    </row>
    <row r="177">
      <c r="A177" s="37" t="s">
        <v>48</v>
      </c>
      <c r="B177" s="37" t="s">
        <v>35</v>
      </c>
      <c r="C177" s="38">
        <v>6.0</v>
      </c>
      <c r="D177" s="38">
        <v>4.0</v>
      </c>
    </row>
    <row r="178">
      <c r="A178" s="37" t="s">
        <v>48</v>
      </c>
      <c r="B178" s="37" t="s">
        <v>35</v>
      </c>
      <c r="C178" s="38">
        <v>27.0</v>
      </c>
      <c r="D178" s="38">
        <v>4.0</v>
      </c>
    </row>
    <row r="179">
      <c r="A179" s="37" t="s">
        <v>48</v>
      </c>
      <c r="B179" s="37" t="s">
        <v>35</v>
      </c>
      <c r="C179" s="38">
        <v>1.0</v>
      </c>
      <c r="D179" s="38">
        <v>2.0</v>
      </c>
    </row>
    <row r="180">
      <c r="A180" s="37" t="s">
        <v>48</v>
      </c>
      <c r="B180" s="37" t="s">
        <v>36</v>
      </c>
      <c r="C180" s="38">
        <v>13.0</v>
      </c>
      <c r="D180" s="38">
        <v>7.0</v>
      </c>
    </row>
    <row r="181">
      <c r="A181" s="37" t="s">
        <v>48</v>
      </c>
      <c r="B181" s="37" t="s">
        <v>36</v>
      </c>
      <c r="C181" s="38">
        <v>20.0</v>
      </c>
      <c r="D181" s="38">
        <v>7.0</v>
      </c>
    </row>
    <row r="182">
      <c r="A182" s="37" t="s">
        <v>48</v>
      </c>
      <c r="B182" s="37" t="s">
        <v>36</v>
      </c>
      <c r="C182" s="38">
        <v>27.0</v>
      </c>
      <c r="D182" s="38">
        <v>7.0</v>
      </c>
    </row>
    <row r="183">
      <c r="A183" s="37" t="s">
        <v>48</v>
      </c>
      <c r="B183" s="37" t="s">
        <v>36</v>
      </c>
      <c r="C183" s="38">
        <v>1.0</v>
      </c>
      <c r="D183" s="38">
        <v>5.0</v>
      </c>
    </row>
    <row r="184">
      <c r="A184" s="37" t="s">
        <v>48</v>
      </c>
      <c r="B184" s="37" t="s">
        <v>36</v>
      </c>
      <c r="C184" s="38">
        <v>6.0</v>
      </c>
      <c r="D184" s="38">
        <v>7.0</v>
      </c>
    </row>
    <row r="185">
      <c r="A185" s="37" t="s">
        <v>48</v>
      </c>
      <c r="B185" s="37" t="s">
        <v>37</v>
      </c>
      <c r="C185" s="38">
        <v>3.0</v>
      </c>
      <c r="D185" s="38">
        <v>3.0</v>
      </c>
    </row>
    <row r="186">
      <c r="A186" s="37" t="s">
        <v>48</v>
      </c>
      <c r="B186" s="37" t="s">
        <v>37</v>
      </c>
      <c r="C186" s="38">
        <v>10.0</v>
      </c>
      <c r="D186" s="38">
        <v>3.0</v>
      </c>
    </row>
    <row r="187">
      <c r="A187" s="37" t="s">
        <v>48</v>
      </c>
      <c r="B187" s="37" t="s">
        <v>37</v>
      </c>
      <c r="C187" s="38">
        <v>17.0</v>
      </c>
      <c r="D187" s="38">
        <v>3.0</v>
      </c>
    </row>
    <row r="188">
      <c r="A188" s="37" t="s">
        <v>48</v>
      </c>
      <c r="B188" s="37" t="s">
        <v>37</v>
      </c>
      <c r="C188" s="38">
        <v>24.0</v>
      </c>
      <c r="D188" s="38">
        <v>3.0</v>
      </c>
    </row>
    <row r="189">
      <c r="A189" s="37" t="s">
        <v>48</v>
      </c>
      <c r="B189" s="37" t="s">
        <v>37</v>
      </c>
      <c r="C189" s="38">
        <v>31.0</v>
      </c>
      <c r="D189" s="38">
        <v>3.0</v>
      </c>
    </row>
    <row r="190">
      <c r="A190" s="37" t="s">
        <v>48</v>
      </c>
      <c r="B190" s="37" t="s">
        <v>42</v>
      </c>
      <c r="C190" s="38">
        <v>6.0</v>
      </c>
      <c r="D190" s="38">
        <v>2.0</v>
      </c>
    </row>
    <row r="191">
      <c r="A191" s="37" t="s">
        <v>48</v>
      </c>
      <c r="B191" s="37" t="s">
        <v>42</v>
      </c>
      <c r="C191" s="38">
        <v>8.0</v>
      </c>
      <c r="D191" s="38">
        <v>2.0</v>
      </c>
    </row>
    <row r="192">
      <c r="A192" s="37" t="s">
        <v>48</v>
      </c>
      <c r="B192" s="37" t="s">
        <v>43</v>
      </c>
      <c r="C192" s="38">
        <v>13.0</v>
      </c>
      <c r="D192" s="38">
        <v>2.0</v>
      </c>
    </row>
    <row r="193">
      <c r="A193" s="37" t="s">
        <v>48</v>
      </c>
      <c r="B193" s="37" t="s">
        <v>43</v>
      </c>
      <c r="C193" s="38">
        <v>15.0</v>
      </c>
      <c r="D193" s="38">
        <v>2.0</v>
      </c>
    </row>
    <row r="194">
      <c r="A194" s="37" t="s">
        <v>48</v>
      </c>
      <c r="B194" s="37" t="s">
        <v>38</v>
      </c>
      <c r="C194" s="38">
        <v>17.0</v>
      </c>
      <c r="D194" s="38">
        <v>3.0</v>
      </c>
    </row>
    <row r="195">
      <c r="A195" s="37" t="s">
        <v>48</v>
      </c>
      <c r="B195" s="37" t="s">
        <v>38</v>
      </c>
      <c r="C195" s="38">
        <v>24.0</v>
      </c>
      <c r="D195" s="38">
        <v>3.0</v>
      </c>
    </row>
    <row r="196">
      <c r="A196" s="37" t="s">
        <v>48</v>
      </c>
      <c r="B196" s="37" t="s">
        <v>38</v>
      </c>
      <c r="C196" s="38">
        <v>31.0</v>
      </c>
      <c r="D196" s="38">
        <v>3.0</v>
      </c>
    </row>
    <row r="197">
      <c r="A197" s="37" t="s">
        <v>48</v>
      </c>
      <c r="B197" s="37" t="s">
        <v>38</v>
      </c>
      <c r="C197" s="38">
        <v>3.0</v>
      </c>
      <c r="D197" s="38">
        <v>3.0</v>
      </c>
    </row>
    <row r="198">
      <c r="A198" s="37" t="s">
        <v>48</v>
      </c>
      <c r="B198" s="37" t="s">
        <v>38</v>
      </c>
      <c r="C198" s="38">
        <v>10.0</v>
      </c>
      <c r="D198" s="38">
        <v>3.0</v>
      </c>
    </row>
    <row r="199">
      <c r="A199" s="37" t="s">
        <v>48</v>
      </c>
      <c r="B199" s="37" t="s">
        <v>45</v>
      </c>
      <c r="C199" s="38">
        <v>20.0</v>
      </c>
      <c r="D199" s="38">
        <v>2.0</v>
      </c>
    </row>
    <row r="200">
      <c r="A200" s="37" t="s">
        <v>48</v>
      </c>
      <c r="B200" s="37" t="s">
        <v>45</v>
      </c>
      <c r="C200" s="38">
        <v>22.0</v>
      </c>
      <c r="D200" s="38">
        <v>2.0</v>
      </c>
    </row>
    <row r="201">
      <c r="A201" s="37" t="s">
        <v>48</v>
      </c>
      <c r="B201" s="37" t="s">
        <v>46</v>
      </c>
      <c r="C201" s="38">
        <v>1.0</v>
      </c>
      <c r="D201" s="38">
        <v>2.0</v>
      </c>
    </row>
    <row r="202">
      <c r="A202" s="37" t="s">
        <v>48</v>
      </c>
      <c r="B202" s="37" t="s">
        <v>46</v>
      </c>
      <c r="C202" s="38">
        <v>27.0</v>
      </c>
      <c r="D202" s="38">
        <v>2.0</v>
      </c>
    </row>
    <row r="203">
      <c r="A203" s="37" t="s">
        <v>48</v>
      </c>
      <c r="B203" s="37" t="s">
        <v>46</v>
      </c>
      <c r="C203" s="38">
        <v>29.0</v>
      </c>
      <c r="D203" s="38">
        <v>2.0</v>
      </c>
    </row>
    <row r="204">
      <c r="A204" s="37" t="s">
        <v>48</v>
      </c>
      <c r="B204" s="37" t="s">
        <v>41</v>
      </c>
      <c r="C204" s="38">
        <v>3.0</v>
      </c>
      <c r="D204" s="38">
        <v>1.0</v>
      </c>
    </row>
    <row r="205">
      <c r="A205" s="37" t="s">
        <v>48</v>
      </c>
      <c r="B205" s="37" t="s">
        <v>41</v>
      </c>
      <c r="C205" s="38">
        <v>4.0</v>
      </c>
      <c r="D205" s="38">
        <v>1.0</v>
      </c>
    </row>
    <row r="206">
      <c r="A206" s="37" t="s">
        <v>48</v>
      </c>
      <c r="B206" s="37" t="s">
        <v>41</v>
      </c>
      <c r="C206" s="38">
        <v>5.0</v>
      </c>
      <c r="D206" s="38">
        <v>1.0</v>
      </c>
    </row>
    <row r="207">
      <c r="A207" s="37" t="s">
        <v>48</v>
      </c>
      <c r="B207" s="37" t="s">
        <v>41</v>
      </c>
      <c r="C207" s="38">
        <v>10.0</v>
      </c>
      <c r="D207" s="38">
        <v>1.0</v>
      </c>
    </row>
    <row r="208">
      <c r="A208" s="37" t="s">
        <v>48</v>
      </c>
      <c r="B208" s="37" t="s">
        <v>41</v>
      </c>
      <c r="C208" s="38">
        <v>11.0</v>
      </c>
      <c r="D208" s="38">
        <v>1.0</v>
      </c>
    </row>
    <row r="209">
      <c r="A209" s="37" t="s">
        <v>48</v>
      </c>
      <c r="B209" s="37" t="s">
        <v>41</v>
      </c>
      <c r="C209" s="38">
        <v>12.0</v>
      </c>
      <c r="D209" s="38">
        <v>1.0</v>
      </c>
    </row>
    <row r="210">
      <c r="A210" s="37" t="s">
        <v>48</v>
      </c>
      <c r="B210" s="37" t="s">
        <v>41</v>
      </c>
      <c r="C210" s="38">
        <v>17.0</v>
      </c>
      <c r="D210" s="38">
        <v>1.0</v>
      </c>
    </row>
    <row r="211">
      <c r="A211" s="37" t="s">
        <v>48</v>
      </c>
      <c r="B211" s="37" t="s">
        <v>41</v>
      </c>
      <c r="C211" s="38">
        <v>18.0</v>
      </c>
      <c r="D211" s="38">
        <v>1.0</v>
      </c>
    </row>
    <row r="212">
      <c r="A212" s="37" t="s">
        <v>48</v>
      </c>
      <c r="B212" s="37" t="s">
        <v>41</v>
      </c>
      <c r="C212" s="38">
        <v>19.0</v>
      </c>
      <c r="D212" s="38">
        <v>1.0</v>
      </c>
    </row>
    <row r="213">
      <c r="A213" s="37" t="s">
        <v>48</v>
      </c>
      <c r="B213" s="37" t="s">
        <v>41</v>
      </c>
      <c r="C213" s="38">
        <v>24.0</v>
      </c>
      <c r="D213" s="38">
        <v>1.0</v>
      </c>
    </row>
    <row r="214">
      <c r="A214" s="37" t="s">
        <v>48</v>
      </c>
      <c r="B214" s="37" t="s">
        <v>41</v>
      </c>
      <c r="C214" s="38">
        <v>25.0</v>
      </c>
      <c r="D214" s="38">
        <v>1.0</v>
      </c>
    </row>
    <row r="215">
      <c r="A215" s="37" t="s">
        <v>48</v>
      </c>
      <c r="B215" s="37" t="s">
        <v>41</v>
      </c>
      <c r="C215" s="38">
        <v>26.0</v>
      </c>
      <c r="D215" s="38">
        <v>1.0</v>
      </c>
    </row>
    <row r="216">
      <c r="A216" s="37" t="s">
        <v>48</v>
      </c>
      <c r="B216" s="37" t="s">
        <v>41</v>
      </c>
      <c r="C216" s="38">
        <v>31.0</v>
      </c>
      <c r="D216" s="38">
        <v>1.0</v>
      </c>
    </row>
    <row r="217">
      <c r="A217" s="37" t="s">
        <v>48</v>
      </c>
      <c r="B217" s="37" t="s">
        <v>41</v>
      </c>
      <c r="C217" s="38">
        <v>32.0</v>
      </c>
      <c r="D217" s="38">
        <v>1.0</v>
      </c>
    </row>
    <row r="218">
      <c r="A218" s="37" t="s">
        <v>48</v>
      </c>
      <c r="B218" s="37" t="s">
        <v>41</v>
      </c>
      <c r="C218" s="38">
        <v>33.0</v>
      </c>
      <c r="D218" s="38">
        <v>1.0</v>
      </c>
    </row>
    <row r="219">
      <c r="A219" s="37" t="s">
        <v>48</v>
      </c>
      <c r="B219" s="37" t="s">
        <v>44</v>
      </c>
      <c r="C219" s="38">
        <v>1.0</v>
      </c>
      <c r="D219" s="38">
        <v>1.0</v>
      </c>
    </row>
    <row r="220">
      <c r="A220" s="37" t="s">
        <v>48</v>
      </c>
      <c r="B220" s="37" t="s">
        <v>44</v>
      </c>
      <c r="C220" s="38">
        <v>2.0</v>
      </c>
      <c r="D220" s="38">
        <v>1.0</v>
      </c>
    </row>
    <row r="221">
      <c r="A221" s="37" t="s">
        <v>48</v>
      </c>
      <c r="B221" s="37" t="s">
        <v>44</v>
      </c>
      <c r="C221" s="38">
        <v>6.0</v>
      </c>
      <c r="D221" s="38">
        <v>1.0</v>
      </c>
    </row>
    <row r="222">
      <c r="A222" s="37" t="s">
        <v>48</v>
      </c>
      <c r="B222" s="37" t="s">
        <v>44</v>
      </c>
      <c r="C222" s="38">
        <v>7.0</v>
      </c>
      <c r="D222" s="38">
        <v>1.0</v>
      </c>
    </row>
    <row r="223">
      <c r="A223" s="37" t="s">
        <v>48</v>
      </c>
      <c r="B223" s="37" t="s">
        <v>44</v>
      </c>
      <c r="C223" s="38">
        <v>8.0</v>
      </c>
      <c r="D223" s="38">
        <v>1.0</v>
      </c>
    </row>
    <row r="224">
      <c r="A224" s="37" t="s">
        <v>48</v>
      </c>
      <c r="B224" s="37" t="s">
        <v>44</v>
      </c>
      <c r="C224" s="38">
        <v>9.0</v>
      </c>
      <c r="D224" s="38">
        <v>1.0</v>
      </c>
    </row>
    <row r="225">
      <c r="A225" s="37" t="s">
        <v>48</v>
      </c>
      <c r="B225" s="37" t="s">
        <v>44</v>
      </c>
      <c r="C225" s="38">
        <v>13.0</v>
      </c>
      <c r="D225" s="38">
        <v>1.0</v>
      </c>
    </row>
    <row r="226">
      <c r="A226" s="37" t="s">
        <v>48</v>
      </c>
      <c r="B226" s="37" t="s">
        <v>44</v>
      </c>
      <c r="C226" s="38">
        <v>14.0</v>
      </c>
      <c r="D226" s="38">
        <v>1.0</v>
      </c>
    </row>
    <row r="227">
      <c r="A227" s="37" t="s">
        <v>48</v>
      </c>
      <c r="B227" s="37" t="s">
        <v>44</v>
      </c>
      <c r="C227" s="38">
        <v>15.0</v>
      </c>
      <c r="D227" s="38">
        <v>1.0</v>
      </c>
    </row>
    <row r="228">
      <c r="A228" s="37" t="s">
        <v>48</v>
      </c>
      <c r="B228" s="37" t="s">
        <v>44</v>
      </c>
      <c r="C228" s="38">
        <v>16.0</v>
      </c>
      <c r="D228" s="38">
        <v>1.0</v>
      </c>
    </row>
    <row r="229">
      <c r="A229" s="37" t="s">
        <v>48</v>
      </c>
      <c r="B229" s="37" t="s">
        <v>44</v>
      </c>
      <c r="C229" s="38">
        <v>20.0</v>
      </c>
      <c r="D229" s="38">
        <v>1.0</v>
      </c>
    </row>
    <row r="230">
      <c r="A230" s="37" t="s">
        <v>48</v>
      </c>
      <c r="B230" s="37" t="s">
        <v>44</v>
      </c>
      <c r="C230" s="38">
        <v>21.0</v>
      </c>
      <c r="D230" s="38">
        <v>1.0</v>
      </c>
    </row>
    <row r="231">
      <c r="A231" s="37" t="s">
        <v>48</v>
      </c>
      <c r="B231" s="37" t="s">
        <v>44</v>
      </c>
      <c r="C231" s="38">
        <v>22.0</v>
      </c>
      <c r="D231" s="38">
        <v>1.0</v>
      </c>
    </row>
    <row r="232">
      <c r="A232" s="37" t="s">
        <v>48</v>
      </c>
      <c r="B232" s="37" t="s">
        <v>44</v>
      </c>
      <c r="C232" s="38">
        <v>23.0</v>
      </c>
      <c r="D232" s="38">
        <v>1.0</v>
      </c>
    </row>
    <row r="233">
      <c r="A233" s="37" t="s">
        <v>48</v>
      </c>
      <c r="B233" s="37" t="s">
        <v>44</v>
      </c>
      <c r="C233" s="38">
        <v>27.0</v>
      </c>
      <c r="D233" s="38">
        <v>1.0</v>
      </c>
    </row>
    <row r="234">
      <c r="A234" s="37" t="s">
        <v>48</v>
      </c>
      <c r="B234" s="37" t="s">
        <v>44</v>
      </c>
      <c r="C234" s="38">
        <v>28.0</v>
      </c>
      <c r="D234" s="38">
        <v>1.0</v>
      </c>
    </row>
    <row r="235">
      <c r="A235" s="37" t="s">
        <v>48</v>
      </c>
      <c r="B235" s="37" t="s">
        <v>44</v>
      </c>
      <c r="C235" s="38">
        <v>29.0</v>
      </c>
      <c r="D235" s="38">
        <v>1.0</v>
      </c>
    </row>
    <row r="236">
      <c r="A236" s="37" t="s">
        <v>48</v>
      </c>
      <c r="B236" s="37" t="s">
        <v>44</v>
      </c>
      <c r="C236" s="38">
        <v>30.0</v>
      </c>
      <c r="D236" s="38">
        <v>1.0</v>
      </c>
    </row>
    <row r="237">
      <c r="A237" s="37" t="s">
        <v>48</v>
      </c>
      <c r="B237" s="37" t="s">
        <v>27</v>
      </c>
      <c r="C237" s="38">
        <v>3.0</v>
      </c>
      <c r="D237" s="38">
        <v>1.0</v>
      </c>
    </row>
    <row r="238">
      <c r="A238" s="37" t="s">
        <v>48</v>
      </c>
      <c r="B238" s="37" t="s">
        <v>27</v>
      </c>
      <c r="C238" s="38">
        <v>4.0</v>
      </c>
      <c r="D238" s="38">
        <v>1.0</v>
      </c>
    </row>
    <row r="239">
      <c r="A239" s="37" t="s">
        <v>48</v>
      </c>
      <c r="B239" s="37" t="s">
        <v>27</v>
      </c>
      <c r="C239" s="38">
        <v>5.0</v>
      </c>
      <c r="D239" s="38">
        <v>1.0</v>
      </c>
    </row>
    <row r="240">
      <c r="A240" s="37" t="s">
        <v>48</v>
      </c>
      <c r="B240" s="37" t="s">
        <v>27</v>
      </c>
      <c r="C240" s="38">
        <v>10.0</v>
      </c>
      <c r="D240" s="38">
        <v>1.0</v>
      </c>
    </row>
    <row r="241">
      <c r="A241" s="37" t="s">
        <v>48</v>
      </c>
      <c r="B241" s="37" t="s">
        <v>27</v>
      </c>
      <c r="C241" s="38">
        <v>11.0</v>
      </c>
      <c r="D241" s="38">
        <v>1.0</v>
      </c>
    </row>
    <row r="242">
      <c r="A242" s="37" t="s">
        <v>48</v>
      </c>
      <c r="B242" s="37" t="s">
        <v>27</v>
      </c>
      <c r="C242" s="38">
        <v>12.0</v>
      </c>
      <c r="D242" s="38">
        <v>1.0</v>
      </c>
    </row>
    <row r="243">
      <c r="A243" s="37" t="s">
        <v>48</v>
      </c>
      <c r="B243" s="37" t="s">
        <v>27</v>
      </c>
      <c r="C243" s="38">
        <v>17.0</v>
      </c>
      <c r="D243" s="38">
        <v>1.0</v>
      </c>
    </row>
    <row r="244">
      <c r="A244" s="37" t="s">
        <v>48</v>
      </c>
      <c r="B244" s="37" t="s">
        <v>27</v>
      </c>
      <c r="C244" s="38">
        <v>18.0</v>
      </c>
      <c r="D244" s="38">
        <v>1.0</v>
      </c>
    </row>
    <row r="245">
      <c r="A245" s="37" t="s">
        <v>48</v>
      </c>
      <c r="B245" s="37" t="s">
        <v>27</v>
      </c>
      <c r="C245" s="38">
        <v>19.0</v>
      </c>
      <c r="D245" s="38">
        <v>1.0</v>
      </c>
    </row>
    <row r="246">
      <c r="A246" s="37" t="s">
        <v>48</v>
      </c>
      <c r="B246" s="37" t="s">
        <v>27</v>
      </c>
      <c r="C246" s="38">
        <v>24.0</v>
      </c>
      <c r="D246" s="38">
        <v>1.0</v>
      </c>
    </row>
    <row r="247">
      <c r="A247" s="37" t="s">
        <v>48</v>
      </c>
      <c r="B247" s="37" t="s">
        <v>27</v>
      </c>
      <c r="C247" s="38">
        <v>25.0</v>
      </c>
      <c r="D247" s="38">
        <v>1.0</v>
      </c>
    </row>
    <row r="248">
      <c r="A248" s="37" t="s">
        <v>48</v>
      </c>
      <c r="B248" s="37" t="s">
        <v>27</v>
      </c>
      <c r="C248" s="38">
        <v>26.0</v>
      </c>
      <c r="D248" s="38">
        <v>1.0</v>
      </c>
    </row>
    <row r="249">
      <c r="A249" s="37" t="s">
        <v>48</v>
      </c>
      <c r="B249" s="37" t="s">
        <v>27</v>
      </c>
      <c r="C249" s="38">
        <v>31.0</v>
      </c>
      <c r="D249" s="38">
        <v>1.0</v>
      </c>
    </row>
    <row r="250">
      <c r="A250" s="37" t="s">
        <v>48</v>
      </c>
      <c r="B250" s="37" t="s">
        <v>27</v>
      </c>
      <c r="C250" s="38">
        <v>32.0</v>
      </c>
      <c r="D250" s="38">
        <v>1.0</v>
      </c>
    </row>
    <row r="251">
      <c r="A251" s="37" t="s">
        <v>48</v>
      </c>
      <c r="B251" s="37" t="s">
        <v>27</v>
      </c>
      <c r="C251" s="38">
        <v>33.0</v>
      </c>
      <c r="D251" s="38">
        <v>1.0</v>
      </c>
    </row>
    <row r="252">
      <c r="A252" s="37" t="s">
        <v>48</v>
      </c>
      <c r="B252" s="37" t="s">
        <v>47</v>
      </c>
      <c r="C252" s="38">
        <v>1.0</v>
      </c>
      <c r="D252" s="38">
        <v>1.0</v>
      </c>
    </row>
    <row r="253">
      <c r="A253" s="37" t="s">
        <v>48</v>
      </c>
      <c r="B253" s="37" t="s">
        <v>47</v>
      </c>
      <c r="C253" s="38">
        <v>2.0</v>
      </c>
      <c r="D253" s="38">
        <v>1.0</v>
      </c>
    </row>
    <row r="254">
      <c r="A254" s="37" t="s">
        <v>48</v>
      </c>
      <c r="B254" s="37" t="s">
        <v>47</v>
      </c>
      <c r="C254" s="38">
        <v>3.0</v>
      </c>
      <c r="D254" s="38">
        <v>1.0</v>
      </c>
    </row>
    <row r="255">
      <c r="A255" s="37" t="s">
        <v>48</v>
      </c>
      <c r="B255" s="37" t="s">
        <v>47</v>
      </c>
      <c r="C255" s="38">
        <v>4.0</v>
      </c>
      <c r="D255" s="38">
        <v>1.0</v>
      </c>
    </row>
    <row r="256">
      <c r="A256" s="37" t="s">
        <v>48</v>
      </c>
      <c r="B256" s="37" t="s">
        <v>47</v>
      </c>
      <c r="C256" s="38">
        <v>5.0</v>
      </c>
      <c r="D256" s="38">
        <v>1.0</v>
      </c>
    </row>
    <row r="257">
      <c r="A257" s="37" t="s">
        <v>48</v>
      </c>
      <c r="B257" s="37" t="s">
        <v>47</v>
      </c>
      <c r="C257" s="38">
        <v>6.0</v>
      </c>
      <c r="D257" s="38">
        <v>1.0</v>
      </c>
    </row>
    <row r="258">
      <c r="A258" s="37" t="s">
        <v>48</v>
      </c>
      <c r="B258" s="37" t="s">
        <v>47</v>
      </c>
      <c r="C258" s="38">
        <v>7.0</v>
      </c>
      <c r="D258" s="38">
        <v>1.0</v>
      </c>
    </row>
    <row r="259">
      <c r="A259" s="37" t="s">
        <v>48</v>
      </c>
      <c r="B259" s="37" t="s">
        <v>47</v>
      </c>
      <c r="C259" s="38">
        <v>8.0</v>
      </c>
      <c r="D259" s="38">
        <v>1.0</v>
      </c>
    </row>
    <row r="260">
      <c r="A260" s="37" t="s">
        <v>48</v>
      </c>
      <c r="B260" s="37" t="s">
        <v>47</v>
      </c>
      <c r="C260" s="38">
        <v>9.0</v>
      </c>
      <c r="D260" s="38">
        <v>1.0</v>
      </c>
    </row>
    <row r="261">
      <c r="A261" s="37" t="s">
        <v>48</v>
      </c>
      <c r="B261" s="37" t="s">
        <v>47</v>
      </c>
      <c r="C261" s="38">
        <v>10.0</v>
      </c>
      <c r="D261" s="38">
        <v>1.0</v>
      </c>
    </row>
    <row r="262">
      <c r="A262" s="37" t="s">
        <v>48</v>
      </c>
      <c r="B262" s="37" t="s">
        <v>47</v>
      </c>
      <c r="C262" s="38">
        <v>11.0</v>
      </c>
      <c r="D262" s="38">
        <v>1.0</v>
      </c>
    </row>
    <row r="263">
      <c r="A263" s="37" t="s">
        <v>48</v>
      </c>
      <c r="B263" s="37" t="s">
        <v>47</v>
      </c>
      <c r="C263" s="38">
        <v>12.0</v>
      </c>
      <c r="D263" s="38">
        <v>1.0</v>
      </c>
    </row>
    <row r="264">
      <c r="A264" s="37" t="s">
        <v>48</v>
      </c>
      <c r="B264" s="37" t="s">
        <v>47</v>
      </c>
      <c r="C264" s="38">
        <v>13.0</v>
      </c>
      <c r="D264" s="38">
        <v>1.0</v>
      </c>
    </row>
    <row r="265">
      <c r="A265" s="37" t="s">
        <v>48</v>
      </c>
      <c r="B265" s="37" t="s">
        <v>47</v>
      </c>
      <c r="C265" s="38">
        <v>14.0</v>
      </c>
      <c r="D265" s="38">
        <v>1.0</v>
      </c>
    </row>
    <row r="266">
      <c r="A266" s="37" t="s">
        <v>48</v>
      </c>
      <c r="B266" s="37" t="s">
        <v>47</v>
      </c>
      <c r="C266" s="38">
        <v>15.0</v>
      </c>
      <c r="D266" s="38">
        <v>1.0</v>
      </c>
    </row>
    <row r="267">
      <c r="A267" s="37" t="s">
        <v>48</v>
      </c>
      <c r="B267" s="37" t="s">
        <v>47</v>
      </c>
      <c r="C267" s="38">
        <v>16.0</v>
      </c>
      <c r="D267" s="38">
        <v>1.0</v>
      </c>
    </row>
    <row r="268">
      <c r="A268" s="37" t="s">
        <v>48</v>
      </c>
      <c r="B268" s="37" t="s">
        <v>47</v>
      </c>
      <c r="C268" s="38">
        <v>17.0</v>
      </c>
      <c r="D268" s="38">
        <v>1.0</v>
      </c>
    </row>
    <row r="269">
      <c r="A269" s="37" t="s">
        <v>48</v>
      </c>
      <c r="B269" s="37" t="s">
        <v>47</v>
      </c>
      <c r="C269" s="38">
        <v>18.0</v>
      </c>
      <c r="D269" s="38">
        <v>1.0</v>
      </c>
    </row>
    <row r="270">
      <c r="A270" s="37" t="s">
        <v>48</v>
      </c>
      <c r="B270" s="37" t="s">
        <v>47</v>
      </c>
      <c r="C270" s="38">
        <v>19.0</v>
      </c>
      <c r="D270" s="38">
        <v>1.0</v>
      </c>
    </row>
    <row r="271">
      <c r="A271" s="37" t="s">
        <v>48</v>
      </c>
      <c r="B271" s="37" t="s">
        <v>47</v>
      </c>
      <c r="C271" s="38">
        <v>20.0</v>
      </c>
      <c r="D271" s="38">
        <v>1.0</v>
      </c>
    </row>
    <row r="272">
      <c r="A272" s="37" t="s">
        <v>48</v>
      </c>
      <c r="B272" s="37" t="s">
        <v>47</v>
      </c>
      <c r="C272" s="38">
        <v>21.0</v>
      </c>
      <c r="D272" s="38">
        <v>1.0</v>
      </c>
    </row>
    <row r="273">
      <c r="A273" s="37" t="s">
        <v>48</v>
      </c>
      <c r="B273" s="37" t="s">
        <v>47</v>
      </c>
      <c r="C273" s="38">
        <v>22.0</v>
      </c>
      <c r="D273" s="38">
        <v>1.0</v>
      </c>
    </row>
    <row r="274">
      <c r="A274" s="37" t="s">
        <v>48</v>
      </c>
      <c r="B274" s="37" t="s">
        <v>47</v>
      </c>
      <c r="C274" s="38">
        <v>23.0</v>
      </c>
      <c r="D274" s="38">
        <v>1.0</v>
      </c>
    </row>
    <row r="275">
      <c r="A275" s="37" t="s">
        <v>48</v>
      </c>
      <c r="B275" s="37" t="s">
        <v>47</v>
      </c>
      <c r="C275" s="38">
        <v>24.0</v>
      </c>
      <c r="D275" s="38">
        <v>1.0</v>
      </c>
    </row>
    <row r="276">
      <c r="A276" s="37" t="s">
        <v>48</v>
      </c>
      <c r="B276" s="37" t="s">
        <v>47</v>
      </c>
      <c r="C276" s="38">
        <v>25.0</v>
      </c>
      <c r="D276" s="38">
        <v>1.0</v>
      </c>
    </row>
    <row r="277">
      <c r="A277" s="37" t="s">
        <v>48</v>
      </c>
      <c r="B277" s="37" t="s">
        <v>47</v>
      </c>
      <c r="C277" s="38">
        <v>26.0</v>
      </c>
      <c r="D277" s="38">
        <v>1.0</v>
      </c>
    </row>
    <row r="278">
      <c r="A278" s="37" t="s">
        <v>48</v>
      </c>
      <c r="B278" s="37" t="s">
        <v>47</v>
      </c>
      <c r="C278" s="38">
        <v>27.0</v>
      </c>
      <c r="D278" s="38">
        <v>1.0</v>
      </c>
    </row>
    <row r="279">
      <c r="A279" s="37" t="s">
        <v>48</v>
      </c>
      <c r="B279" s="37" t="s">
        <v>47</v>
      </c>
      <c r="C279" s="38">
        <v>28.0</v>
      </c>
      <c r="D279" s="38">
        <v>1.0</v>
      </c>
    </row>
    <row r="280">
      <c r="A280" s="37" t="s">
        <v>48</v>
      </c>
      <c r="B280" s="37" t="s">
        <v>47</v>
      </c>
      <c r="C280" s="38">
        <v>29.0</v>
      </c>
      <c r="D280" s="38">
        <v>1.0</v>
      </c>
    </row>
    <row r="281">
      <c r="A281" s="37" t="s">
        <v>48</v>
      </c>
      <c r="B281" s="37" t="s">
        <v>47</v>
      </c>
      <c r="C281" s="38">
        <v>30.0</v>
      </c>
      <c r="D281" s="38">
        <v>1.0</v>
      </c>
    </row>
    <row r="282">
      <c r="A282" s="37" t="s">
        <v>48</v>
      </c>
      <c r="B282" s="37" t="s">
        <v>47</v>
      </c>
      <c r="C282" s="38">
        <v>31.0</v>
      </c>
      <c r="D282" s="38">
        <v>1.0</v>
      </c>
    </row>
    <row r="283">
      <c r="A283" s="37" t="s">
        <v>48</v>
      </c>
      <c r="B283" s="37" t="s">
        <v>47</v>
      </c>
      <c r="C283" s="38">
        <v>32.0</v>
      </c>
      <c r="D283" s="38">
        <v>1.0</v>
      </c>
    </row>
    <row r="284">
      <c r="A284" s="37" t="s">
        <v>48</v>
      </c>
      <c r="B284" s="37" t="s">
        <v>47</v>
      </c>
      <c r="C284" s="38">
        <v>33.0</v>
      </c>
      <c r="D284" s="38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7" width="8.38"/>
    <col customWidth="1" min="8" max="8" width="7.5"/>
    <col customWidth="1" min="9" max="9" width="7.63"/>
    <col customWidth="1" min="10" max="10" width="7.5"/>
    <col customWidth="1" min="11" max="11" width="7.63"/>
    <col customWidth="1" min="12" max="12" width="3.88"/>
    <col customWidth="1" min="13" max="13" width="3.38"/>
    <col customWidth="1" min="14" max="14" width="2.5"/>
    <col customWidth="1" min="15" max="15" width="3.38"/>
    <col customWidth="1" min="16" max="16" width="2.5"/>
    <col customWidth="1" min="17" max="17" width="3.38"/>
    <col customWidth="1" min="18" max="18" width="2.5"/>
    <col customWidth="1" min="19" max="19" width="3.88"/>
    <col customWidth="1" hidden="1" min="20" max="21" width="11.13"/>
    <col customWidth="1" min="22" max="22" width="3.88"/>
    <col customWidth="1" min="23" max="33" width="9.38"/>
    <col hidden="1" min="36" max="37" width="12.63"/>
  </cols>
  <sheetData>
    <row r="1" ht="17.25" customHeight="1">
      <c r="A1" s="39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ht="15.0" customHeight="1">
      <c r="A2" s="4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ht="15.0" customHeight="1">
      <c r="A3" s="40"/>
      <c r="B3" s="41" t="s">
        <v>51</v>
      </c>
      <c r="C3" s="2"/>
      <c r="D3" s="41" t="s">
        <v>52</v>
      </c>
      <c r="E3" s="2"/>
      <c r="F3" s="41" t="s">
        <v>53</v>
      </c>
      <c r="G3" s="2"/>
      <c r="H3" s="41" t="s">
        <v>54</v>
      </c>
      <c r="I3" s="2"/>
      <c r="J3" s="41" t="s">
        <v>55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2" t="s">
        <v>56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3" t="s">
        <v>1</v>
      </c>
      <c r="B4" s="3" t="s">
        <v>2</v>
      </c>
      <c r="C4" s="3" t="s">
        <v>3</v>
      </c>
      <c r="D4" s="3" t="s">
        <v>2</v>
      </c>
      <c r="E4" s="3" t="s">
        <v>3</v>
      </c>
      <c r="F4" s="3" t="s">
        <v>2</v>
      </c>
      <c r="G4" s="3" t="s">
        <v>3</v>
      </c>
      <c r="H4" s="3" t="s">
        <v>2</v>
      </c>
      <c r="I4" s="3" t="s">
        <v>3</v>
      </c>
      <c r="J4" s="3" t="s">
        <v>2</v>
      </c>
      <c r="K4" s="3" t="s">
        <v>3</v>
      </c>
      <c r="L4" s="42"/>
      <c r="M4" s="4" t="s">
        <v>4</v>
      </c>
      <c r="R4" s="5"/>
      <c r="S4" s="42"/>
      <c r="T4" s="43" t="s">
        <v>57</v>
      </c>
      <c r="U4" s="43" t="s">
        <v>58</v>
      </c>
      <c r="V4" s="2"/>
      <c r="W4" s="8" t="s">
        <v>5</v>
      </c>
      <c r="X4" s="8" t="s">
        <v>6</v>
      </c>
      <c r="Y4" s="8" t="s">
        <v>7</v>
      </c>
      <c r="Z4" s="8" t="s">
        <v>8</v>
      </c>
      <c r="AA4" s="8" t="s">
        <v>9</v>
      </c>
      <c r="AB4" s="8" t="s">
        <v>10</v>
      </c>
      <c r="AC4" s="8" t="s">
        <v>11</v>
      </c>
      <c r="AD4" s="44" t="s">
        <v>12</v>
      </c>
      <c r="AE4" s="8" t="s">
        <v>13</v>
      </c>
      <c r="AF4" s="8" t="s">
        <v>14</v>
      </c>
      <c r="AG4" s="8" t="s">
        <v>15</v>
      </c>
      <c r="AH4" s="44" t="s">
        <v>16</v>
      </c>
      <c r="AI4" s="42"/>
      <c r="AJ4" s="8" t="s">
        <v>17</v>
      </c>
      <c r="AK4" s="8" t="s">
        <v>18</v>
      </c>
      <c r="AL4" s="42"/>
    </row>
    <row r="5" ht="15.0" customHeight="1">
      <c r="A5" s="9">
        <v>1.0</v>
      </c>
      <c r="B5" s="45">
        <v>10.0</v>
      </c>
      <c r="C5" s="46">
        <v>10.0</v>
      </c>
      <c r="D5" s="45">
        <v>10.0</v>
      </c>
      <c r="E5" s="46">
        <v>10.0</v>
      </c>
      <c r="F5" s="45">
        <v>10.0</v>
      </c>
      <c r="G5" s="46">
        <v>10.0</v>
      </c>
      <c r="H5" s="45">
        <v>10.0</v>
      </c>
      <c r="I5" s="46">
        <v>10.0</v>
      </c>
      <c r="J5" s="45">
        <v>10.0</v>
      </c>
      <c r="K5" s="46">
        <v>10.0</v>
      </c>
      <c r="L5" s="2"/>
      <c r="M5" s="12" t="str">
        <f>IFERROR(__xludf.DUMMYFUNCTION("LET(
  names, HSTACK(""Coins"", W$4:AG$4),
  amounts, HSTACK(C5, W5:AG5),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5" s="13">
        <f>IFERROR(__xludf.DUMMYFUNCTION("""COMPUTED_VALUE"""),10.0)</f>
        <v>10</v>
      </c>
      <c r="O5" s="14" t="str">
        <f>IFERROR(__xludf.DUMMYFUNCTION("""COMPUTED_VALUE"""),"")</f>
        <v/>
      </c>
      <c r="P5" s="13">
        <f>IFERROR(__xludf.DUMMYFUNCTION("""COMPUTED_VALUE"""),1.0)</f>
        <v>1</v>
      </c>
      <c r="Q5" s="14" t="str">
        <f>IFERROR(__xludf.DUMMYFUNCTION("""COMPUTED_VALUE"""),"")</f>
        <v/>
      </c>
      <c r="R5" s="15">
        <f>IFERROR(__xludf.DUMMYFUNCTION("""COMPUTED_VALUE"""),15.0)</f>
        <v>15</v>
      </c>
      <c r="S5" s="2"/>
      <c r="T5" s="47">
        <v>15.0</v>
      </c>
      <c r="U5" s="48">
        <v>10.0</v>
      </c>
      <c r="V5" s="2"/>
      <c r="W5" s="49">
        <v>0.0</v>
      </c>
      <c r="X5" s="50">
        <v>1.0</v>
      </c>
      <c r="Y5" s="50">
        <v>0.0</v>
      </c>
      <c r="Z5" s="51">
        <v>0.0</v>
      </c>
      <c r="AA5" s="51">
        <v>0.0</v>
      </c>
      <c r="AB5" s="51">
        <v>0.0</v>
      </c>
      <c r="AC5" s="51">
        <v>0.0</v>
      </c>
      <c r="AD5" s="18">
        <v>15.0</v>
      </c>
      <c r="AE5" s="51">
        <v>0.0</v>
      </c>
      <c r="AF5" s="51">
        <v>0.0</v>
      </c>
      <c r="AG5" s="52">
        <v>0.0</v>
      </c>
      <c r="AH5" s="20">
        <f t="shared" ref="AH5:AH14" si="1">SUMPRODUCT(W5:AG5, {0,33,50,67,167,67,50,4.17,7.56,12.17,16.22})</f>
        <v>95.55</v>
      </c>
      <c r="AI5" s="2">
        <v>100.0</v>
      </c>
      <c r="AJ5" s="21" t="s">
        <v>19</v>
      </c>
      <c r="AK5" s="22"/>
      <c r="AL5" s="2">
        <f t="shared" ref="AL5:AL14" si="2">AH5-AI5</f>
        <v>-4.45</v>
      </c>
    </row>
    <row r="6" ht="15.0" customHeight="1">
      <c r="A6" s="23">
        <v>2.0</v>
      </c>
      <c r="B6" s="53">
        <v>10.0</v>
      </c>
      <c r="C6" s="54">
        <v>0.0</v>
      </c>
      <c r="D6" s="53">
        <v>10.0</v>
      </c>
      <c r="E6" s="54">
        <v>0.0</v>
      </c>
      <c r="F6" s="53">
        <v>10.0</v>
      </c>
      <c r="G6" s="54">
        <v>0.0</v>
      </c>
      <c r="H6" s="53">
        <v>10.0</v>
      </c>
      <c r="I6" s="54">
        <v>0.0</v>
      </c>
      <c r="J6" s="53">
        <v>10.0</v>
      </c>
      <c r="K6" s="54">
        <v>0.0</v>
      </c>
      <c r="L6" s="2"/>
      <c r="M6" s="12" t="str">
        <f>IFERROR(__xludf.DUMMYFUNCTION("LET(
  names, HSTACK(""Coins"", W$4:AG$4),
  amounts, HSTACK(C6, W6:AG6),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6" s="13">
        <f>IFERROR(__xludf.DUMMYFUNCTION("""COMPUTED_VALUE"""),1.0)</f>
        <v>1</v>
      </c>
      <c r="O6" s="14" t="str">
        <f>IFERROR(__xludf.DUMMYFUNCTION("""COMPUTED_VALUE"""),"")</f>
        <v/>
      </c>
      <c r="P6" s="13">
        <f>IFERROR(__xludf.DUMMYFUNCTION("""COMPUTED_VALUE"""),1.0)</f>
        <v>1</v>
      </c>
      <c r="Q6" s="14" t="str">
        <f>IFERROR(__xludf.DUMMYFUNCTION("""COMPUTED_VALUE"""),"")</f>
        <v/>
      </c>
      <c r="R6" s="15">
        <f>IFERROR(__xludf.DUMMYFUNCTION("""COMPUTED_VALUE"""),15.0)</f>
        <v>15</v>
      </c>
      <c r="S6" s="2"/>
      <c r="T6" s="47">
        <v>15.0</v>
      </c>
      <c r="U6" s="48">
        <v>10.0</v>
      </c>
      <c r="V6" s="2"/>
      <c r="W6" s="55">
        <v>0.0</v>
      </c>
      <c r="X6" s="56">
        <v>1.0</v>
      </c>
      <c r="Y6" s="18">
        <v>1.0</v>
      </c>
      <c r="Z6" s="56">
        <v>0.0</v>
      </c>
      <c r="AA6" s="56">
        <v>0.0</v>
      </c>
      <c r="AB6" s="57">
        <v>0.0</v>
      </c>
      <c r="AC6" s="57">
        <v>0.0</v>
      </c>
      <c r="AD6" s="18">
        <v>15.0</v>
      </c>
      <c r="AE6" s="57">
        <v>0.0</v>
      </c>
      <c r="AF6" s="57">
        <v>0.0</v>
      </c>
      <c r="AG6" s="58">
        <v>0.0</v>
      </c>
      <c r="AH6" s="20">
        <f t="shared" si="1"/>
        <v>145.55</v>
      </c>
      <c r="AI6" s="2">
        <v>112.55</v>
      </c>
      <c r="AJ6" s="14" t="str">
        <f t="array" ref="AJ6:AJ16">TRANSPOSE(W4:AG4)</f>
        <v>SPT</v>
      </c>
      <c r="AK6" s="2"/>
      <c r="AL6" s="2">
        <f t="shared" si="2"/>
        <v>33</v>
      </c>
    </row>
    <row r="7" ht="15.0" customHeight="1">
      <c r="A7" s="23">
        <v>3.0</v>
      </c>
      <c r="B7" s="53">
        <v>10.0</v>
      </c>
      <c r="C7" s="54">
        <v>10.0</v>
      </c>
      <c r="D7" s="53">
        <v>10.0</v>
      </c>
      <c r="E7" s="54">
        <v>10.0</v>
      </c>
      <c r="F7" s="53">
        <v>10.0</v>
      </c>
      <c r="G7" s="54">
        <v>10.0</v>
      </c>
      <c r="H7" s="53">
        <v>10.0</v>
      </c>
      <c r="I7" s="54">
        <v>10.0</v>
      </c>
      <c r="J7" s="53">
        <v>10.0</v>
      </c>
      <c r="K7" s="54">
        <v>10.0</v>
      </c>
      <c r="L7" s="2"/>
      <c r="M7" s="12" t="str">
        <f>IFERROR(__xludf.DUMMYFUNCTION("LET(
  names, HSTACK(""Coins"", W$4:AG$4),
  amounts, HSTACK(C7, W7:AG7),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7" s="13">
        <f>IFERROR(__xludf.DUMMYFUNCTION("""COMPUTED_VALUE"""),10.0)</f>
        <v>10</v>
      </c>
      <c r="O7" s="14" t="str">
        <f>IFERROR(__xludf.DUMMYFUNCTION("""COMPUTED_VALUE"""),"")</f>
        <v/>
      </c>
      <c r="P7" s="13">
        <f>IFERROR(__xludf.DUMMYFUNCTION("""COMPUTED_VALUE"""),1.0)</f>
        <v>1</v>
      </c>
      <c r="Q7" s="14" t="str">
        <f>IFERROR(__xludf.DUMMYFUNCTION("""COMPUTED_VALUE"""),"")</f>
        <v/>
      </c>
      <c r="R7" s="15">
        <f>IFERROR(__xludf.DUMMYFUNCTION("""COMPUTED_VALUE"""),15.0)</f>
        <v>15</v>
      </c>
      <c r="S7" s="2"/>
      <c r="T7" s="47">
        <v>15.0</v>
      </c>
      <c r="U7" s="48">
        <v>10.0</v>
      </c>
      <c r="V7" s="2"/>
      <c r="W7" s="55">
        <v>0.0</v>
      </c>
      <c r="X7" s="56">
        <v>0.0</v>
      </c>
      <c r="Y7" s="57">
        <v>0.0</v>
      </c>
      <c r="Z7" s="18">
        <v>1.0</v>
      </c>
      <c r="AA7" s="57">
        <v>0.0</v>
      </c>
      <c r="AB7" s="57">
        <v>0.0</v>
      </c>
      <c r="AC7" s="57">
        <v>0.0</v>
      </c>
      <c r="AD7" s="18">
        <v>15.0</v>
      </c>
      <c r="AE7" s="57">
        <v>0.0</v>
      </c>
      <c r="AF7" s="57">
        <v>0.0</v>
      </c>
      <c r="AG7" s="58">
        <v>0.0</v>
      </c>
      <c r="AH7" s="20">
        <f t="shared" si="1"/>
        <v>129.55</v>
      </c>
      <c r="AI7" s="2">
        <v>95.55</v>
      </c>
      <c r="AJ7" s="14" t="s">
        <v>6</v>
      </c>
      <c r="AK7" s="22"/>
      <c r="AL7" s="2">
        <f t="shared" si="2"/>
        <v>34</v>
      </c>
    </row>
    <row r="8">
      <c r="A8" s="23">
        <v>4.0</v>
      </c>
      <c r="B8" s="53">
        <v>10.0</v>
      </c>
      <c r="C8" s="54">
        <v>0.0</v>
      </c>
      <c r="D8" s="53">
        <v>10.0</v>
      </c>
      <c r="E8" s="54">
        <v>0.0</v>
      </c>
      <c r="F8" s="53">
        <v>10.0</v>
      </c>
      <c r="G8" s="54">
        <v>0.0</v>
      </c>
      <c r="H8" s="53">
        <v>10.0</v>
      </c>
      <c r="I8" s="54">
        <v>0.0</v>
      </c>
      <c r="J8" s="53">
        <v>10.0</v>
      </c>
      <c r="K8" s="54">
        <v>0.0</v>
      </c>
      <c r="L8" s="2"/>
      <c r="M8" s="12" t="str">
        <f>IFERROR(__xludf.DUMMYFUNCTION("LET(
  names, HSTACK(""Coins"", W$4:AG$4),
  amounts, HSTACK(C8, W8:AG8),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8" s="13">
        <f>IFERROR(__xludf.DUMMYFUNCTION("""COMPUTED_VALUE"""),1.0)</f>
        <v>1</v>
      </c>
      <c r="O8" s="14" t="str">
        <f>IFERROR(__xludf.DUMMYFUNCTION("""COMPUTED_VALUE"""),"")</f>
        <v/>
      </c>
      <c r="P8" s="13">
        <f>IFERROR(__xludf.DUMMYFUNCTION("""COMPUTED_VALUE"""),1.0)</f>
        <v>1</v>
      </c>
      <c r="Q8" s="14" t="str">
        <f>IFERROR(__xludf.DUMMYFUNCTION("""COMPUTED_VALUE"""),"")</f>
        <v/>
      </c>
      <c r="R8" s="15">
        <f>IFERROR(__xludf.DUMMYFUNCTION("""COMPUTED_VALUE"""),15.0)</f>
        <v>15</v>
      </c>
      <c r="S8" s="2"/>
      <c r="T8" s="47">
        <v>20.0</v>
      </c>
      <c r="U8" s="48">
        <v>10.0</v>
      </c>
      <c r="V8" s="2"/>
      <c r="W8" s="55">
        <v>0.0</v>
      </c>
      <c r="X8" s="18">
        <v>1.0</v>
      </c>
      <c r="Y8" s="57">
        <v>0.0</v>
      </c>
      <c r="Z8" s="57">
        <v>0.0</v>
      </c>
      <c r="AA8" s="57">
        <v>0.0</v>
      </c>
      <c r="AB8" s="18">
        <v>1.0</v>
      </c>
      <c r="AC8" s="57">
        <v>0.0</v>
      </c>
      <c r="AD8" s="56">
        <v>15.0</v>
      </c>
      <c r="AE8" s="57">
        <v>0.0</v>
      </c>
      <c r="AF8" s="57">
        <v>0.0</v>
      </c>
      <c r="AG8" s="58">
        <v>0.0</v>
      </c>
      <c r="AH8" s="20">
        <f t="shared" si="1"/>
        <v>162.55</v>
      </c>
      <c r="AI8" s="2">
        <v>95.55</v>
      </c>
      <c r="AJ8" s="14" t="s">
        <v>7</v>
      </c>
      <c r="AK8" s="22"/>
      <c r="AL8" s="2">
        <f t="shared" si="2"/>
        <v>67</v>
      </c>
    </row>
    <row r="9" ht="15.0" customHeight="1">
      <c r="A9" s="23">
        <v>5.0</v>
      </c>
      <c r="B9" s="53">
        <v>10.0</v>
      </c>
      <c r="C9" s="54">
        <v>10.0</v>
      </c>
      <c r="D9" s="53">
        <v>10.0</v>
      </c>
      <c r="E9" s="54">
        <v>10.0</v>
      </c>
      <c r="F9" s="53">
        <v>10.0</v>
      </c>
      <c r="G9" s="54">
        <v>10.0</v>
      </c>
      <c r="H9" s="53">
        <v>10.0</v>
      </c>
      <c r="I9" s="54">
        <v>10.0</v>
      </c>
      <c r="J9" s="53">
        <v>10.0</v>
      </c>
      <c r="K9" s="54">
        <v>10.0</v>
      </c>
      <c r="L9" s="2"/>
      <c r="M9" s="12" t="str">
        <f>IFERROR(__xludf.DUMMYFUNCTION("LET(
  names, HSTACK(""Coins"", W$4:AG$4),
  amounts, HSTACK(C9, W9:AG9),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9" s="13">
        <f>IFERROR(__xludf.DUMMYFUNCTION("""COMPUTED_VALUE"""),10.0)</f>
        <v>10</v>
      </c>
      <c r="O9" s="14" t="str">
        <f>IFERROR(__xludf.DUMMYFUNCTION("""COMPUTED_VALUE"""),"")</f>
        <v/>
      </c>
      <c r="P9" s="13">
        <f>IFERROR(__xludf.DUMMYFUNCTION("""COMPUTED_VALUE"""),1.0)</f>
        <v>1</v>
      </c>
      <c r="Q9" s="14" t="str">
        <f>IFERROR(__xludf.DUMMYFUNCTION("""COMPUTED_VALUE"""),"")</f>
        <v/>
      </c>
      <c r="R9" s="15">
        <f>IFERROR(__xludf.DUMMYFUNCTION("""COMPUTED_VALUE"""),15.0)</f>
        <v>15</v>
      </c>
      <c r="S9" s="2"/>
      <c r="T9" s="47">
        <v>20.0</v>
      </c>
      <c r="U9" s="48">
        <v>10.0</v>
      </c>
      <c r="V9" s="2"/>
      <c r="W9" s="55">
        <v>0.0</v>
      </c>
      <c r="X9" s="57">
        <v>0.0</v>
      </c>
      <c r="Y9" s="18">
        <v>0.0</v>
      </c>
      <c r="Z9" s="56">
        <v>1.0</v>
      </c>
      <c r="AA9" s="56">
        <v>0.0</v>
      </c>
      <c r="AB9" s="57">
        <v>0.0</v>
      </c>
      <c r="AC9" s="57">
        <v>0.0</v>
      </c>
      <c r="AD9" s="18">
        <v>15.0</v>
      </c>
      <c r="AE9" s="57">
        <v>0.0</v>
      </c>
      <c r="AF9" s="57">
        <v>0.0</v>
      </c>
      <c r="AG9" s="58">
        <v>0.0</v>
      </c>
      <c r="AH9" s="20">
        <f t="shared" si="1"/>
        <v>129.55</v>
      </c>
      <c r="AI9" s="2">
        <v>100.0</v>
      </c>
      <c r="AJ9" s="14" t="s">
        <v>8</v>
      </c>
      <c r="AK9" s="22"/>
      <c r="AL9" s="2">
        <f t="shared" si="2"/>
        <v>29.55</v>
      </c>
    </row>
    <row r="10" ht="15.0" customHeight="1">
      <c r="A10" s="23">
        <v>6.0</v>
      </c>
      <c r="B10" s="53">
        <v>10.0</v>
      </c>
      <c r="C10" s="54">
        <v>0.0</v>
      </c>
      <c r="D10" s="53">
        <v>10.0</v>
      </c>
      <c r="E10" s="54">
        <v>0.0</v>
      </c>
      <c r="F10" s="53">
        <v>10.0</v>
      </c>
      <c r="G10" s="54">
        <v>0.0</v>
      </c>
      <c r="H10" s="53">
        <v>10.0</v>
      </c>
      <c r="I10" s="54">
        <v>0.0</v>
      </c>
      <c r="J10" s="53">
        <v>10.0</v>
      </c>
      <c r="K10" s="54">
        <v>0.0</v>
      </c>
      <c r="L10" s="2"/>
      <c r="M10" s="12" t="str">
        <f>IFERROR(__xludf.DUMMYFUNCTION("LET(
  names, HSTACK(""Coins"", W$4:AG$4),
  amounts, HSTACK(C10, W10:AG10),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0" s="13">
        <f>IFERROR(__xludf.DUMMYFUNCTION("""COMPUTED_VALUE"""),1.0)</f>
        <v>1</v>
      </c>
      <c r="O10" s="14" t="str">
        <f>IFERROR(__xludf.DUMMYFUNCTION("""COMPUTED_VALUE"""),"")</f>
        <v/>
      </c>
      <c r="P10" s="13">
        <f>IFERROR(__xludf.DUMMYFUNCTION("""COMPUTED_VALUE"""),1.0)</f>
        <v>1</v>
      </c>
      <c r="Q10" s="14" t="str">
        <f>IFERROR(__xludf.DUMMYFUNCTION("""COMPUTED_VALUE"""),"")</f>
        <v/>
      </c>
      <c r="R10" s="15">
        <f>IFERROR(__xludf.DUMMYFUNCTION("""COMPUTED_VALUE"""),20.0)</f>
        <v>20</v>
      </c>
      <c r="S10" s="2"/>
      <c r="T10" s="47">
        <v>20.0</v>
      </c>
      <c r="U10" s="48">
        <v>15.0</v>
      </c>
      <c r="V10" s="2"/>
      <c r="W10" s="55">
        <v>0.0</v>
      </c>
      <c r="X10" s="57">
        <v>0.0</v>
      </c>
      <c r="Y10" s="56">
        <v>1.0</v>
      </c>
      <c r="Z10" s="57">
        <v>0.0</v>
      </c>
      <c r="AA10" s="56">
        <v>0.0</v>
      </c>
      <c r="AB10" s="57">
        <v>0.0</v>
      </c>
      <c r="AC10" s="56">
        <v>1.0</v>
      </c>
      <c r="AD10" s="56">
        <v>20.0</v>
      </c>
      <c r="AE10" s="57">
        <v>0.0</v>
      </c>
      <c r="AF10" s="57">
        <v>0.0</v>
      </c>
      <c r="AG10" s="58">
        <v>0.0</v>
      </c>
      <c r="AH10" s="20">
        <f t="shared" si="1"/>
        <v>183.4</v>
      </c>
      <c r="AI10" s="2">
        <v>229.55</v>
      </c>
      <c r="AJ10" s="14" t="s">
        <v>9</v>
      </c>
      <c r="AK10" s="22"/>
      <c r="AL10" s="2">
        <f t="shared" si="2"/>
        <v>-46.15</v>
      </c>
    </row>
    <row r="11" ht="15.0" customHeight="1">
      <c r="A11" s="23">
        <v>7.0</v>
      </c>
      <c r="B11" s="53">
        <v>10.0</v>
      </c>
      <c r="C11" s="54">
        <v>10.0</v>
      </c>
      <c r="D11" s="53">
        <v>10.0</v>
      </c>
      <c r="E11" s="54">
        <v>10.0</v>
      </c>
      <c r="F11" s="53">
        <v>10.0</v>
      </c>
      <c r="G11" s="54">
        <v>10.0</v>
      </c>
      <c r="H11" s="53">
        <v>10.0</v>
      </c>
      <c r="I11" s="54">
        <v>10.0</v>
      </c>
      <c r="J11" s="53">
        <v>10.0</v>
      </c>
      <c r="K11" s="54">
        <v>10.0</v>
      </c>
      <c r="L11" s="2"/>
      <c r="M11" s="12" t="str">
        <f>IFERROR(__xludf.DUMMYFUNCTION("LET(
  names, HSTACK(""Coins"", W$4:AG$4),
  amounts, HSTACK(C11, W11:AG11),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1" s="13">
        <f>IFERROR(__xludf.DUMMYFUNCTION("""COMPUTED_VALUE"""),10.0)</f>
        <v>10</v>
      </c>
      <c r="O11" s="14" t="str">
        <f>IFERROR(__xludf.DUMMYFUNCTION("""COMPUTED_VALUE"""),"")</f>
        <v/>
      </c>
      <c r="P11" s="13">
        <f>IFERROR(__xludf.DUMMYFUNCTION("""COMPUTED_VALUE"""),1.0)</f>
        <v>1</v>
      </c>
      <c r="Q11" s="14" t="str">
        <f>IFERROR(__xludf.DUMMYFUNCTION("""COMPUTED_VALUE"""),"")</f>
        <v/>
      </c>
      <c r="R11" s="15">
        <f>IFERROR(__xludf.DUMMYFUNCTION("""COMPUTED_VALUE"""),20.0)</f>
        <v>20</v>
      </c>
      <c r="S11" s="2"/>
      <c r="T11" s="47">
        <v>25.0</v>
      </c>
      <c r="U11" s="48">
        <v>15.0</v>
      </c>
      <c r="V11" s="2"/>
      <c r="W11" s="55">
        <v>0.0</v>
      </c>
      <c r="X11" s="57">
        <v>0.0</v>
      </c>
      <c r="Y11" s="56">
        <v>0.0</v>
      </c>
      <c r="Z11" s="56">
        <v>1.0</v>
      </c>
      <c r="AA11" s="56">
        <v>0.0</v>
      </c>
      <c r="AB11" s="57">
        <v>0.0</v>
      </c>
      <c r="AC11" s="57">
        <v>0.0</v>
      </c>
      <c r="AD11" s="56">
        <v>20.0</v>
      </c>
      <c r="AE11" s="57">
        <v>0.0</v>
      </c>
      <c r="AF11" s="57">
        <v>0.0</v>
      </c>
      <c r="AG11" s="58">
        <v>0.0</v>
      </c>
      <c r="AH11" s="20">
        <f t="shared" si="1"/>
        <v>150.4</v>
      </c>
      <c r="AI11" s="2">
        <v>192.1</v>
      </c>
      <c r="AJ11" s="14" t="s">
        <v>10</v>
      </c>
      <c r="AK11" s="22"/>
      <c r="AL11" s="2">
        <f t="shared" si="2"/>
        <v>-41.7</v>
      </c>
    </row>
    <row r="12">
      <c r="A12" s="23">
        <v>8.0</v>
      </c>
      <c r="B12" s="53">
        <v>10.0</v>
      </c>
      <c r="C12" s="54">
        <v>0.0</v>
      </c>
      <c r="D12" s="53">
        <v>10.0</v>
      </c>
      <c r="E12" s="54">
        <v>0.0</v>
      </c>
      <c r="F12" s="53">
        <v>10.0</v>
      </c>
      <c r="G12" s="54">
        <v>0.0</v>
      </c>
      <c r="H12" s="53">
        <v>10.0</v>
      </c>
      <c r="I12" s="54">
        <v>0.0</v>
      </c>
      <c r="J12" s="53">
        <v>10.0</v>
      </c>
      <c r="K12" s="54">
        <v>0.0</v>
      </c>
      <c r="L12" s="2"/>
      <c r="M12" s="12" t="str">
        <f>IFERROR(__xludf.DUMMYFUNCTION("LET(
  names, HSTACK(""Coins"", W$4:AG$4),
  amounts, HSTACK(C12, W12:AG12),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2" s="13">
        <f>IFERROR(__xludf.DUMMYFUNCTION("""COMPUTED_VALUE"""),1.0)</f>
        <v>1</v>
      </c>
      <c r="O12" s="14" t="str">
        <f>IFERROR(__xludf.DUMMYFUNCTION("""COMPUTED_VALUE"""),"")</f>
        <v/>
      </c>
      <c r="P12" s="13">
        <f>IFERROR(__xludf.DUMMYFUNCTION("""COMPUTED_VALUE"""),1.0)</f>
        <v>1</v>
      </c>
      <c r="Q12" s="14" t="str">
        <f>IFERROR(__xludf.DUMMYFUNCTION("""COMPUTED_VALUE"""),"")</f>
        <v/>
      </c>
      <c r="R12" s="15">
        <f>IFERROR(__xludf.DUMMYFUNCTION("""COMPUTED_VALUE"""),30.0)</f>
        <v>30</v>
      </c>
      <c r="S12" s="2"/>
      <c r="T12" s="47">
        <v>25.0</v>
      </c>
      <c r="U12" s="48">
        <v>15.0</v>
      </c>
      <c r="V12" s="2"/>
      <c r="W12" s="55">
        <v>0.0</v>
      </c>
      <c r="X12" s="57">
        <v>0.0</v>
      </c>
      <c r="Y12" s="18">
        <v>1.0</v>
      </c>
      <c r="Z12" s="57">
        <v>0.0</v>
      </c>
      <c r="AA12" s="18">
        <v>1.0</v>
      </c>
      <c r="AB12" s="57">
        <v>0.0</v>
      </c>
      <c r="AC12" s="57">
        <v>0.0</v>
      </c>
      <c r="AD12" s="56">
        <v>30.0</v>
      </c>
      <c r="AE12" s="57">
        <v>0.0</v>
      </c>
      <c r="AF12" s="57">
        <v>0.0</v>
      </c>
      <c r="AG12" s="58">
        <v>0.0</v>
      </c>
      <c r="AH12" s="20">
        <f t="shared" si="1"/>
        <v>342.1</v>
      </c>
      <c r="AI12" s="2">
        <v>217.0</v>
      </c>
      <c r="AJ12" s="14" t="s">
        <v>11</v>
      </c>
      <c r="AK12" s="22"/>
      <c r="AL12" s="2">
        <f t="shared" si="2"/>
        <v>125.1</v>
      </c>
    </row>
    <row r="13" ht="15.0" customHeight="1">
      <c r="A13" s="23">
        <v>9.0</v>
      </c>
      <c r="B13" s="53">
        <v>10.0</v>
      </c>
      <c r="C13" s="54">
        <v>10.0</v>
      </c>
      <c r="D13" s="53">
        <v>10.0</v>
      </c>
      <c r="E13" s="54">
        <v>10.0</v>
      </c>
      <c r="F13" s="53">
        <v>10.0</v>
      </c>
      <c r="G13" s="54">
        <v>10.0</v>
      </c>
      <c r="H13" s="53">
        <v>10.0</v>
      </c>
      <c r="I13" s="54">
        <v>10.0</v>
      </c>
      <c r="J13" s="53">
        <v>10.0</v>
      </c>
      <c r="K13" s="54">
        <v>10.0</v>
      </c>
      <c r="L13" s="2"/>
      <c r="M13" s="12" t="str">
        <f>IFERROR(__xludf.DUMMYFUNCTION("LET(
  names, HSTACK(""Coins"", W$4:AG$4),
  amounts, HSTACK(C13, W13:AG13),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3" s="13">
        <f>IFERROR(__xludf.DUMMYFUNCTION("""COMPUTED_VALUE"""),10.0)</f>
        <v>10</v>
      </c>
      <c r="O13" s="14" t="str">
        <f>IFERROR(__xludf.DUMMYFUNCTION("""COMPUTED_VALUE"""),"")</f>
        <v/>
      </c>
      <c r="P13" s="13">
        <f>IFERROR(__xludf.DUMMYFUNCTION("""COMPUTED_VALUE"""),1.0)</f>
        <v>1</v>
      </c>
      <c r="Q13" s="14" t="str">
        <f>IFERROR(__xludf.DUMMYFUNCTION("""COMPUTED_VALUE"""),"")</f>
        <v/>
      </c>
      <c r="R13" s="15">
        <f>IFERROR(__xludf.DUMMYFUNCTION("""COMPUTED_VALUE"""),60.0)</f>
        <v>60</v>
      </c>
      <c r="S13" s="2"/>
      <c r="T13" s="47">
        <v>25.0</v>
      </c>
      <c r="U13" s="48">
        <v>15.0</v>
      </c>
      <c r="V13" s="2"/>
      <c r="W13" s="55">
        <v>0.0</v>
      </c>
      <c r="X13" s="57">
        <v>0.0</v>
      </c>
      <c r="Y13" s="56">
        <v>0.0</v>
      </c>
      <c r="Z13" s="57">
        <v>0.0</v>
      </c>
      <c r="AA13" s="57">
        <v>0.0</v>
      </c>
      <c r="AB13" s="18">
        <v>1.0</v>
      </c>
      <c r="AC13" s="57">
        <v>0.0</v>
      </c>
      <c r="AD13" s="56">
        <v>60.0</v>
      </c>
      <c r="AE13" s="57">
        <v>0.0</v>
      </c>
      <c r="AF13" s="57">
        <v>0.0</v>
      </c>
      <c r="AG13" s="58">
        <v>0.0</v>
      </c>
      <c r="AH13" s="20">
        <f t="shared" si="1"/>
        <v>317.2</v>
      </c>
      <c r="AI13" s="2">
        <v>300.2</v>
      </c>
      <c r="AJ13" s="14" t="s">
        <v>12</v>
      </c>
      <c r="AK13" s="22"/>
      <c r="AL13" s="2">
        <f t="shared" si="2"/>
        <v>17</v>
      </c>
    </row>
    <row r="14" ht="15.0" customHeight="1">
      <c r="A14" s="28">
        <v>10.0</v>
      </c>
      <c r="B14" s="59">
        <v>10.0</v>
      </c>
      <c r="C14" s="60">
        <v>25.0</v>
      </c>
      <c r="D14" s="59">
        <v>10.0</v>
      </c>
      <c r="E14" s="60">
        <v>25.0</v>
      </c>
      <c r="F14" s="59">
        <v>10.0</v>
      </c>
      <c r="G14" s="60">
        <v>25.0</v>
      </c>
      <c r="H14" s="59">
        <v>10.0</v>
      </c>
      <c r="I14" s="60">
        <v>25.0</v>
      </c>
      <c r="J14" s="59">
        <v>10.0</v>
      </c>
      <c r="K14" s="60">
        <v>25.0</v>
      </c>
      <c r="L14" s="2"/>
      <c r="M14" s="12" t="str">
        <f>IFERROR(__xludf.DUMMYFUNCTION("LET(
  names, HSTACK(""Coins"", W$4:AG$4),
  amounts, HSTACK(C14, W14:AG14),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4" s="13">
        <f>IFERROR(__xludf.DUMMYFUNCTION("""COMPUTED_VALUE"""),25.0)</f>
        <v>25</v>
      </c>
      <c r="O14" s="14" t="str">
        <f>IFERROR(__xludf.DUMMYFUNCTION("""COMPUTED_VALUE"""),"")</f>
        <v/>
      </c>
      <c r="P14" s="13">
        <f>IFERROR(__xludf.DUMMYFUNCTION("""COMPUTED_VALUE"""),1.0)</f>
        <v>1</v>
      </c>
      <c r="Q14" s="14" t="str">
        <f>IFERROR(__xludf.DUMMYFUNCTION("""COMPUTED_VALUE"""),"")</f>
        <v/>
      </c>
      <c r="R14" s="15">
        <f>IFERROR(__xludf.DUMMYFUNCTION("""COMPUTED_VALUE"""),60.0)</f>
        <v>60</v>
      </c>
      <c r="S14" s="2"/>
      <c r="T14" s="47">
        <v>30.0</v>
      </c>
      <c r="U14" s="48">
        <v>20.0</v>
      </c>
      <c r="V14" s="2"/>
      <c r="W14" s="61">
        <v>0.0</v>
      </c>
      <c r="X14" s="62">
        <v>0.0</v>
      </c>
      <c r="Y14" s="62">
        <v>0.0</v>
      </c>
      <c r="Z14" s="63">
        <v>0.0</v>
      </c>
      <c r="AA14" s="62">
        <v>0.0</v>
      </c>
      <c r="AB14" s="62">
        <v>0.0</v>
      </c>
      <c r="AC14" s="32">
        <v>1.0</v>
      </c>
      <c r="AD14" s="63">
        <v>60.0</v>
      </c>
      <c r="AE14" s="62">
        <v>0.0</v>
      </c>
      <c r="AF14" s="62">
        <v>0.0</v>
      </c>
      <c r="AG14" s="64">
        <v>0.0</v>
      </c>
      <c r="AH14" s="20">
        <f t="shared" si="1"/>
        <v>300.2</v>
      </c>
      <c r="AI14" s="2">
        <v>117.0</v>
      </c>
      <c r="AJ14" s="14" t="s">
        <v>13</v>
      </c>
      <c r="AK14" s="22"/>
      <c r="AL14" s="2">
        <f t="shared" si="2"/>
        <v>183.2</v>
      </c>
    </row>
    <row r="15" ht="15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14" t="s">
        <v>14</v>
      </c>
      <c r="AK15" s="22"/>
      <c r="AL15" s="2"/>
    </row>
    <row r="16" ht="15.0" customHeight="1">
      <c r="A16" s="34" t="s">
        <v>20</v>
      </c>
      <c r="B16" s="35">
        <f t="shared" ref="B16:K16" si="3">SUM(B5:B14)</f>
        <v>100</v>
      </c>
      <c r="C16" s="35">
        <f t="shared" si="3"/>
        <v>75</v>
      </c>
      <c r="D16" s="35">
        <f t="shared" si="3"/>
        <v>100</v>
      </c>
      <c r="E16" s="35">
        <f t="shared" si="3"/>
        <v>75</v>
      </c>
      <c r="F16" s="35">
        <f t="shared" si="3"/>
        <v>100</v>
      </c>
      <c r="G16" s="35">
        <f t="shared" si="3"/>
        <v>75</v>
      </c>
      <c r="H16" s="35">
        <f t="shared" si="3"/>
        <v>100</v>
      </c>
      <c r="I16" s="35">
        <f t="shared" si="3"/>
        <v>75</v>
      </c>
      <c r="J16" s="35">
        <f t="shared" si="3"/>
        <v>100</v>
      </c>
      <c r="K16" s="35">
        <f t="shared" si="3"/>
        <v>75</v>
      </c>
      <c r="L16" s="2"/>
      <c r="M16" s="2"/>
      <c r="N16" s="2"/>
      <c r="O16" s="2"/>
      <c r="P16" s="2"/>
      <c r="Q16" s="2"/>
      <c r="R16" s="2"/>
      <c r="S16" s="2"/>
      <c r="T16" s="65">
        <f t="shared" ref="T16:U16" si="4">SUM(T5:T14)</f>
        <v>210</v>
      </c>
      <c r="U16" s="65">
        <f t="shared" si="4"/>
        <v>130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 t="s">
        <v>15</v>
      </c>
      <c r="AK16" s="22"/>
      <c r="AL16" s="2"/>
    </row>
    <row r="17" ht="15.0" customHeight="1">
      <c r="A17" s="34" t="s">
        <v>21</v>
      </c>
      <c r="B17" s="2"/>
      <c r="C17" s="36">
        <f>C16/B16</f>
        <v>0.75</v>
      </c>
      <c r="D17" s="2"/>
      <c r="E17" s="36">
        <f>E16/D16</f>
        <v>0.75</v>
      </c>
      <c r="F17" s="2"/>
      <c r="G17" s="36">
        <f>G16/F16</f>
        <v>0.75</v>
      </c>
      <c r="H17" s="2"/>
      <c r="I17" s="36">
        <f>I16/H16</f>
        <v>0.75</v>
      </c>
      <c r="J17" s="2"/>
      <c r="K17" s="36">
        <f>K16/J16</f>
        <v>0.75</v>
      </c>
      <c r="L17" s="2"/>
      <c r="M17" s="2"/>
      <c r="N17" s="2"/>
      <c r="O17" s="2"/>
      <c r="P17" s="2"/>
      <c r="Q17" s="2"/>
      <c r="R17" s="2"/>
      <c r="S17" s="2"/>
      <c r="T17" s="66">
        <f t="shared" ref="T17:U17" si="5">T16/$J$16</f>
        <v>2.1</v>
      </c>
      <c r="U17" s="66">
        <f t="shared" si="5"/>
        <v>1.3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15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67"/>
      <c r="U18" s="67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15.0" customHeight="1">
      <c r="A19" s="34" t="s">
        <v>59</v>
      </c>
      <c r="B19" s="2"/>
      <c r="C19" s="68" t="str">
        <f>C16/saga_progression_old!$C$15</f>
        <v>#REF!</v>
      </c>
      <c r="D19" s="2"/>
      <c r="E19" s="68" t="str">
        <f>E16/saga_progression_old!$C$15</f>
        <v>#REF!</v>
      </c>
      <c r="F19" s="2"/>
      <c r="G19" s="68" t="str">
        <f>G16/saga_progression_old!$C$15</f>
        <v>#REF!</v>
      </c>
      <c r="H19" s="2"/>
      <c r="I19" s="68" t="str">
        <f>I16/saga_progression_old!$C$15</f>
        <v>#REF!</v>
      </c>
      <c r="J19" s="2"/>
      <c r="K19" s="68" t="str">
        <f>K16/saga_progression_old!$C$15</f>
        <v>#REF!</v>
      </c>
      <c r="L19" s="2"/>
      <c r="M19" s="2"/>
      <c r="N19" s="2"/>
      <c r="O19" s="2"/>
      <c r="P19" s="2"/>
      <c r="Q19" s="2"/>
      <c r="R19" s="2"/>
      <c r="S19" s="2"/>
      <c r="T19" s="68" t="str">
        <f t="shared" ref="T19:U19" si="6">T16/saga_progression_old!$C$15</f>
        <v>#REF!</v>
      </c>
      <c r="U19" s="68" t="str">
        <f t="shared" si="6"/>
        <v>#REF!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15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ht="15.75" customHeight="1">
      <c r="A22" s="2"/>
      <c r="B22" s="6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1">
    <mergeCell ref="M4:R4"/>
  </mergeCells>
  <conditionalFormatting sqref="C5:C14 E5:E14 G5:G14 I5:I14 K5:K14 W5:AG14">
    <cfRule type="cellIs" dxfId="0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7.25"/>
    <col hidden="1" min="28" max="29" width="12.63"/>
  </cols>
  <sheetData>
    <row r="1" ht="17.25" customHeight="1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15.0" customHeight="1">
      <c r="A3" s="3" t="s">
        <v>61</v>
      </c>
      <c r="B3" s="3" t="s">
        <v>3</v>
      </c>
      <c r="C3" s="2"/>
      <c r="D3" s="2"/>
      <c r="E3" s="70" t="s">
        <v>4</v>
      </c>
      <c r="K3" s="2"/>
      <c r="L3" s="71" t="s">
        <v>62</v>
      </c>
      <c r="M3" s="71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2"/>
      <c r="Z3" s="2"/>
      <c r="AA3" s="2"/>
      <c r="AB3" s="3" t="s">
        <v>17</v>
      </c>
      <c r="AC3" s="3" t="s">
        <v>18</v>
      </c>
      <c r="AD3" s="2"/>
      <c r="AE3" s="2"/>
      <c r="AF3" s="2"/>
    </row>
    <row r="4" ht="15.0" customHeight="1">
      <c r="A4" s="73">
        <v>1.0</v>
      </c>
      <c r="B4" s="74">
        <f>average(M5,M16,M26,M35,M45)</f>
        <v>22</v>
      </c>
      <c r="C4" s="2"/>
      <c r="D4" s="2"/>
      <c r="G4" s="14"/>
      <c r="H4" s="13"/>
      <c r="I4" s="14"/>
      <c r="J4" s="13"/>
      <c r="K4" s="2"/>
      <c r="L4" s="75" t="s">
        <v>61</v>
      </c>
      <c r="M4" s="76" t="s">
        <v>63</v>
      </c>
      <c r="N4" s="76" t="s">
        <v>5</v>
      </c>
      <c r="O4" s="76" t="s">
        <v>6</v>
      </c>
      <c r="P4" s="76" t="s">
        <v>7</v>
      </c>
      <c r="Q4" s="76" t="s">
        <v>8</v>
      </c>
      <c r="R4" s="76" t="s">
        <v>9</v>
      </c>
      <c r="S4" s="76" t="s">
        <v>10</v>
      </c>
      <c r="T4" s="76" t="s">
        <v>11</v>
      </c>
      <c r="U4" s="76" t="s">
        <v>12</v>
      </c>
      <c r="V4" s="76" t="s">
        <v>13</v>
      </c>
      <c r="W4" s="76" t="s">
        <v>14</v>
      </c>
      <c r="X4" s="76" t="s">
        <v>15</v>
      </c>
      <c r="Y4" s="2"/>
      <c r="Z4" s="2"/>
      <c r="AA4" s="2"/>
      <c r="AB4" s="22" t="s">
        <v>19</v>
      </c>
      <c r="AC4" s="22"/>
      <c r="AD4" s="2"/>
      <c r="AE4" s="2"/>
      <c r="AF4" s="2"/>
    </row>
    <row r="5" ht="15.0" customHeight="1">
      <c r="A5" s="77">
        <v>2.0</v>
      </c>
      <c r="B5" s="78">
        <v>0.0</v>
      </c>
      <c r="C5" s="2"/>
      <c r="D5" s="2"/>
      <c r="E5" s="14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3">
        <f>IFERROR(__xludf.DUMMYFUNCTION("""COMPUTED_VALUE"""),20.0)</f>
        <v>20</v>
      </c>
      <c r="G5" s="14"/>
      <c r="H5" s="13"/>
      <c r="I5" s="14"/>
      <c r="J5" s="13"/>
      <c r="K5" s="2"/>
      <c r="L5" s="79">
        <v>1.0</v>
      </c>
      <c r="M5" s="80">
        <v>20.0</v>
      </c>
      <c r="N5" s="81">
        <v>0.0</v>
      </c>
      <c r="O5" s="81">
        <v>0.0</v>
      </c>
      <c r="P5" s="81">
        <v>0.0</v>
      </c>
      <c r="Q5" s="81">
        <v>0.0</v>
      </c>
      <c r="R5" s="81">
        <v>0.0</v>
      </c>
      <c r="S5" s="81">
        <v>0.0</v>
      </c>
      <c r="T5" s="81">
        <v>0.0</v>
      </c>
      <c r="U5" s="81">
        <v>0.0</v>
      </c>
      <c r="V5" s="81">
        <v>0.0</v>
      </c>
      <c r="W5" s="81">
        <v>0.0</v>
      </c>
      <c r="X5" s="81">
        <v>0.0</v>
      </c>
      <c r="Y5" s="2"/>
      <c r="Z5" s="2"/>
      <c r="AA5" s="2"/>
      <c r="AB5" s="2" t="s">
        <v>5</v>
      </c>
      <c r="AC5" s="2"/>
      <c r="AD5" s="2"/>
      <c r="AE5" s="2"/>
      <c r="AF5" s="2"/>
    </row>
    <row r="6" ht="15.0" customHeight="1">
      <c r="A6" s="77">
        <v>3.0</v>
      </c>
      <c r="B6" s="78">
        <v>0.0</v>
      </c>
      <c r="C6" s="2"/>
      <c r="D6" s="2"/>
      <c r="E6" s="14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3">
        <f>IFERROR(__xludf.DUMMYFUNCTION("""COMPUTED_VALUE"""),15.0)</f>
        <v>15</v>
      </c>
      <c r="G6" s="14"/>
      <c r="H6" s="13"/>
      <c r="I6" s="14"/>
      <c r="J6" s="13"/>
      <c r="K6" s="2"/>
      <c r="L6" s="79">
        <v>2.0</v>
      </c>
      <c r="M6" s="81">
        <v>0.0</v>
      </c>
      <c r="N6" s="81">
        <v>0.0</v>
      </c>
      <c r="O6" s="81">
        <v>0.0</v>
      </c>
      <c r="P6" s="81">
        <v>0.0</v>
      </c>
      <c r="Q6" s="81">
        <v>0.0</v>
      </c>
      <c r="R6" s="81">
        <v>0.0</v>
      </c>
      <c r="S6" s="81">
        <v>0.0</v>
      </c>
      <c r="T6" s="81">
        <v>0.0</v>
      </c>
      <c r="U6" s="80">
        <v>15.0</v>
      </c>
      <c r="V6" s="81">
        <v>0.0</v>
      </c>
      <c r="W6" s="81">
        <v>0.0</v>
      </c>
      <c r="X6" s="81">
        <v>0.0</v>
      </c>
      <c r="Y6" s="2"/>
      <c r="Z6" s="2"/>
      <c r="AA6" s="2"/>
      <c r="AB6" s="2" t="s">
        <v>6</v>
      </c>
      <c r="AC6" s="22"/>
      <c r="AD6" s="2"/>
      <c r="AE6" s="2"/>
      <c r="AF6" s="2"/>
    </row>
    <row r="7" ht="15.0" customHeight="1">
      <c r="A7" s="77">
        <v>4.0</v>
      </c>
      <c r="B7" s="78">
        <f>mround(average(M8,M18,M28), 1)</f>
        <v>27</v>
      </c>
      <c r="C7" s="2"/>
      <c r="D7" s="2"/>
      <c r="E7" s="14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3">
        <f>IFERROR(__xludf.DUMMYFUNCTION("""COMPUTED_VALUE"""),1.0)</f>
        <v>1</v>
      </c>
      <c r="G7" s="14"/>
      <c r="H7" s="13"/>
      <c r="I7" s="14"/>
      <c r="J7" s="13"/>
      <c r="K7" s="2"/>
      <c r="L7" s="79">
        <v>3.0</v>
      </c>
      <c r="M7" s="81">
        <v>0.0</v>
      </c>
      <c r="N7" s="81">
        <v>0.0</v>
      </c>
      <c r="O7" s="81">
        <v>0.0</v>
      </c>
      <c r="P7" s="81">
        <v>0.0</v>
      </c>
      <c r="Q7" s="81">
        <v>0.0</v>
      </c>
      <c r="R7" s="80">
        <v>1.0</v>
      </c>
      <c r="S7" s="81">
        <v>0.0</v>
      </c>
      <c r="T7" s="81">
        <v>0.0</v>
      </c>
      <c r="U7" s="81">
        <v>0.0</v>
      </c>
      <c r="V7" s="81">
        <v>0.0</v>
      </c>
      <c r="W7" s="81">
        <v>0.0</v>
      </c>
      <c r="X7" s="81">
        <v>0.0</v>
      </c>
      <c r="Y7" s="2"/>
      <c r="Z7" s="2"/>
      <c r="AA7" s="2"/>
      <c r="AB7" s="2" t="s">
        <v>7</v>
      </c>
      <c r="AC7" s="22"/>
      <c r="AD7" s="2"/>
      <c r="AE7" s="2"/>
      <c r="AF7" s="2"/>
    </row>
    <row r="8" ht="15.0" customHeight="1">
      <c r="A8" s="77">
        <v>5.0</v>
      </c>
      <c r="B8" s="78">
        <v>0.0</v>
      </c>
      <c r="C8" s="2"/>
      <c r="D8" s="2"/>
      <c r="E8" s="14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3">
        <f>IFERROR(__xludf.DUMMYFUNCTION("""COMPUTED_VALUE"""),25.0)</f>
        <v>25</v>
      </c>
      <c r="G8" s="14"/>
      <c r="H8" s="13"/>
      <c r="I8" s="14"/>
      <c r="J8" s="13"/>
      <c r="K8" s="2"/>
      <c r="L8" s="79">
        <v>4.0</v>
      </c>
      <c r="M8" s="80">
        <v>25.0</v>
      </c>
      <c r="N8" s="81">
        <v>0.0</v>
      </c>
      <c r="O8" s="81">
        <v>0.0</v>
      </c>
      <c r="P8" s="81">
        <v>0.0</v>
      </c>
      <c r="Q8" s="81">
        <v>0.0</v>
      </c>
      <c r="R8" s="81">
        <v>0.0</v>
      </c>
      <c r="S8" s="81">
        <v>0.0</v>
      </c>
      <c r="T8" s="81">
        <v>0.0</v>
      </c>
      <c r="U8" s="81">
        <v>0.0</v>
      </c>
      <c r="V8" s="81">
        <v>0.0</v>
      </c>
      <c r="W8" s="81">
        <v>0.0</v>
      </c>
      <c r="X8" s="81">
        <v>0.0</v>
      </c>
      <c r="Y8" s="2"/>
      <c r="Z8" s="2"/>
      <c r="AA8" s="2"/>
      <c r="AB8" s="2" t="s">
        <v>8</v>
      </c>
      <c r="AC8" s="22"/>
      <c r="AD8" s="2"/>
      <c r="AE8" s="2"/>
      <c r="AF8" s="2"/>
    </row>
    <row r="9" ht="15.0" customHeight="1">
      <c r="A9" s="77">
        <v>6.0</v>
      </c>
      <c r="B9" s="78">
        <f>mround(AVERAGE(M10, M20, M30, M50),1)</f>
        <v>33</v>
      </c>
      <c r="C9" s="2"/>
      <c r="D9" s="2"/>
      <c r="E9" s="14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3">
        <f>IFERROR(__xludf.DUMMYFUNCTION("""COMPUTED_VALUE"""),1.0)</f>
        <v>1</v>
      </c>
      <c r="G9" s="14"/>
      <c r="H9" s="13"/>
      <c r="I9" s="14"/>
      <c r="J9" s="13"/>
      <c r="K9" s="2"/>
      <c r="L9" s="79">
        <v>5.0</v>
      </c>
      <c r="M9" s="81">
        <v>0.0</v>
      </c>
      <c r="N9" s="81">
        <v>0.0</v>
      </c>
      <c r="O9" s="81">
        <v>0.0</v>
      </c>
      <c r="P9" s="81">
        <v>0.0</v>
      </c>
      <c r="Q9" s="81">
        <v>0.0</v>
      </c>
      <c r="R9" s="81">
        <v>0.0</v>
      </c>
      <c r="S9" s="80">
        <v>1.0</v>
      </c>
      <c r="T9" s="81">
        <v>0.0</v>
      </c>
      <c r="U9" s="81">
        <v>0.0</v>
      </c>
      <c r="V9" s="81">
        <v>0.0</v>
      </c>
      <c r="W9" s="81">
        <v>0.0</v>
      </c>
      <c r="X9" s="81">
        <v>0.0</v>
      </c>
      <c r="Y9" s="2"/>
      <c r="Z9" s="2"/>
      <c r="AA9" s="2"/>
      <c r="AB9" s="2" t="s">
        <v>9</v>
      </c>
      <c r="AC9" s="22"/>
      <c r="AD9" s="2"/>
      <c r="AE9" s="2"/>
      <c r="AF9" s="2"/>
    </row>
    <row r="10" ht="15.0" customHeight="1">
      <c r="A10" s="82">
        <v>7.0</v>
      </c>
      <c r="B10" s="83">
        <v>100.0</v>
      </c>
      <c r="C10" s="2"/>
      <c r="D10" s="2"/>
      <c r="E10" s="14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3">
        <f>IFERROR(__xludf.DUMMYFUNCTION("""COMPUTED_VALUE"""),30.0)</f>
        <v>30</v>
      </c>
      <c r="G10" s="14"/>
      <c r="H10" s="13"/>
      <c r="I10" s="14"/>
      <c r="J10" s="13"/>
      <c r="K10" s="2"/>
      <c r="L10" s="79">
        <v>6.0</v>
      </c>
      <c r="M10" s="80">
        <v>30.0</v>
      </c>
      <c r="N10" s="81">
        <v>0.0</v>
      </c>
      <c r="O10" s="81">
        <v>0.0</v>
      </c>
      <c r="P10" s="81">
        <v>0.0</v>
      </c>
      <c r="Q10" s="81">
        <v>0.0</v>
      </c>
      <c r="R10" s="81">
        <v>0.0</v>
      </c>
      <c r="S10" s="81">
        <v>0.0</v>
      </c>
      <c r="T10" s="81">
        <v>0.0</v>
      </c>
      <c r="U10" s="81">
        <v>0.0</v>
      </c>
      <c r="V10" s="81">
        <v>0.0</v>
      </c>
      <c r="W10" s="81">
        <v>0.0</v>
      </c>
      <c r="X10" s="81">
        <v>0.0</v>
      </c>
      <c r="Y10" s="2"/>
      <c r="Z10" s="2"/>
      <c r="AA10" s="2"/>
      <c r="AB10" s="2" t="s">
        <v>10</v>
      </c>
      <c r="AC10" s="22"/>
      <c r="AD10" s="2"/>
      <c r="AE10" s="2"/>
      <c r="AF10" s="2"/>
    </row>
    <row r="11">
      <c r="A11" s="2"/>
      <c r="B11" s="2"/>
      <c r="C11" s="2"/>
      <c r="D11" s="2"/>
      <c r="E11" s="14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3">
        <f>IFERROR(__xludf.DUMMYFUNCTION("""COMPUTED_VALUE"""),100.0)</f>
        <v>100</v>
      </c>
      <c r="G11" s="14" t="str">
        <f>IFERROR(__xludf.DUMMYFUNCTION("""COMPUTED_VALUE"""),"")</f>
        <v/>
      </c>
      <c r="H11" s="13">
        <f>IFERROR(__xludf.DUMMYFUNCTION("""COMPUTED_VALUE"""),120.0)</f>
        <v>120</v>
      </c>
      <c r="I11" s="14" t="str">
        <f>IFERROR(__xludf.DUMMYFUNCTION("""COMPUTED_VALUE"""),"")</f>
        <v/>
      </c>
      <c r="J11" s="13">
        <f>IFERROR(__xludf.DUMMYFUNCTION("""COMPUTED_VALUE"""),60.0)</f>
        <v>60</v>
      </c>
      <c r="K11" s="2"/>
      <c r="L11" s="79">
        <v>7.0</v>
      </c>
      <c r="M11" s="80">
        <v>100.0</v>
      </c>
      <c r="N11" s="81">
        <v>0.0</v>
      </c>
      <c r="O11" s="81">
        <v>0.0</v>
      </c>
      <c r="P11" s="81">
        <v>0.0</v>
      </c>
      <c r="Q11" s="81">
        <v>0.0</v>
      </c>
      <c r="R11" s="81">
        <v>0.0</v>
      </c>
      <c r="S11" s="81">
        <v>0.0</v>
      </c>
      <c r="T11" s="81">
        <v>0.0</v>
      </c>
      <c r="U11" s="80">
        <v>120.0</v>
      </c>
      <c r="V11" s="80">
        <v>60.0</v>
      </c>
      <c r="W11" s="81">
        <v>0.0</v>
      </c>
      <c r="X11" s="81">
        <v>0.0</v>
      </c>
      <c r="Y11" s="2"/>
      <c r="Z11" s="2"/>
      <c r="AA11" s="2"/>
      <c r="AB11" s="2" t="s">
        <v>11</v>
      </c>
      <c r="AC11" s="22"/>
      <c r="AD11" s="2"/>
      <c r="AE11" s="2"/>
      <c r="AF11" s="2"/>
    </row>
    <row r="12" ht="15.0" customHeight="1">
      <c r="A12" s="34" t="s">
        <v>20</v>
      </c>
      <c r="B12" s="35">
        <f>SUM(B4:B10)</f>
        <v>182</v>
      </c>
      <c r="C12" s="2"/>
      <c r="D12" s="2"/>
      <c r="E12" s="14"/>
      <c r="F12" s="13"/>
      <c r="G12" s="14"/>
      <c r="H12" s="13"/>
      <c r="I12" s="14"/>
      <c r="J12" s="13"/>
      <c r="K12" s="2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2"/>
      <c r="Z12" s="2"/>
      <c r="AA12" s="2"/>
      <c r="AB12" s="2" t="s">
        <v>12</v>
      </c>
      <c r="AC12" s="22"/>
      <c r="AD12" s="2"/>
      <c r="AE12" s="2"/>
      <c r="AF12" s="2"/>
    </row>
    <row r="13" ht="15.0" customHeight="1">
      <c r="A13" s="34" t="s">
        <v>64</v>
      </c>
      <c r="B13" s="36">
        <f>B12/7</f>
        <v>26</v>
      </c>
      <c r="C13" s="2"/>
      <c r="D13" s="2"/>
      <c r="E13" s="14"/>
      <c r="F13" s="13"/>
      <c r="G13" s="14"/>
      <c r="H13" s="13"/>
      <c r="I13" s="14"/>
      <c r="J13" s="13"/>
      <c r="K13" s="2"/>
      <c r="L13" s="71" t="s">
        <v>65</v>
      </c>
      <c r="M13" s="71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2"/>
      <c r="Z13" s="2"/>
      <c r="AA13" s="2"/>
      <c r="AB13" s="2" t="s">
        <v>13</v>
      </c>
      <c r="AC13" s="22"/>
      <c r="AD13" s="2"/>
      <c r="AE13" s="2"/>
      <c r="AF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75" t="s">
        <v>61</v>
      </c>
      <c r="M14" s="76" t="s">
        <v>63</v>
      </c>
      <c r="N14" s="76" t="s">
        <v>5</v>
      </c>
      <c r="O14" s="76" t="s">
        <v>6</v>
      </c>
      <c r="P14" s="76" t="s">
        <v>7</v>
      </c>
      <c r="Q14" s="76" t="s">
        <v>8</v>
      </c>
      <c r="R14" s="76" t="s">
        <v>9</v>
      </c>
      <c r="S14" s="76" t="s">
        <v>10</v>
      </c>
      <c r="T14" s="76" t="s">
        <v>11</v>
      </c>
      <c r="U14" s="76" t="s">
        <v>12</v>
      </c>
      <c r="V14" s="76" t="s">
        <v>13</v>
      </c>
      <c r="W14" s="76" t="s">
        <v>14</v>
      </c>
      <c r="X14" s="76" t="s">
        <v>15</v>
      </c>
      <c r="Y14" s="2"/>
      <c r="Z14" s="2"/>
      <c r="AA14" s="2"/>
      <c r="AB14" s="2" t="s">
        <v>14</v>
      </c>
      <c r="AC14" s="22"/>
      <c r="AD14" s="2"/>
      <c r="AE14" s="2"/>
      <c r="AF14" s="2"/>
    </row>
    <row r="15">
      <c r="A15" s="2"/>
      <c r="B15" s="2"/>
      <c r="C15" s="2"/>
      <c r="D15" s="2"/>
      <c r="E15" s="14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3">
        <f>IFERROR(__xludf.DUMMYFUNCTION("""COMPUTED_VALUE"""),20.0)</f>
        <v>20</v>
      </c>
      <c r="G15" s="14"/>
      <c r="H15" s="13"/>
      <c r="I15" s="14"/>
      <c r="J15" s="13"/>
      <c r="K15" s="2"/>
      <c r="L15" s="79">
        <v>1.0</v>
      </c>
      <c r="M15" s="81">
        <v>0.0</v>
      </c>
      <c r="N15" s="81">
        <v>0.0</v>
      </c>
      <c r="O15" s="81">
        <v>0.0</v>
      </c>
      <c r="P15" s="81">
        <v>0.0</v>
      </c>
      <c r="Q15" s="81">
        <v>0.0</v>
      </c>
      <c r="R15" s="81">
        <v>0.0</v>
      </c>
      <c r="S15" s="81">
        <v>0.0</v>
      </c>
      <c r="T15" s="81">
        <v>0.0</v>
      </c>
      <c r="U15" s="80">
        <v>20.0</v>
      </c>
      <c r="V15" s="81">
        <v>0.0</v>
      </c>
      <c r="W15" s="81">
        <v>0.0</v>
      </c>
      <c r="X15" s="81">
        <v>0.0</v>
      </c>
      <c r="Y15" s="2"/>
      <c r="Z15" s="2"/>
      <c r="AA15" s="2"/>
      <c r="AB15" s="2" t="s">
        <v>15</v>
      </c>
      <c r="AC15" s="22"/>
      <c r="AD15" s="2"/>
      <c r="AE15" s="2"/>
      <c r="AF15" s="2"/>
    </row>
    <row r="16">
      <c r="A16" s="2"/>
      <c r="B16" s="2"/>
      <c r="C16" s="2"/>
      <c r="D16" s="2"/>
      <c r="E16" s="14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3">
        <f>IFERROR(__xludf.DUMMYFUNCTION("""COMPUTED_VALUE"""),25.0)</f>
        <v>25</v>
      </c>
      <c r="G16" s="14"/>
      <c r="H16" s="13"/>
      <c r="I16" s="14"/>
      <c r="J16" s="13"/>
      <c r="K16" s="2"/>
      <c r="L16" s="79">
        <v>2.0</v>
      </c>
      <c r="M16" s="80">
        <v>25.0</v>
      </c>
      <c r="N16" s="81">
        <v>0.0</v>
      </c>
      <c r="O16" s="81">
        <v>0.0</v>
      </c>
      <c r="P16" s="81">
        <v>0.0</v>
      </c>
      <c r="Q16" s="81">
        <v>0.0</v>
      </c>
      <c r="R16" s="81">
        <v>0.0</v>
      </c>
      <c r="S16" s="81">
        <v>0.0</v>
      </c>
      <c r="T16" s="81">
        <v>0.0</v>
      </c>
      <c r="U16" s="81">
        <v>0.0</v>
      </c>
      <c r="V16" s="81">
        <v>0.0</v>
      </c>
      <c r="W16" s="81">
        <v>0.0</v>
      </c>
      <c r="X16" s="81">
        <v>0.0</v>
      </c>
      <c r="Y16" s="2"/>
      <c r="Z16" s="2"/>
      <c r="AA16" s="2"/>
      <c r="AB16" s="2"/>
      <c r="AC16" s="2"/>
      <c r="AD16" s="2"/>
      <c r="AE16" s="2"/>
      <c r="AF16" s="2"/>
    </row>
    <row r="17">
      <c r="A17" s="2"/>
      <c r="B17" s="2"/>
      <c r="C17" s="2"/>
      <c r="D17" s="2"/>
      <c r="E17" s="14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3">
        <f>IFERROR(__xludf.DUMMYFUNCTION("""COMPUTED_VALUE"""),1.0)</f>
        <v>1</v>
      </c>
      <c r="G17" s="14"/>
      <c r="H17" s="13"/>
      <c r="I17" s="14"/>
      <c r="J17" s="13"/>
      <c r="K17" s="2"/>
      <c r="L17" s="79">
        <v>3.0</v>
      </c>
      <c r="M17" s="81">
        <v>0.0</v>
      </c>
      <c r="N17" s="81">
        <v>0.0</v>
      </c>
      <c r="O17" s="81">
        <v>0.0</v>
      </c>
      <c r="P17" s="81">
        <v>0.0</v>
      </c>
      <c r="Q17" s="81">
        <v>0.0</v>
      </c>
      <c r="R17" s="80">
        <v>1.0</v>
      </c>
      <c r="S17" s="81">
        <v>0.0</v>
      </c>
      <c r="T17" s="81">
        <v>0.0</v>
      </c>
      <c r="U17" s="81">
        <v>0.0</v>
      </c>
      <c r="V17" s="81">
        <v>0.0</v>
      </c>
      <c r="W17" s="81">
        <v>0.0</v>
      </c>
      <c r="X17" s="81">
        <v>0.0</v>
      </c>
      <c r="Y17" s="2"/>
      <c r="Z17" s="2"/>
      <c r="AA17" s="2"/>
      <c r="AB17" s="2"/>
      <c r="AC17" s="2"/>
      <c r="AD17" s="2"/>
      <c r="AE17" s="2"/>
      <c r="AF17" s="2"/>
    </row>
    <row r="18">
      <c r="A18" s="2"/>
      <c r="B18" s="2"/>
      <c r="C18" s="2"/>
      <c r="D18" s="2"/>
      <c r="E18" s="14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3">
        <f>IFERROR(__xludf.DUMMYFUNCTION("""COMPUTED_VALUE"""),30.0)</f>
        <v>30</v>
      </c>
      <c r="G18" s="14"/>
      <c r="H18" s="13"/>
      <c r="I18" s="14"/>
      <c r="J18" s="13"/>
      <c r="K18" s="2"/>
      <c r="L18" s="79">
        <v>4.0</v>
      </c>
      <c r="M18" s="80">
        <v>30.0</v>
      </c>
      <c r="N18" s="81">
        <v>0.0</v>
      </c>
      <c r="O18" s="81">
        <v>0.0</v>
      </c>
      <c r="P18" s="81">
        <v>0.0</v>
      </c>
      <c r="Q18" s="81">
        <v>0.0</v>
      </c>
      <c r="R18" s="81">
        <v>0.0</v>
      </c>
      <c r="S18" s="81">
        <v>0.0</v>
      </c>
      <c r="T18" s="81">
        <v>0.0</v>
      </c>
      <c r="U18" s="81">
        <v>0.0</v>
      </c>
      <c r="V18" s="81">
        <v>0.0</v>
      </c>
      <c r="W18" s="81">
        <v>0.0</v>
      </c>
      <c r="X18" s="81">
        <v>0.0</v>
      </c>
      <c r="Y18" s="2"/>
      <c r="Z18" s="2"/>
      <c r="AA18" s="2"/>
      <c r="AB18" s="2"/>
      <c r="AC18" s="2"/>
      <c r="AD18" s="2"/>
      <c r="AE18" s="2"/>
      <c r="AF18" s="2"/>
    </row>
    <row r="19">
      <c r="A19" s="2"/>
      <c r="B19" s="2"/>
      <c r="C19" s="2"/>
      <c r="D19" s="2"/>
      <c r="E19" s="14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3">
        <f>IFERROR(__xludf.DUMMYFUNCTION("""COMPUTED_VALUE"""),1.0)</f>
        <v>1</v>
      </c>
      <c r="G19" s="14"/>
      <c r="H19" s="13"/>
      <c r="I19" s="14"/>
      <c r="J19" s="13"/>
      <c r="K19" s="2"/>
      <c r="L19" s="79">
        <v>5.0</v>
      </c>
      <c r="M19" s="81">
        <v>0.0</v>
      </c>
      <c r="N19" s="81">
        <v>0.0</v>
      </c>
      <c r="O19" s="81">
        <v>0.0</v>
      </c>
      <c r="P19" s="81">
        <v>0.0</v>
      </c>
      <c r="Q19" s="81">
        <v>0.0</v>
      </c>
      <c r="R19" s="81">
        <v>0.0</v>
      </c>
      <c r="S19" s="80">
        <v>1.0</v>
      </c>
      <c r="T19" s="81">
        <v>0.0</v>
      </c>
      <c r="U19" s="81">
        <v>0.0</v>
      </c>
      <c r="V19" s="81">
        <v>0.0</v>
      </c>
      <c r="W19" s="81">
        <v>0.0</v>
      </c>
      <c r="X19" s="81">
        <v>0.0</v>
      </c>
      <c r="Y19" s="2"/>
      <c r="Z19" s="2"/>
      <c r="AA19" s="2"/>
      <c r="AB19" s="2"/>
      <c r="AC19" s="2"/>
      <c r="AD19" s="2"/>
      <c r="AE19" s="2"/>
      <c r="AF19" s="2"/>
    </row>
    <row r="20">
      <c r="A20" s="2"/>
      <c r="B20" s="2"/>
      <c r="C20" s="2"/>
      <c r="D20" s="2"/>
      <c r="E20" s="14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3">
        <f>IFERROR(__xludf.DUMMYFUNCTION("""COMPUTED_VALUE"""),35.0)</f>
        <v>35</v>
      </c>
      <c r="G20" s="14"/>
      <c r="H20" s="13"/>
      <c r="I20" s="14"/>
      <c r="J20" s="13"/>
      <c r="K20" s="2"/>
      <c r="L20" s="79">
        <v>6.0</v>
      </c>
      <c r="M20" s="80">
        <v>35.0</v>
      </c>
      <c r="N20" s="81">
        <v>0.0</v>
      </c>
      <c r="O20" s="81">
        <v>0.0</v>
      </c>
      <c r="P20" s="81">
        <v>0.0</v>
      </c>
      <c r="Q20" s="81">
        <v>0.0</v>
      </c>
      <c r="R20" s="81">
        <v>0.0</v>
      </c>
      <c r="S20" s="81">
        <v>0.0</v>
      </c>
      <c r="T20" s="81">
        <v>0.0</v>
      </c>
      <c r="U20" s="81">
        <v>0.0</v>
      </c>
      <c r="V20" s="81">
        <v>0.0</v>
      </c>
      <c r="W20" s="81">
        <v>0.0</v>
      </c>
      <c r="X20" s="81">
        <v>0.0</v>
      </c>
      <c r="Y20" s="2"/>
      <c r="Z20" s="2"/>
      <c r="AA20" s="2"/>
      <c r="AB20" s="2"/>
      <c r="AC20" s="2"/>
      <c r="AD20" s="2"/>
      <c r="AE20" s="2"/>
      <c r="AF20" s="2"/>
    </row>
    <row r="21" ht="15.75" customHeight="1">
      <c r="A21" s="2"/>
      <c r="B21" s="2"/>
      <c r="C21" s="2"/>
      <c r="D21" s="2"/>
      <c r="E21" s="14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3">
        <f>IFERROR(__xludf.DUMMYFUNCTION("""COMPUTED_VALUE"""),100.0)</f>
        <v>100</v>
      </c>
      <c r="G21" s="14" t="str">
        <f>IFERROR(__xludf.DUMMYFUNCTION("""COMPUTED_VALUE"""),"")</f>
        <v/>
      </c>
      <c r="H21" s="13">
        <f>IFERROR(__xludf.DUMMYFUNCTION("""COMPUTED_VALUE"""),120.0)</f>
        <v>120</v>
      </c>
      <c r="I21" s="14" t="str">
        <f>IFERROR(__xludf.DUMMYFUNCTION("""COMPUTED_VALUE"""),"")</f>
        <v/>
      </c>
      <c r="J21" s="13">
        <f>IFERROR(__xludf.DUMMYFUNCTION("""COMPUTED_VALUE"""),60.0)</f>
        <v>60</v>
      </c>
      <c r="K21" s="2"/>
      <c r="L21" s="79">
        <v>7.0</v>
      </c>
      <c r="M21" s="80">
        <v>100.0</v>
      </c>
      <c r="N21" s="81">
        <v>0.0</v>
      </c>
      <c r="O21" s="81">
        <v>0.0</v>
      </c>
      <c r="P21" s="81">
        <v>0.0</v>
      </c>
      <c r="Q21" s="81">
        <v>0.0</v>
      </c>
      <c r="R21" s="81">
        <v>0.0</v>
      </c>
      <c r="S21" s="81">
        <v>0.0</v>
      </c>
      <c r="T21" s="81">
        <v>0.0</v>
      </c>
      <c r="U21" s="80">
        <v>120.0</v>
      </c>
      <c r="V21" s="81">
        <v>0.0</v>
      </c>
      <c r="W21" s="80">
        <v>60.0</v>
      </c>
      <c r="X21" s="81">
        <v>0.0</v>
      </c>
      <c r="Y21" s="2"/>
      <c r="Z21" s="2"/>
      <c r="AA21" s="2"/>
      <c r="AB21" s="2"/>
      <c r="AC21" s="2"/>
      <c r="AD21" s="2"/>
      <c r="AE21" s="2"/>
      <c r="AF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2"/>
      <c r="Z22" s="2"/>
      <c r="AA22" s="2"/>
      <c r="AB22" s="2"/>
      <c r="AC22" s="2"/>
      <c r="AD22" s="2"/>
      <c r="AE22" s="2"/>
      <c r="AF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71" t="s">
        <v>66</v>
      </c>
      <c r="M23" s="71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2"/>
      <c r="Z23" s="2"/>
      <c r="AA23" s="2"/>
      <c r="AB23" s="2"/>
      <c r="AC23" s="2"/>
      <c r="AD23" s="2"/>
      <c r="AE23" s="2"/>
      <c r="AF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75" t="s">
        <v>61</v>
      </c>
      <c r="M24" s="76" t="s">
        <v>63</v>
      </c>
      <c r="N24" s="76" t="s">
        <v>5</v>
      </c>
      <c r="O24" s="76" t="s">
        <v>6</v>
      </c>
      <c r="P24" s="76" t="s">
        <v>7</v>
      </c>
      <c r="Q24" s="76" t="s">
        <v>8</v>
      </c>
      <c r="R24" s="76" t="s">
        <v>9</v>
      </c>
      <c r="S24" s="76" t="s">
        <v>10</v>
      </c>
      <c r="T24" s="76" t="s">
        <v>11</v>
      </c>
      <c r="U24" s="76" t="s">
        <v>12</v>
      </c>
      <c r="V24" s="76" t="s">
        <v>13</v>
      </c>
      <c r="W24" s="76" t="s">
        <v>14</v>
      </c>
      <c r="X24" s="76" t="s">
        <v>15</v>
      </c>
      <c r="Y24" s="2"/>
      <c r="Z24" s="2"/>
      <c r="AA24" s="2"/>
      <c r="AB24" s="2"/>
      <c r="AC24" s="2"/>
      <c r="AD24" s="2"/>
      <c r="AE24" s="2"/>
      <c r="AF24" s="2"/>
    </row>
    <row r="25" ht="15.75" customHeight="1">
      <c r="A25" s="2"/>
      <c r="B25" s="2"/>
      <c r="C25" s="2"/>
      <c r="D25" s="2"/>
      <c r="E25" s="14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3">
        <f>IFERROR(__xludf.DUMMYFUNCTION("""COMPUTED_VALUE"""),15.0)</f>
        <v>15</v>
      </c>
      <c r="G25" s="14"/>
      <c r="H25" s="13"/>
      <c r="I25" s="14"/>
      <c r="J25" s="13"/>
      <c r="K25" s="2"/>
      <c r="L25" s="79">
        <v>1.0</v>
      </c>
      <c r="M25" s="81">
        <v>0.0</v>
      </c>
      <c r="N25" s="81">
        <v>0.0</v>
      </c>
      <c r="O25" s="81">
        <v>0.0</v>
      </c>
      <c r="P25" s="81">
        <v>0.0</v>
      </c>
      <c r="Q25" s="81">
        <v>0.0</v>
      </c>
      <c r="R25" s="81">
        <v>0.0</v>
      </c>
      <c r="S25" s="81">
        <v>0.0</v>
      </c>
      <c r="T25" s="81">
        <v>0.0</v>
      </c>
      <c r="U25" s="80">
        <v>15.0</v>
      </c>
      <c r="V25" s="81">
        <v>0.0</v>
      </c>
      <c r="W25" s="81">
        <v>0.0</v>
      </c>
      <c r="X25" s="81">
        <v>0.0</v>
      </c>
      <c r="Y25" s="2"/>
      <c r="Z25" s="2"/>
      <c r="AA25" s="2"/>
      <c r="AB25" s="2"/>
      <c r="AC25" s="2"/>
      <c r="AD25" s="2"/>
      <c r="AE25" s="2"/>
      <c r="AF25" s="2"/>
    </row>
    <row r="26" ht="15.75" customHeight="1">
      <c r="A26" s="2"/>
      <c r="B26" s="2"/>
      <c r="C26" s="2"/>
      <c r="D26" s="2"/>
      <c r="E26" s="14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3">
        <f>IFERROR(__xludf.DUMMYFUNCTION("""COMPUTED_VALUE"""),20.0)</f>
        <v>20</v>
      </c>
      <c r="G26" s="14"/>
      <c r="H26" s="13"/>
      <c r="I26" s="14"/>
      <c r="J26" s="13"/>
      <c r="K26" s="2"/>
      <c r="L26" s="79">
        <v>2.0</v>
      </c>
      <c r="M26" s="80">
        <v>20.0</v>
      </c>
      <c r="N26" s="81">
        <v>0.0</v>
      </c>
      <c r="O26" s="81">
        <v>0.0</v>
      </c>
      <c r="P26" s="81">
        <v>0.0</v>
      </c>
      <c r="Q26" s="81">
        <v>0.0</v>
      </c>
      <c r="R26" s="81">
        <v>0.0</v>
      </c>
      <c r="S26" s="81">
        <v>0.0</v>
      </c>
      <c r="T26" s="81">
        <v>0.0</v>
      </c>
      <c r="U26" s="81">
        <v>0.0</v>
      </c>
      <c r="V26" s="81">
        <v>0.0</v>
      </c>
      <c r="W26" s="81">
        <v>0.0</v>
      </c>
      <c r="X26" s="81">
        <v>0.0</v>
      </c>
      <c r="Y26" s="2"/>
      <c r="Z26" s="2"/>
      <c r="AA26" s="2"/>
      <c r="AB26" s="2"/>
      <c r="AC26" s="2"/>
      <c r="AD26" s="2"/>
      <c r="AE26" s="2"/>
      <c r="AF26" s="2"/>
    </row>
    <row r="27" ht="15.75" customHeight="1">
      <c r="A27" s="2"/>
      <c r="B27" s="2"/>
      <c r="C27" s="2"/>
      <c r="D27" s="2"/>
      <c r="E27" s="14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3">
        <f>IFERROR(__xludf.DUMMYFUNCTION("""COMPUTED_VALUE"""),1.0)</f>
        <v>1</v>
      </c>
      <c r="G27" s="14"/>
      <c r="H27" s="13"/>
      <c r="I27" s="14"/>
      <c r="J27" s="13"/>
      <c r="K27" s="2"/>
      <c r="L27" s="79">
        <v>3.0</v>
      </c>
      <c r="M27" s="81">
        <v>0.0</v>
      </c>
      <c r="N27" s="81">
        <v>0.0</v>
      </c>
      <c r="O27" s="81">
        <v>0.0</v>
      </c>
      <c r="P27" s="81">
        <v>0.0</v>
      </c>
      <c r="Q27" s="81">
        <v>0.0</v>
      </c>
      <c r="R27" s="80">
        <v>1.0</v>
      </c>
      <c r="S27" s="81">
        <v>0.0</v>
      </c>
      <c r="T27" s="81">
        <v>0.0</v>
      </c>
      <c r="U27" s="81">
        <v>0.0</v>
      </c>
      <c r="V27" s="81">
        <v>0.0</v>
      </c>
      <c r="W27" s="81">
        <v>0.0</v>
      </c>
      <c r="X27" s="81">
        <v>0.0</v>
      </c>
      <c r="Y27" s="2"/>
      <c r="Z27" s="2"/>
      <c r="AA27" s="2"/>
      <c r="AB27" s="2"/>
      <c r="AC27" s="2"/>
      <c r="AD27" s="2"/>
      <c r="AE27" s="2"/>
      <c r="AF27" s="2"/>
    </row>
    <row r="28" ht="15.75" customHeight="1">
      <c r="A28" s="2"/>
      <c r="B28" s="2"/>
      <c r="C28" s="2"/>
      <c r="D28" s="2"/>
      <c r="E28" s="14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3">
        <f>IFERROR(__xludf.DUMMYFUNCTION("""COMPUTED_VALUE"""),25.0)</f>
        <v>25</v>
      </c>
      <c r="G28" s="14"/>
      <c r="H28" s="13"/>
      <c r="I28" s="14"/>
      <c r="J28" s="13"/>
      <c r="K28" s="2"/>
      <c r="L28" s="79">
        <v>4.0</v>
      </c>
      <c r="M28" s="80">
        <v>25.0</v>
      </c>
      <c r="N28" s="81">
        <v>0.0</v>
      </c>
      <c r="O28" s="81">
        <v>0.0</v>
      </c>
      <c r="P28" s="81">
        <v>0.0</v>
      </c>
      <c r="Q28" s="81">
        <v>0.0</v>
      </c>
      <c r="R28" s="81">
        <v>0.0</v>
      </c>
      <c r="S28" s="81">
        <v>0.0</v>
      </c>
      <c r="T28" s="81">
        <v>0.0</v>
      </c>
      <c r="U28" s="81">
        <v>0.0</v>
      </c>
      <c r="V28" s="81">
        <v>0.0</v>
      </c>
      <c r="W28" s="81">
        <v>0.0</v>
      </c>
      <c r="X28" s="81">
        <v>0.0</v>
      </c>
      <c r="Y28" s="2"/>
      <c r="Z28" s="2"/>
      <c r="AA28" s="2"/>
      <c r="AB28" s="2"/>
      <c r="AC28" s="2"/>
      <c r="AD28" s="2"/>
      <c r="AE28" s="2"/>
      <c r="AF28" s="2"/>
    </row>
    <row r="29" ht="15.75" customHeight="1">
      <c r="A29" s="2"/>
      <c r="B29" s="2"/>
      <c r="C29" s="2"/>
      <c r="D29" s="2"/>
      <c r="E29" s="14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3">
        <f>IFERROR(__xludf.DUMMYFUNCTION("""COMPUTED_VALUE"""),1.0)</f>
        <v>1</v>
      </c>
      <c r="G29" s="14"/>
      <c r="H29" s="13"/>
      <c r="I29" s="14"/>
      <c r="J29" s="13"/>
      <c r="K29" s="2"/>
      <c r="L29" s="79">
        <v>5.0</v>
      </c>
      <c r="M29" s="81">
        <v>0.0</v>
      </c>
      <c r="N29" s="81">
        <v>0.0</v>
      </c>
      <c r="O29" s="81">
        <v>0.0</v>
      </c>
      <c r="P29" s="81">
        <v>0.0</v>
      </c>
      <c r="Q29" s="81">
        <v>0.0</v>
      </c>
      <c r="R29" s="81">
        <v>0.0</v>
      </c>
      <c r="S29" s="80">
        <v>1.0</v>
      </c>
      <c r="T29" s="81">
        <v>0.0</v>
      </c>
      <c r="U29" s="81">
        <v>0.0</v>
      </c>
      <c r="V29" s="81">
        <v>0.0</v>
      </c>
      <c r="W29" s="81">
        <v>0.0</v>
      </c>
      <c r="X29" s="81">
        <v>0.0</v>
      </c>
      <c r="Y29" s="2"/>
      <c r="Z29" s="2"/>
      <c r="AA29" s="2"/>
      <c r="AB29" s="2"/>
      <c r="AC29" s="2"/>
      <c r="AD29" s="2"/>
      <c r="AE29" s="2"/>
      <c r="AF29" s="2"/>
    </row>
    <row r="30" ht="15.75" customHeight="1">
      <c r="A30" s="2"/>
      <c r="B30" s="2"/>
      <c r="C30" s="2"/>
      <c r="D30" s="2"/>
      <c r="E30" s="14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3">
        <f>IFERROR(__xludf.DUMMYFUNCTION("""COMPUTED_VALUE"""),30.0)</f>
        <v>30</v>
      </c>
      <c r="G30" s="14"/>
      <c r="H30" s="13"/>
      <c r="I30" s="14"/>
      <c r="J30" s="13"/>
      <c r="K30" s="2"/>
      <c r="L30" s="79">
        <v>6.0</v>
      </c>
      <c r="M30" s="80">
        <v>30.0</v>
      </c>
      <c r="N30" s="81">
        <v>0.0</v>
      </c>
      <c r="O30" s="81">
        <v>0.0</v>
      </c>
      <c r="P30" s="81">
        <v>0.0</v>
      </c>
      <c r="Q30" s="81">
        <v>0.0</v>
      </c>
      <c r="R30" s="81">
        <v>0.0</v>
      </c>
      <c r="S30" s="81">
        <v>0.0</v>
      </c>
      <c r="T30" s="81">
        <v>0.0</v>
      </c>
      <c r="U30" s="81">
        <v>0.0</v>
      </c>
      <c r="V30" s="81">
        <v>0.0</v>
      </c>
      <c r="W30" s="81">
        <v>0.0</v>
      </c>
      <c r="X30" s="81">
        <v>0.0</v>
      </c>
      <c r="Y30" s="2"/>
      <c r="Z30" s="2"/>
      <c r="AA30" s="2"/>
      <c r="AB30" s="2"/>
      <c r="AC30" s="2"/>
      <c r="AD30" s="2"/>
      <c r="AE30" s="2"/>
      <c r="AF30" s="2"/>
    </row>
    <row r="31" ht="15.75" customHeight="1">
      <c r="A31" s="2"/>
      <c r="B31" s="2"/>
      <c r="C31" s="2"/>
      <c r="D31" s="2"/>
      <c r="E31" s="14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3">
        <f>IFERROR(__xludf.DUMMYFUNCTION("""COMPUTED_VALUE"""),100.0)</f>
        <v>100</v>
      </c>
      <c r="G31" s="14" t="str">
        <f>IFERROR(__xludf.DUMMYFUNCTION("""COMPUTED_VALUE"""),"")</f>
        <v/>
      </c>
      <c r="H31" s="13">
        <f>IFERROR(__xludf.DUMMYFUNCTION("""COMPUTED_VALUE"""),120.0)</f>
        <v>120</v>
      </c>
      <c r="I31" s="14" t="str">
        <f>IFERROR(__xludf.DUMMYFUNCTION("""COMPUTED_VALUE"""),"")</f>
        <v/>
      </c>
      <c r="J31" s="13">
        <f>IFERROR(__xludf.DUMMYFUNCTION("""COMPUTED_VALUE"""),30.0)</f>
        <v>30</v>
      </c>
      <c r="K31" s="2"/>
      <c r="L31" s="79">
        <v>7.0</v>
      </c>
      <c r="M31" s="80">
        <v>100.0</v>
      </c>
      <c r="N31" s="81">
        <v>0.0</v>
      </c>
      <c r="O31" s="81">
        <v>0.0</v>
      </c>
      <c r="P31" s="81">
        <v>0.0</v>
      </c>
      <c r="Q31" s="81">
        <v>0.0</v>
      </c>
      <c r="R31" s="81">
        <v>0.0</v>
      </c>
      <c r="S31" s="81">
        <v>0.0</v>
      </c>
      <c r="T31" s="81">
        <v>0.0</v>
      </c>
      <c r="U31" s="80">
        <v>120.0</v>
      </c>
      <c r="V31" s="81">
        <v>0.0</v>
      </c>
      <c r="W31" s="81">
        <v>0.0</v>
      </c>
      <c r="X31" s="80">
        <v>30.0</v>
      </c>
      <c r="Y31" s="2"/>
      <c r="Z31" s="2"/>
      <c r="AA31" s="2"/>
      <c r="AB31" s="2"/>
      <c r="AC31" s="2"/>
      <c r="AD31" s="2"/>
      <c r="AE31" s="2"/>
      <c r="AF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2"/>
      <c r="Z32" s="2"/>
      <c r="AA32" s="2"/>
      <c r="AB32" s="2"/>
      <c r="AC32" s="2"/>
      <c r="AD32" s="2"/>
      <c r="AE32" s="2"/>
      <c r="AF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71" t="s">
        <v>67</v>
      </c>
      <c r="M33" s="71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2"/>
      <c r="Z33" s="2"/>
      <c r="AA33" s="2"/>
      <c r="AB33" s="2"/>
      <c r="AC33" s="2"/>
      <c r="AD33" s="2"/>
      <c r="AE33" s="2"/>
      <c r="AF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75" t="s">
        <v>61</v>
      </c>
      <c r="M34" s="76" t="s">
        <v>63</v>
      </c>
      <c r="N34" s="76" t="s">
        <v>5</v>
      </c>
      <c r="O34" s="76" t="s">
        <v>6</v>
      </c>
      <c r="P34" s="76" t="s">
        <v>7</v>
      </c>
      <c r="Q34" s="76" t="s">
        <v>8</v>
      </c>
      <c r="R34" s="76" t="s">
        <v>9</v>
      </c>
      <c r="S34" s="76" t="s">
        <v>10</v>
      </c>
      <c r="T34" s="76" t="s">
        <v>11</v>
      </c>
      <c r="U34" s="76" t="s">
        <v>12</v>
      </c>
      <c r="V34" s="76" t="s">
        <v>13</v>
      </c>
      <c r="W34" s="76" t="s">
        <v>14</v>
      </c>
      <c r="X34" s="76" t="s">
        <v>15</v>
      </c>
      <c r="Y34" s="2"/>
      <c r="Z34" s="2"/>
      <c r="AA34" s="2"/>
      <c r="AB34" s="2"/>
      <c r="AC34" s="2"/>
      <c r="AD34" s="2"/>
      <c r="AE34" s="2"/>
      <c r="AF34" s="2"/>
    </row>
    <row r="35" ht="15.75" customHeight="1">
      <c r="A35" s="2"/>
      <c r="B35" s="2"/>
      <c r="C35" s="2"/>
      <c r="D35" s="2"/>
      <c r="E35" s="14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3">
        <f>IFERROR(__xludf.DUMMYFUNCTION("""COMPUTED_VALUE"""),25.0)</f>
        <v>25</v>
      </c>
      <c r="G35" s="14"/>
      <c r="H35" s="13"/>
      <c r="I35" s="14"/>
      <c r="J35" s="13"/>
      <c r="K35" s="2"/>
      <c r="L35" s="79">
        <v>1.0</v>
      </c>
      <c r="M35" s="80">
        <v>25.0</v>
      </c>
      <c r="N35" s="81">
        <v>0.0</v>
      </c>
      <c r="O35" s="81">
        <v>0.0</v>
      </c>
      <c r="P35" s="81">
        <v>0.0</v>
      </c>
      <c r="Q35" s="81">
        <v>0.0</v>
      </c>
      <c r="R35" s="81">
        <v>0.0</v>
      </c>
      <c r="S35" s="81">
        <v>0.0</v>
      </c>
      <c r="T35" s="81">
        <v>0.0</v>
      </c>
      <c r="U35" s="81">
        <v>0.0</v>
      </c>
      <c r="V35" s="81">
        <v>0.0</v>
      </c>
      <c r="W35" s="81">
        <v>0.0</v>
      </c>
      <c r="X35" s="81">
        <v>0.0</v>
      </c>
      <c r="Y35" s="2"/>
      <c r="Z35" s="2"/>
      <c r="AA35" s="2"/>
      <c r="AB35" s="2"/>
      <c r="AC35" s="2"/>
      <c r="AD35" s="2"/>
      <c r="AE35" s="2"/>
      <c r="AF35" s="2"/>
    </row>
    <row r="36" ht="15.75" customHeight="1">
      <c r="A36" s="2"/>
      <c r="B36" s="2"/>
      <c r="C36" s="2"/>
      <c r="D36" s="2"/>
      <c r="E36" s="14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3">
        <f>IFERROR(__xludf.DUMMYFUNCTION("""COMPUTED_VALUE"""),30.0)</f>
        <v>30</v>
      </c>
      <c r="G36" s="14"/>
      <c r="H36" s="13"/>
      <c r="I36" s="14"/>
      <c r="J36" s="13"/>
      <c r="K36" s="2"/>
      <c r="L36" s="79">
        <v>2.0</v>
      </c>
      <c r="M36" s="81">
        <v>0.0</v>
      </c>
      <c r="N36" s="81">
        <v>0.0</v>
      </c>
      <c r="O36" s="81">
        <v>0.0</v>
      </c>
      <c r="P36" s="81">
        <v>0.0</v>
      </c>
      <c r="Q36" s="81">
        <v>0.0</v>
      </c>
      <c r="R36" s="81">
        <v>0.0</v>
      </c>
      <c r="S36" s="81">
        <v>0.0</v>
      </c>
      <c r="T36" s="81">
        <v>0.0</v>
      </c>
      <c r="U36" s="80">
        <v>30.0</v>
      </c>
      <c r="V36" s="81">
        <v>0.0</v>
      </c>
      <c r="W36" s="81">
        <v>0.0</v>
      </c>
      <c r="X36" s="81">
        <v>0.0</v>
      </c>
      <c r="Y36" s="2"/>
      <c r="Z36" s="2"/>
      <c r="AA36" s="2"/>
      <c r="AB36" s="2"/>
      <c r="AC36" s="2"/>
      <c r="AD36" s="2"/>
      <c r="AE36" s="2"/>
      <c r="AF36" s="2"/>
    </row>
    <row r="37" ht="15.75" customHeight="1">
      <c r="A37" s="2"/>
      <c r="B37" s="2"/>
      <c r="C37" s="2"/>
      <c r="D37" s="2"/>
      <c r="E37" s="14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3">
        <f>IFERROR(__xludf.DUMMYFUNCTION("""COMPUTED_VALUE"""),1.0)</f>
        <v>1</v>
      </c>
      <c r="G37" s="14"/>
      <c r="H37" s="13"/>
      <c r="I37" s="14"/>
      <c r="J37" s="13"/>
      <c r="K37" s="2"/>
      <c r="L37" s="79">
        <v>3.0</v>
      </c>
      <c r="M37" s="81">
        <v>0.0</v>
      </c>
      <c r="N37" s="81">
        <v>0.0</v>
      </c>
      <c r="O37" s="81">
        <v>0.0</v>
      </c>
      <c r="P37" s="81">
        <v>0.0</v>
      </c>
      <c r="Q37" s="81">
        <v>0.0</v>
      </c>
      <c r="R37" s="81">
        <v>0.0</v>
      </c>
      <c r="S37" s="80">
        <v>1.0</v>
      </c>
      <c r="T37" s="81">
        <v>0.0</v>
      </c>
      <c r="U37" s="81">
        <v>0.0</v>
      </c>
      <c r="V37" s="81">
        <v>0.0</v>
      </c>
      <c r="W37" s="81">
        <v>0.0</v>
      </c>
      <c r="X37" s="81">
        <v>0.0</v>
      </c>
      <c r="Y37" s="2"/>
      <c r="Z37" s="2"/>
      <c r="AA37" s="2"/>
      <c r="AB37" s="2"/>
      <c r="AC37" s="2"/>
      <c r="AD37" s="2"/>
      <c r="AE37" s="2"/>
      <c r="AF37" s="2"/>
    </row>
    <row r="38" ht="15.75" customHeight="1">
      <c r="A38" s="2"/>
      <c r="B38" s="2"/>
      <c r="C38" s="2"/>
      <c r="D38" s="2"/>
      <c r="E38" s="14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3">
        <f>IFERROR(__xludf.DUMMYFUNCTION("""COMPUTED_VALUE"""),1.0)</f>
        <v>1</v>
      </c>
      <c r="G38" s="14"/>
      <c r="H38" s="13"/>
      <c r="I38" s="14"/>
      <c r="J38" s="13"/>
      <c r="K38" s="2"/>
      <c r="L38" s="79">
        <v>4.0</v>
      </c>
      <c r="M38" s="81">
        <v>0.0</v>
      </c>
      <c r="N38" s="81">
        <v>0.0</v>
      </c>
      <c r="O38" s="81">
        <v>0.0</v>
      </c>
      <c r="P38" s="81">
        <v>0.0</v>
      </c>
      <c r="Q38" s="81">
        <v>0.0</v>
      </c>
      <c r="R38" s="80">
        <v>1.0</v>
      </c>
      <c r="S38" s="81">
        <v>0.0</v>
      </c>
      <c r="T38" s="81">
        <v>0.0</v>
      </c>
      <c r="U38" s="81">
        <v>0.0</v>
      </c>
      <c r="V38" s="81">
        <v>0.0</v>
      </c>
      <c r="W38" s="81">
        <v>0.0</v>
      </c>
      <c r="X38" s="81">
        <v>0.0</v>
      </c>
      <c r="Y38" s="2"/>
      <c r="Z38" s="2"/>
      <c r="AA38" s="2"/>
      <c r="AB38" s="2"/>
      <c r="AC38" s="2"/>
      <c r="AD38" s="2"/>
      <c r="AE38" s="2"/>
      <c r="AF38" s="2"/>
    </row>
    <row r="39" ht="15.75" customHeight="1">
      <c r="A39" s="2"/>
      <c r="B39" s="2"/>
      <c r="C39" s="2"/>
      <c r="D39" s="2"/>
      <c r="E39" s="14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3">
        <f>IFERROR(__xludf.DUMMYFUNCTION("""COMPUTED_VALUE"""),30.0)</f>
        <v>30</v>
      </c>
      <c r="G39" s="14"/>
      <c r="H39" s="13"/>
      <c r="I39" s="14"/>
      <c r="J39" s="13"/>
      <c r="K39" s="2"/>
      <c r="L39" s="79">
        <v>5.0</v>
      </c>
      <c r="M39" s="80">
        <v>30.0</v>
      </c>
      <c r="N39" s="81">
        <v>0.0</v>
      </c>
      <c r="O39" s="81">
        <v>0.0</v>
      </c>
      <c r="P39" s="81">
        <v>0.0</v>
      </c>
      <c r="Q39" s="81">
        <v>0.0</v>
      </c>
      <c r="R39" s="81">
        <v>0.0</v>
      </c>
      <c r="S39" s="81">
        <v>0.0</v>
      </c>
      <c r="T39" s="81">
        <v>0.0</v>
      </c>
      <c r="U39" s="81">
        <v>0.0</v>
      </c>
      <c r="V39" s="81">
        <v>0.0</v>
      </c>
      <c r="W39" s="81">
        <v>0.0</v>
      </c>
      <c r="X39" s="81">
        <v>0.0</v>
      </c>
      <c r="Y39" s="2"/>
      <c r="Z39" s="2"/>
      <c r="AA39" s="2"/>
      <c r="AB39" s="2"/>
      <c r="AC39" s="2"/>
      <c r="AD39" s="2"/>
      <c r="AE39" s="2"/>
      <c r="AF39" s="2"/>
    </row>
    <row r="40" ht="15.75" customHeight="1">
      <c r="A40" s="2"/>
      <c r="B40" s="2"/>
      <c r="C40" s="2"/>
      <c r="D40" s="2"/>
      <c r="E40" s="14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3">
        <f>IFERROR(__xludf.DUMMYFUNCTION("""COMPUTED_VALUE"""),1.0)</f>
        <v>1</v>
      </c>
      <c r="G40" s="14"/>
      <c r="H40" s="13"/>
      <c r="I40" s="14"/>
      <c r="J40" s="13"/>
      <c r="K40" s="2"/>
      <c r="L40" s="79">
        <v>6.0</v>
      </c>
      <c r="M40" s="81">
        <v>0.0</v>
      </c>
      <c r="N40" s="81">
        <v>0.0</v>
      </c>
      <c r="O40" s="81">
        <v>0.0</v>
      </c>
      <c r="P40" s="81">
        <v>0.0</v>
      </c>
      <c r="Q40" s="81">
        <v>0.0</v>
      </c>
      <c r="R40" s="80">
        <v>1.0</v>
      </c>
      <c r="S40" s="81">
        <v>0.0</v>
      </c>
      <c r="T40" s="81">
        <v>0.0</v>
      </c>
      <c r="U40" s="81">
        <v>0.0</v>
      </c>
      <c r="V40" s="81">
        <v>0.0</v>
      </c>
      <c r="W40" s="81">
        <v>0.0</v>
      </c>
      <c r="X40" s="81">
        <v>0.0</v>
      </c>
      <c r="Y40" s="2"/>
      <c r="Z40" s="2"/>
      <c r="AA40" s="2"/>
      <c r="AB40" s="2"/>
      <c r="AC40" s="2"/>
      <c r="AD40" s="2"/>
      <c r="AE40" s="2"/>
      <c r="AF40" s="2"/>
    </row>
    <row r="41" ht="15.75" customHeight="1">
      <c r="A41" s="2"/>
      <c r="B41" s="2"/>
      <c r="C41" s="2"/>
      <c r="D41" s="2"/>
      <c r="E41" s="14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3">
        <f>IFERROR(__xludf.DUMMYFUNCTION("""COMPUTED_VALUE"""),100.0)</f>
        <v>100</v>
      </c>
      <c r="G41" s="14" t="str">
        <f>IFERROR(__xludf.DUMMYFUNCTION("""COMPUTED_VALUE"""),"")</f>
        <v/>
      </c>
      <c r="H41" s="13">
        <f>IFERROR(__xludf.DUMMYFUNCTION("""COMPUTED_VALUE"""),1.0)</f>
        <v>1</v>
      </c>
      <c r="I41" s="14" t="str">
        <f>IFERROR(__xludf.DUMMYFUNCTION("""COMPUTED_VALUE"""),"")</f>
        <v/>
      </c>
      <c r="J41" s="13">
        <f>IFERROR(__xludf.DUMMYFUNCTION("""COMPUTED_VALUE"""),120.0)</f>
        <v>120</v>
      </c>
      <c r="K41" s="2"/>
      <c r="L41" s="79">
        <v>7.0</v>
      </c>
      <c r="M41" s="80">
        <v>100.0</v>
      </c>
      <c r="N41" s="81">
        <v>0.0</v>
      </c>
      <c r="O41" s="81">
        <v>0.0</v>
      </c>
      <c r="P41" s="81">
        <v>0.0</v>
      </c>
      <c r="Q41" s="81">
        <v>0.0</v>
      </c>
      <c r="R41" s="81">
        <v>0.0</v>
      </c>
      <c r="S41" s="81">
        <v>0.0</v>
      </c>
      <c r="T41" s="80">
        <v>1.0</v>
      </c>
      <c r="U41" s="80">
        <v>120.0</v>
      </c>
      <c r="V41" s="81">
        <v>0.0</v>
      </c>
      <c r="W41" s="81">
        <v>0.0</v>
      </c>
      <c r="X41" s="81">
        <v>0.0</v>
      </c>
      <c r="Y41" s="2"/>
      <c r="Z41" s="2"/>
      <c r="AA41" s="2"/>
      <c r="AB41" s="2"/>
      <c r="AC41" s="2"/>
      <c r="AD41" s="2"/>
      <c r="AE41" s="2"/>
      <c r="AF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2"/>
      <c r="Z42" s="2"/>
      <c r="AA42" s="2"/>
      <c r="AB42" s="2"/>
      <c r="AC42" s="2"/>
      <c r="AD42" s="2"/>
      <c r="AE42" s="2"/>
      <c r="AF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71" t="s">
        <v>68</v>
      </c>
      <c r="M43" s="71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2"/>
      <c r="Z43" s="2"/>
      <c r="AA43" s="2"/>
      <c r="AB43" s="2"/>
      <c r="AC43" s="2"/>
      <c r="AD43" s="2"/>
      <c r="AE43" s="2"/>
      <c r="AF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75" t="s">
        <v>61</v>
      </c>
      <c r="M44" s="76" t="s">
        <v>63</v>
      </c>
      <c r="N44" s="76" t="s">
        <v>5</v>
      </c>
      <c r="O44" s="76" t="s">
        <v>6</v>
      </c>
      <c r="P44" s="76" t="s">
        <v>7</v>
      </c>
      <c r="Q44" s="76" t="s">
        <v>8</v>
      </c>
      <c r="R44" s="76" t="s">
        <v>9</v>
      </c>
      <c r="S44" s="76" t="s">
        <v>10</v>
      </c>
      <c r="T44" s="76" t="s">
        <v>11</v>
      </c>
      <c r="U44" s="76" t="s">
        <v>12</v>
      </c>
      <c r="V44" s="76" t="s">
        <v>13</v>
      </c>
      <c r="W44" s="76" t="s">
        <v>14</v>
      </c>
      <c r="X44" s="76" t="s">
        <v>15</v>
      </c>
      <c r="Y44" s="2"/>
      <c r="Z44" s="2"/>
      <c r="AA44" s="2"/>
      <c r="AB44" s="2"/>
      <c r="AC44" s="2"/>
      <c r="AD44" s="2"/>
      <c r="AE44" s="2"/>
      <c r="AF44" s="2"/>
    </row>
    <row r="45" ht="15.75" customHeight="1">
      <c r="A45" s="2"/>
      <c r="B45" s="2"/>
      <c r="C45" s="2"/>
      <c r="D45" s="2"/>
      <c r="E45" s="14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3">
        <f>IFERROR(__xludf.DUMMYFUNCTION("""COMPUTED_VALUE"""),20.0)</f>
        <v>20</v>
      </c>
      <c r="G45" s="14"/>
      <c r="H45" s="13"/>
      <c r="I45" s="14"/>
      <c r="J45" s="13"/>
      <c r="K45" s="2"/>
      <c r="L45" s="79">
        <v>1.0</v>
      </c>
      <c r="M45" s="80">
        <v>20.0</v>
      </c>
      <c r="N45" s="81">
        <v>0.0</v>
      </c>
      <c r="O45" s="81">
        <v>0.0</v>
      </c>
      <c r="P45" s="81">
        <v>0.0</v>
      </c>
      <c r="Q45" s="81">
        <v>0.0</v>
      </c>
      <c r="R45" s="81">
        <v>0.0</v>
      </c>
      <c r="S45" s="81">
        <v>0.0</v>
      </c>
      <c r="T45" s="81">
        <v>0.0</v>
      </c>
      <c r="U45" s="81">
        <v>0.0</v>
      </c>
      <c r="V45" s="81">
        <v>0.0</v>
      </c>
      <c r="W45" s="81">
        <v>0.0</v>
      </c>
      <c r="X45" s="81">
        <v>0.0</v>
      </c>
      <c r="Y45" s="2"/>
      <c r="Z45" s="2"/>
      <c r="AA45" s="2"/>
      <c r="AB45" s="2"/>
      <c r="AC45" s="2"/>
      <c r="AD45" s="2"/>
      <c r="AE45" s="2"/>
      <c r="AF45" s="2"/>
    </row>
    <row r="46" ht="15.75" customHeight="1">
      <c r="A46" s="2"/>
      <c r="B46" s="2"/>
      <c r="C46" s="2"/>
      <c r="D46" s="2"/>
      <c r="E46" s="14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3">
        <f>IFERROR(__xludf.DUMMYFUNCTION("""COMPUTED_VALUE"""),15.0)</f>
        <v>15</v>
      </c>
      <c r="G46" s="14"/>
      <c r="H46" s="13"/>
      <c r="I46" s="14"/>
      <c r="J46" s="13"/>
      <c r="K46" s="2"/>
      <c r="L46" s="79">
        <v>2.0</v>
      </c>
      <c r="M46" s="81">
        <v>0.0</v>
      </c>
      <c r="N46" s="81">
        <v>0.0</v>
      </c>
      <c r="O46" s="81">
        <v>0.0</v>
      </c>
      <c r="P46" s="81">
        <v>0.0</v>
      </c>
      <c r="Q46" s="81">
        <v>0.0</v>
      </c>
      <c r="R46" s="81">
        <v>0.0</v>
      </c>
      <c r="S46" s="81">
        <v>0.0</v>
      </c>
      <c r="T46" s="81">
        <v>0.0</v>
      </c>
      <c r="U46" s="80">
        <v>15.0</v>
      </c>
      <c r="V46" s="81">
        <v>0.0</v>
      </c>
      <c r="W46" s="81">
        <v>0.0</v>
      </c>
      <c r="X46" s="81">
        <v>0.0</v>
      </c>
      <c r="Y46" s="2"/>
      <c r="Z46" s="2"/>
      <c r="AA46" s="2"/>
      <c r="AB46" s="2"/>
      <c r="AC46" s="2"/>
      <c r="AD46" s="2"/>
      <c r="AE46" s="2"/>
      <c r="AF46" s="2"/>
    </row>
    <row r="47" ht="15.75" customHeight="1">
      <c r="A47" s="2"/>
      <c r="B47" s="2"/>
      <c r="C47" s="2"/>
      <c r="D47" s="2"/>
      <c r="E47" s="14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3">
        <f>IFERROR(__xludf.DUMMYFUNCTION("""COMPUTED_VALUE"""),1.0)</f>
        <v>1</v>
      </c>
      <c r="G47" s="14"/>
      <c r="H47" s="13"/>
      <c r="I47" s="14"/>
      <c r="J47" s="13"/>
      <c r="K47" s="2"/>
      <c r="L47" s="79">
        <v>3.0</v>
      </c>
      <c r="M47" s="81">
        <v>0.0</v>
      </c>
      <c r="N47" s="81">
        <v>0.0</v>
      </c>
      <c r="O47" s="81">
        <v>0.0</v>
      </c>
      <c r="P47" s="81">
        <v>0.0</v>
      </c>
      <c r="Q47" s="81">
        <v>0.0</v>
      </c>
      <c r="R47" s="80">
        <v>1.0</v>
      </c>
      <c r="S47" s="81">
        <v>0.0</v>
      </c>
      <c r="T47" s="81">
        <v>0.0</v>
      </c>
      <c r="U47" s="81">
        <v>0.0</v>
      </c>
      <c r="V47" s="81">
        <v>0.0</v>
      </c>
      <c r="W47" s="81">
        <v>0.0</v>
      </c>
      <c r="X47" s="81">
        <v>0.0</v>
      </c>
      <c r="Y47" s="2"/>
      <c r="Z47" s="2"/>
      <c r="AA47" s="2"/>
      <c r="AB47" s="2"/>
      <c r="AC47" s="2"/>
      <c r="AD47" s="2"/>
      <c r="AE47" s="2"/>
      <c r="AF47" s="2"/>
    </row>
    <row r="48" ht="15.75" customHeight="1">
      <c r="A48" s="2"/>
      <c r="B48" s="2"/>
      <c r="C48" s="2"/>
      <c r="D48" s="2"/>
      <c r="E48" s="14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3">
        <f>IFERROR(__xludf.DUMMYFUNCTION("""COMPUTED_VALUE"""),1.0)</f>
        <v>1</v>
      </c>
      <c r="G48" s="14"/>
      <c r="H48" s="13"/>
      <c r="I48" s="14"/>
      <c r="J48" s="13"/>
      <c r="K48" s="2"/>
      <c r="L48" s="79">
        <v>4.0</v>
      </c>
      <c r="M48" s="81">
        <v>0.0</v>
      </c>
      <c r="N48" s="81">
        <v>0.0</v>
      </c>
      <c r="O48" s="81">
        <v>0.0</v>
      </c>
      <c r="P48" s="81">
        <v>0.0</v>
      </c>
      <c r="Q48" s="81">
        <v>0.0</v>
      </c>
      <c r="R48" s="81">
        <v>0.0</v>
      </c>
      <c r="S48" s="80">
        <v>1.0</v>
      </c>
      <c r="T48" s="81">
        <v>0.0</v>
      </c>
      <c r="U48" s="81">
        <v>0.0</v>
      </c>
      <c r="V48" s="81">
        <v>0.0</v>
      </c>
      <c r="W48" s="81">
        <v>0.0</v>
      </c>
      <c r="X48" s="81">
        <v>0.0</v>
      </c>
      <c r="Y48" s="2"/>
      <c r="Z48" s="2"/>
      <c r="AA48" s="2"/>
      <c r="AB48" s="2"/>
      <c r="AC48" s="2"/>
      <c r="AD48" s="2"/>
      <c r="AE48" s="2"/>
      <c r="AF48" s="2"/>
    </row>
    <row r="49" ht="15.75" customHeight="1">
      <c r="A49" s="2"/>
      <c r="B49" s="2"/>
      <c r="C49" s="2"/>
      <c r="D49" s="2"/>
      <c r="E49" s="14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3">
        <f>IFERROR(__xludf.DUMMYFUNCTION("""COMPUTED_VALUE"""),60.0)</f>
        <v>60</v>
      </c>
      <c r="G49" s="14"/>
      <c r="H49" s="13"/>
      <c r="I49" s="14"/>
      <c r="J49" s="13"/>
      <c r="K49" s="2"/>
      <c r="L49" s="79">
        <v>5.0</v>
      </c>
      <c r="M49" s="81">
        <v>0.0</v>
      </c>
      <c r="N49" s="81">
        <v>0.0</v>
      </c>
      <c r="O49" s="81">
        <v>0.0</v>
      </c>
      <c r="P49" s="81">
        <v>0.0</v>
      </c>
      <c r="Q49" s="81">
        <v>0.0</v>
      </c>
      <c r="R49" s="81">
        <v>0.0</v>
      </c>
      <c r="S49" s="81">
        <v>0.0</v>
      </c>
      <c r="T49" s="81">
        <v>0.0</v>
      </c>
      <c r="U49" s="80">
        <v>60.0</v>
      </c>
      <c r="V49" s="81">
        <v>0.0</v>
      </c>
      <c r="W49" s="81">
        <v>0.0</v>
      </c>
      <c r="X49" s="81">
        <v>0.0</v>
      </c>
      <c r="Y49" s="2"/>
      <c r="Z49" s="2"/>
      <c r="AA49" s="2"/>
      <c r="AB49" s="2"/>
      <c r="AC49" s="2"/>
      <c r="AD49" s="2"/>
      <c r="AE49" s="2"/>
      <c r="AF49" s="2"/>
    </row>
    <row r="50" ht="15.75" customHeight="1">
      <c r="A50" s="2"/>
      <c r="B50" s="2"/>
      <c r="C50" s="2"/>
      <c r="D50" s="2"/>
      <c r="E50" s="14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3">
        <f>IFERROR(__xludf.DUMMYFUNCTION("""COMPUTED_VALUE"""),35.0)</f>
        <v>35</v>
      </c>
      <c r="G50" s="14"/>
      <c r="H50" s="13"/>
      <c r="I50" s="14"/>
      <c r="J50" s="13"/>
      <c r="K50" s="2"/>
      <c r="L50" s="79">
        <v>6.0</v>
      </c>
      <c r="M50" s="80">
        <v>35.0</v>
      </c>
      <c r="N50" s="81">
        <v>0.0</v>
      </c>
      <c r="O50" s="81">
        <v>0.0</v>
      </c>
      <c r="P50" s="81">
        <v>0.0</v>
      </c>
      <c r="Q50" s="81">
        <v>0.0</v>
      </c>
      <c r="R50" s="81">
        <v>0.0</v>
      </c>
      <c r="S50" s="81">
        <v>0.0</v>
      </c>
      <c r="T50" s="81">
        <v>0.0</v>
      </c>
      <c r="U50" s="81">
        <v>0.0</v>
      </c>
      <c r="V50" s="81">
        <v>0.0</v>
      </c>
      <c r="W50" s="81">
        <v>0.0</v>
      </c>
      <c r="X50" s="81">
        <v>0.0</v>
      </c>
      <c r="Y50" s="2"/>
      <c r="Z50" s="2"/>
      <c r="AA50" s="2"/>
      <c r="AB50" s="2"/>
      <c r="AC50" s="2"/>
      <c r="AD50" s="2"/>
      <c r="AE50" s="2"/>
      <c r="AF50" s="2"/>
    </row>
    <row r="51" ht="15.75" customHeight="1">
      <c r="A51" s="2"/>
      <c r="B51" s="2"/>
      <c r="C51" s="2"/>
      <c r="D51" s="2"/>
      <c r="E51" s="14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3">
        <f>IFERROR(__xludf.DUMMYFUNCTION("""COMPUTED_VALUE"""),100.0)</f>
        <v>100</v>
      </c>
      <c r="G51" s="14" t="str">
        <f>IFERROR(__xludf.DUMMYFUNCTION("""COMPUTED_VALUE"""),"")</f>
        <v/>
      </c>
      <c r="H51" s="13">
        <f>IFERROR(__xludf.DUMMYFUNCTION("""COMPUTED_VALUE"""),1.0)</f>
        <v>1</v>
      </c>
      <c r="I51" s="14" t="str">
        <f>IFERROR(__xludf.DUMMYFUNCTION("""COMPUTED_VALUE"""),"")</f>
        <v/>
      </c>
      <c r="J51" s="13">
        <f>IFERROR(__xludf.DUMMYFUNCTION("""COMPUTED_VALUE"""),120.0)</f>
        <v>120</v>
      </c>
      <c r="K51" s="2"/>
      <c r="L51" s="79">
        <v>7.0</v>
      </c>
      <c r="M51" s="80">
        <v>100.0</v>
      </c>
      <c r="N51" s="81">
        <v>0.0</v>
      </c>
      <c r="O51" s="81">
        <v>0.0</v>
      </c>
      <c r="P51" s="81">
        <v>0.0</v>
      </c>
      <c r="Q51" s="81">
        <v>0.0</v>
      </c>
      <c r="R51" s="80">
        <v>1.0</v>
      </c>
      <c r="S51" s="81">
        <v>0.0</v>
      </c>
      <c r="T51" s="81">
        <v>0.0</v>
      </c>
      <c r="U51" s="80">
        <v>120.0</v>
      </c>
      <c r="V51" s="81">
        <v>0.0</v>
      </c>
      <c r="W51" s="81">
        <v>0.0</v>
      </c>
      <c r="X51" s="81">
        <v>0.0</v>
      </c>
      <c r="Y51" s="2"/>
      <c r="Z51" s="2"/>
      <c r="AA51" s="2"/>
      <c r="AB51" s="2"/>
      <c r="AC51" s="2"/>
      <c r="AD51" s="2"/>
      <c r="AE51" s="2"/>
      <c r="AF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">
    <mergeCell ref="E3:J3"/>
  </mergeCells>
  <conditionalFormatting sqref="M4:X51">
    <cfRule type="cellIs" dxfId="0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4" width="7.25"/>
    <col hidden="1" min="28" max="29" width="12.63"/>
  </cols>
  <sheetData>
    <row r="1" ht="17.25" customHeight="1">
      <c r="A1" s="1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40"/>
      <c r="B2" s="2"/>
      <c r="C2" s="2"/>
      <c r="D2" s="2"/>
      <c r="E2" s="2"/>
      <c r="F2" s="2"/>
      <c r="G2" s="2"/>
      <c r="H2" s="2"/>
      <c r="I2" s="2"/>
      <c r="J2" s="2"/>
      <c r="K2" s="2"/>
      <c r="L2" s="22" t="s">
        <v>56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15.0" customHeight="1">
      <c r="A3" s="3" t="s">
        <v>61</v>
      </c>
      <c r="B3" s="3" t="s">
        <v>3</v>
      </c>
      <c r="C3" s="2"/>
      <c r="D3" s="2"/>
      <c r="E3" s="70" t="s">
        <v>4</v>
      </c>
      <c r="K3" s="2"/>
      <c r="L3" s="71" t="s">
        <v>62</v>
      </c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2"/>
      <c r="Z3" s="2"/>
      <c r="AA3" s="2"/>
      <c r="AB3" s="3" t="s">
        <v>17</v>
      </c>
      <c r="AC3" s="3" t="s">
        <v>18</v>
      </c>
      <c r="AD3" s="2"/>
      <c r="AE3" s="2"/>
      <c r="AF3" s="2"/>
    </row>
    <row r="4" ht="15.0" customHeight="1">
      <c r="A4" s="9">
        <v>1.0</v>
      </c>
      <c r="B4" s="85">
        <f>average(M5,M16,M26,M35,M45)</f>
        <v>12</v>
      </c>
      <c r="C4" s="2"/>
      <c r="D4" s="2"/>
      <c r="G4" s="14"/>
      <c r="H4" s="13"/>
      <c r="I4" s="14"/>
      <c r="J4" s="13"/>
      <c r="K4" s="2"/>
      <c r="L4" s="75" t="s">
        <v>61</v>
      </c>
      <c r="M4" s="76" t="s">
        <v>63</v>
      </c>
      <c r="N4" s="76" t="s">
        <v>5</v>
      </c>
      <c r="O4" s="76" t="s">
        <v>6</v>
      </c>
      <c r="P4" s="76" t="s">
        <v>7</v>
      </c>
      <c r="Q4" s="76" t="s">
        <v>8</v>
      </c>
      <c r="R4" s="76" t="s">
        <v>9</v>
      </c>
      <c r="S4" s="76" t="s">
        <v>10</v>
      </c>
      <c r="T4" s="76" t="s">
        <v>11</v>
      </c>
      <c r="U4" s="76" t="s">
        <v>12</v>
      </c>
      <c r="V4" s="76" t="s">
        <v>13</v>
      </c>
      <c r="W4" s="76" t="s">
        <v>14</v>
      </c>
      <c r="X4" s="76" t="s">
        <v>15</v>
      </c>
      <c r="Y4" s="2"/>
      <c r="Z4" s="2"/>
      <c r="AA4" s="2"/>
      <c r="AB4" s="22" t="s">
        <v>19</v>
      </c>
      <c r="AC4" s="22"/>
      <c r="AD4" s="2"/>
      <c r="AE4" s="2"/>
      <c r="AF4" s="2"/>
    </row>
    <row r="5" ht="15.0" customHeight="1">
      <c r="A5" s="23">
        <v>2.0</v>
      </c>
      <c r="B5" s="86">
        <v>0.0</v>
      </c>
      <c r="C5" s="2"/>
      <c r="D5" s="2"/>
      <c r="E5" s="14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3">
        <f>IFERROR(__xludf.DUMMYFUNCTION("""COMPUTED_VALUE"""),10.0)</f>
        <v>10</v>
      </c>
      <c r="G5" s="14"/>
      <c r="H5" s="13"/>
      <c r="I5" s="14"/>
      <c r="J5" s="13"/>
      <c r="K5" s="2"/>
      <c r="L5" s="79">
        <v>1.0</v>
      </c>
      <c r="M5" s="87">
        <v>10.0</v>
      </c>
      <c r="N5" s="81">
        <v>0.0</v>
      </c>
      <c r="O5" s="81">
        <v>0.0</v>
      </c>
      <c r="P5" s="81">
        <v>0.0</v>
      </c>
      <c r="Q5" s="81">
        <v>0.0</v>
      </c>
      <c r="R5" s="81">
        <v>0.0</v>
      </c>
      <c r="S5" s="81">
        <v>0.0</v>
      </c>
      <c r="T5" s="81">
        <v>0.0</v>
      </c>
      <c r="U5" s="81">
        <v>0.0</v>
      </c>
      <c r="V5" s="81">
        <v>0.0</v>
      </c>
      <c r="W5" s="81">
        <v>0.0</v>
      </c>
      <c r="X5" s="81">
        <v>0.0</v>
      </c>
      <c r="Y5" s="2"/>
      <c r="Z5" s="2"/>
      <c r="AA5" s="2"/>
      <c r="AB5" s="2" t="s">
        <v>5</v>
      </c>
      <c r="AC5" s="2"/>
      <c r="AD5" s="2"/>
      <c r="AE5" s="2"/>
      <c r="AF5" s="2"/>
    </row>
    <row r="6" ht="15.0" customHeight="1">
      <c r="A6" s="23">
        <v>3.0</v>
      </c>
      <c r="B6" s="86">
        <v>0.0</v>
      </c>
      <c r="C6" s="2"/>
      <c r="D6" s="2"/>
      <c r="E6" s="14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3">
        <f>IFERROR(__xludf.DUMMYFUNCTION("""COMPUTED_VALUE"""),15.0)</f>
        <v>15</v>
      </c>
      <c r="G6" s="14"/>
      <c r="H6" s="13"/>
      <c r="I6" s="14"/>
      <c r="J6" s="13"/>
      <c r="K6" s="2"/>
      <c r="L6" s="79">
        <v>2.0</v>
      </c>
      <c r="M6" s="81">
        <v>0.0</v>
      </c>
      <c r="N6" s="81">
        <v>0.0</v>
      </c>
      <c r="O6" s="81">
        <v>0.0</v>
      </c>
      <c r="P6" s="81">
        <v>0.0</v>
      </c>
      <c r="Q6" s="81">
        <v>0.0</v>
      </c>
      <c r="R6" s="81">
        <v>0.0</v>
      </c>
      <c r="S6" s="81">
        <v>0.0</v>
      </c>
      <c r="T6" s="81">
        <v>0.0</v>
      </c>
      <c r="U6" s="80">
        <v>15.0</v>
      </c>
      <c r="V6" s="81">
        <v>0.0</v>
      </c>
      <c r="W6" s="81">
        <v>0.0</v>
      </c>
      <c r="X6" s="81">
        <v>0.0</v>
      </c>
      <c r="Y6" s="2"/>
      <c r="Z6" s="2"/>
      <c r="AA6" s="2"/>
      <c r="AB6" s="2" t="s">
        <v>6</v>
      </c>
      <c r="AC6" s="22"/>
      <c r="AD6" s="2"/>
      <c r="AE6" s="2"/>
      <c r="AF6" s="2"/>
    </row>
    <row r="7" ht="15.0" customHeight="1">
      <c r="A7" s="23">
        <v>4.0</v>
      </c>
      <c r="B7" s="88">
        <f>mround(average(M8,M18,M28), 1)</f>
        <v>17</v>
      </c>
      <c r="C7" s="2"/>
      <c r="D7" s="2"/>
      <c r="E7" s="14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3">
        <f>IFERROR(__xludf.DUMMYFUNCTION("""COMPUTED_VALUE"""),1.0)</f>
        <v>1</v>
      </c>
      <c r="G7" s="14"/>
      <c r="H7" s="13"/>
      <c r="I7" s="14"/>
      <c r="J7" s="13"/>
      <c r="K7" s="2"/>
      <c r="L7" s="79">
        <v>3.0</v>
      </c>
      <c r="M7" s="81">
        <v>0.0</v>
      </c>
      <c r="N7" s="81">
        <v>0.0</v>
      </c>
      <c r="O7" s="81">
        <v>0.0</v>
      </c>
      <c r="P7" s="81">
        <v>0.0</v>
      </c>
      <c r="Q7" s="81">
        <v>0.0</v>
      </c>
      <c r="R7" s="80">
        <v>1.0</v>
      </c>
      <c r="S7" s="81">
        <v>0.0</v>
      </c>
      <c r="T7" s="81">
        <v>0.0</v>
      </c>
      <c r="U7" s="81">
        <v>0.0</v>
      </c>
      <c r="V7" s="81">
        <v>0.0</v>
      </c>
      <c r="W7" s="81">
        <v>0.0</v>
      </c>
      <c r="X7" s="81">
        <v>0.0</v>
      </c>
      <c r="Y7" s="2"/>
      <c r="Z7" s="2"/>
      <c r="AA7" s="2"/>
      <c r="AB7" s="2" t="s">
        <v>7</v>
      </c>
      <c r="AC7" s="22"/>
      <c r="AD7" s="2"/>
      <c r="AE7" s="2"/>
      <c r="AF7" s="2"/>
    </row>
    <row r="8" ht="15.0" customHeight="1">
      <c r="A8" s="23">
        <v>5.0</v>
      </c>
      <c r="B8" s="86">
        <v>0.0</v>
      </c>
      <c r="C8" s="2"/>
      <c r="D8" s="2"/>
      <c r="E8" s="14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3">
        <f>IFERROR(__xludf.DUMMYFUNCTION("""COMPUTED_VALUE"""),15.0)</f>
        <v>15</v>
      </c>
      <c r="G8" s="14"/>
      <c r="H8" s="13"/>
      <c r="I8" s="14"/>
      <c r="J8" s="13"/>
      <c r="K8" s="2"/>
      <c r="L8" s="79">
        <v>4.0</v>
      </c>
      <c r="M8" s="87">
        <v>15.0</v>
      </c>
      <c r="N8" s="81">
        <v>0.0</v>
      </c>
      <c r="O8" s="81">
        <v>0.0</v>
      </c>
      <c r="P8" s="81">
        <v>0.0</v>
      </c>
      <c r="Q8" s="81">
        <v>0.0</v>
      </c>
      <c r="R8" s="81">
        <v>0.0</v>
      </c>
      <c r="S8" s="81">
        <v>0.0</v>
      </c>
      <c r="T8" s="81">
        <v>0.0</v>
      </c>
      <c r="U8" s="81">
        <v>0.0</v>
      </c>
      <c r="V8" s="81">
        <v>0.0</v>
      </c>
      <c r="W8" s="81">
        <v>0.0</v>
      </c>
      <c r="X8" s="81">
        <v>0.0</v>
      </c>
      <c r="Y8" s="2"/>
      <c r="Z8" s="2"/>
      <c r="AA8" s="2"/>
      <c r="AB8" s="2" t="s">
        <v>8</v>
      </c>
      <c r="AC8" s="22"/>
      <c r="AD8" s="2"/>
      <c r="AE8" s="2"/>
      <c r="AF8" s="2"/>
    </row>
    <row r="9" ht="15.0" customHeight="1">
      <c r="A9" s="23">
        <v>6.0</v>
      </c>
      <c r="B9" s="88">
        <f>mround(AVERAGE(M10, M20, M30, M50),1)</f>
        <v>23</v>
      </c>
      <c r="C9" s="2"/>
      <c r="D9" s="2"/>
      <c r="E9" s="14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3">
        <f>IFERROR(__xludf.DUMMYFUNCTION("""COMPUTED_VALUE"""),1.0)</f>
        <v>1</v>
      </c>
      <c r="G9" s="14"/>
      <c r="H9" s="13"/>
      <c r="I9" s="14"/>
      <c r="J9" s="13"/>
      <c r="K9" s="2"/>
      <c r="L9" s="79">
        <v>5.0</v>
      </c>
      <c r="M9" s="81">
        <v>0.0</v>
      </c>
      <c r="N9" s="81">
        <v>0.0</v>
      </c>
      <c r="O9" s="81">
        <v>0.0</v>
      </c>
      <c r="P9" s="81">
        <v>0.0</v>
      </c>
      <c r="Q9" s="81">
        <v>0.0</v>
      </c>
      <c r="R9" s="81">
        <v>0.0</v>
      </c>
      <c r="S9" s="80">
        <v>1.0</v>
      </c>
      <c r="T9" s="81">
        <v>0.0</v>
      </c>
      <c r="U9" s="81">
        <v>0.0</v>
      </c>
      <c r="V9" s="81">
        <v>0.0</v>
      </c>
      <c r="W9" s="81">
        <v>0.0</v>
      </c>
      <c r="X9" s="81">
        <v>0.0</v>
      </c>
      <c r="Y9" s="2"/>
      <c r="Z9" s="2"/>
      <c r="AA9" s="2"/>
      <c r="AB9" s="2" t="s">
        <v>9</v>
      </c>
      <c r="AC9" s="22"/>
      <c r="AD9" s="2"/>
      <c r="AE9" s="2"/>
      <c r="AF9" s="2"/>
    </row>
    <row r="10" ht="15.0" customHeight="1">
      <c r="A10" s="28">
        <v>7.0</v>
      </c>
      <c r="B10" s="89">
        <v>100.0</v>
      </c>
      <c r="C10" s="2"/>
      <c r="D10" s="2"/>
      <c r="E10" s="14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3">
        <f>IFERROR(__xludf.DUMMYFUNCTION("""COMPUTED_VALUE"""),20.0)</f>
        <v>20</v>
      </c>
      <c r="G10" s="14"/>
      <c r="H10" s="13"/>
      <c r="I10" s="14"/>
      <c r="J10" s="13"/>
      <c r="K10" s="2"/>
      <c r="L10" s="79">
        <v>6.0</v>
      </c>
      <c r="M10" s="87">
        <v>20.0</v>
      </c>
      <c r="N10" s="81">
        <v>0.0</v>
      </c>
      <c r="O10" s="81">
        <v>0.0</v>
      </c>
      <c r="P10" s="81">
        <v>0.0</v>
      </c>
      <c r="Q10" s="81">
        <v>0.0</v>
      </c>
      <c r="R10" s="81">
        <v>0.0</v>
      </c>
      <c r="S10" s="81">
        <v>0.0</v>
      </c>
      <c r="T10" s="81">
        <v>0.0</v>
      </c>
      <c r="U10" s="81">
        <v>0.0</v>
      </c>
      <c r="V10" s="81">
        <v>0.0</v>
      </c>
      <c r="W10" s="81">
        <v>0.0</v>
      </c>
      <c r="X10" s="81">
        <v>0.0</v>
      </c>
      <c r="Y10" s="2"/>
      <c r="Z10" s="2"/>
      <c r="AA10" s="2"/>
      <c r="AB10" s="2" t="s">
        <v>10</v>
      </c>
      <c r="AC10" s="22"/>
      <c r="AD10" s="2"/>
      <c r="AE10" s="2"/>
      <c r="AF10" s="2"/>
    </row>
    <row r="11">
      <c r="A11" s="2"/>
      <c r="B11" s="2"/>
      <c r="C11" s="2"/>
      <c r="D11" s="2"/>
      <c r="E11" s="14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3">
        <f>IFERROR(__xludf.DUMMYFUNCTION("""COMPUTED_VALUE"""),100.0)</f>
        <v>100</v>
      </c>
      <c r="G11" s="14" t="str">
        <f>IFERROR(__xludf.DUMMYFUNCTION("""COMPUTED_VALUE"""),"")</f>
        <v/>
      </c>
      <c r="H11" s="13">
        <f>IFERROR(__xludf.DUMMYFUNCTION("""COMPUTED_VALUE"""),120.0)</f>
        <v>120</v>
      </c>
      <c r="I11" s="14" t="str">
        <f>IFERROR(__xludf.DUMMYFUNCTION("""COMPUTED_VALUE"""),"")</f>
        <v/>
      </c>
      <c r="J11" s="13">
        <f>IFERROR(__xludf.DUMMYFUNCTION("""COMPUTED_VALUE"""),60.0)</f>
        <v>60</v>
      </c>
      <c r="K11" s="2"/>
      <c r="L11" s="79">
        <v>7.0</v>
      </c>
      <c r="M11" s="80">
        <v>100.0</v>
      </c>
      <c r="N11" s="81">
        <v>0.0</v>
      </c>
      <c r="O11" s="81">
        <v>0.0</v>
      </c>
      <c r="P11" s="81">
        <v>0.0</v>
      </c>
      <c r="Q11" s="81">
        <v>0.0</v>
      </c>
      <c r="R11" s="81">
        <v>0.0</v>
      </c>
      <c r="S11" s="81">
        <v>0.0</v>
      </c>
      <c r="T11" s="81">
        <v>0.0</v>
      </c>
      <c r="U11" s="80">
        <v>120.0</v>
      </c>
      <c r="V11" s="80">
        <v>60.0</v>
      </c>
      <c r="W11" s="81">
        <v>0.0</v>
      </c>
      <c r="X11" s="81">
        <v>0.0</v>
      </c>
      <c r="Y11" s="2"/>
      <c r="Z11" s="2"/>
      <c r="AA11" s="2"/>
      <c r="AB11" s="2" t="s">
        <v>11</v>
      </c>
      <c r="AC11" s="22"/>
      <c r="AD11" s="2"/>
      <c r="AE11" s="2"/>
      <c r="AF11" s="2"/>
    </row>
    <row r="12" ht="15.0" customHeight="1">
      <c r="A12" s="34" t="s">
        <v>20</v>
      </c>
      <c r="B12" s="35">
        <f>SUM(B4:B10)</f>
        <v>152</v>
      </c>
      <c r="C12" s="2"/>
      <c r="D12" s="2"/>
      <c r="E12" s="14"/>
      <c r="F12" s="13"/>
      <c r="G12" s="14"/>
      <c r="H12" s="13"/>
      <c r="I12" s="14"/>
      <c r="J12" s="13"/>
      <c r="K12" s="2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2"/>
      <c r="Z12" s="2"/>
      <c r="AA12" s="2"/>
      <c r="AB12" s="2" t="s">
        <v>12</v>
      </c>
      <c r="AC12" s="22"/>
      <c r="AD12" s="2"/>
      <c r="AE12" s="2"/>
      <c r="AF12" s="2"/>
    </row>
    <row r="13" ht="15.0" customHeight="1">
      <c r="A13" s="34" t="s">
        <v>64</v>
      </c>
      <c r="B13" s="36">
        <f>B12/7</f>
        <v>21.71428571</v>
      </c>
      <c r="C13" s="2"/>
      <c r="D13" s="2"/>
      <c r="E13" s="14"/>
      <c r="F13" s="13"/>
      <c r="G13" s="14"/>
      <c r="H13" s="13"/>
      <c r="I13" s="14"/>
      <c r="J13" s="13"/>
      <c r="K13" s="2"/>
      <c r="L13" s="71" t="s">
        <v>65</v>
      </c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2"/>
      <c r="Z13" s="2"/>
      <c r="AA13" s="2"/>
      <c r="AB13" s="2" t="s">
        <v>13</v>
      </c>
      <c r="AC13" s="22"/>
      <c r="AD13" s="2"/>
      <c r="AE13" s="2"/>
      <c r="AF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75" t="s">
        <v>61</v>
      </c>
      <c r="M14" s="76" t="s">
        <v>63</v>
      </c>
      <c r="N14" s="76" t="s">
        <v>5</v>
      </c>
      <c r="O14" s="76" t="s">
        <v>6</v>
      </c>
      <c r="P14" s="76" t="s">
        <v>7</v>
      </c>
      <c r="Q14" s="76" t="s">
        <v>8</v>
      </c>
      <c r="R14" s="76" t="s">
        <v>9</v>
      </c>
      <c r="S14" s="76" t="s">
        <v>10</v>
      </c>
      <c r="T14" s="76" t="s">
        <v>11</v>
      </c>
      <c r="U14" s="76" t="s">
        <v>12</v>
      </c>
      <c r="V14" s="76" t="s">
        <v>13</v>
      </c>
      <c r="W14" s="76" t="s">
        <v>14</v>
      </c>
      <c r="X14" s="76" t="s">
        <v>15</v>
      </c>
      <c r="Y14" s="2"/>
      <c r="Z14" s="2"/>
      <c r="AA14" s="2"/>
      <c r="AB14" s="2" t="s">
        <v>14</v>
      </c>
      <c r="AC14" s="22"/>
      <c r="AD14" s="2"/>
      <c r="AE14" s="2"/>
      <c r="AF14" s="2"/>
    </row>
    <row r="15" ht="15.0" customHeight="1">
      <c r="A15" s="34" t="s">
        <v>70</v>
      </c>
      <c r="B15" s="90">
        <f>B12/c_day!B12</f>
        <v>0.8351648352</v>
      </c>
      <c r="C15" s="2"/>
      <c r="D15" s="2"/>
      <c r="E15" s="14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3">
        <f>IFERROR(__xludf.DUMMYFUNCTION("""COMPUTED_VALUE"""),20.0)</f>
        <v>20</v>
      </c>
      <c r="G15" s="14"/>
      <c r="H15" s="13"/>
      <c r="I15" s="14"/>
      <c r="J15" s="13"/>
      <c r="K15" s="2"/>
      <c r="L15" s="79">
        <v>1.0</v>
      </c>
      <c r="M15" s="81">
        <v>0.0</v>
      </c>
      <c r="N15" s="81">
        <v>0.0</v>
      </c>
      <c r="O15" s="81">
        <v>0.0</v>
      </c>
      <c r="P15" s="81">
        <v>0.0</v>
      </c>
      <c r="Q15" s="81">
        <v>0.0</v>
      </c>
      <c r="R15" s="81">
        <v>0.0</v>
      </c>
      <c r="S15" s="81">
        <v>0.0</v>
      </c>
      <c r="T15" s="81">
        <v>0.0</v>
      </c>
      <c r="U15" s="80">
        <v>20.0</v>
      </c>
      <c r="V15" s="81">
        <v>0.0</v>
      </c>
      <c r="W15" s="81">
        <v>0.0</v>
      </c>
      <c r="X15" s="81">
        <v>0.0</v>
      </c>
      <c r="Y15" s="2"/>
      <c r="Z15" s="2"/>
      <c r="AA15" s="2"/>
      <c r="AB15" s="2" t="s">
        <v>15</v>
      </c>
      <c r="AC15" s="22"/>
      <c r="AD15" s="2"/>
      <c r="AE15" s="2"/>
      <c r="AF15" s="2"/>
    </row>
    <row r="16">
      <c r="A16" s="2"/>
      <c r="B16" s="2"/>
      <c r="C16" s="2"/>
      <c r="D16" s="2"/>
      <c r="E16" s="14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3">
        <f>IFERROR(__xludf.DUMMYFUNCTION("""COMPUTED_VALUE"""),15.0)</f>
        <v>15</v>
      </c>
      <c r="G16" s="14"/>
      <c r="H16" s="13"/>
      <c r="I16" s="14"/>
      <c r="J16" s="13"/>
      <c r="K16" s="2"/>
      <c r="L16" s="79">
        <v>2.0</v>
      </c>
      <c r="M16" s="87">
        <v>15.0</v>
      </c>
      <c r="N16" s="81">
        <v>0.0</v>
      </c>
      <c r="O16" s="81">
        <v>0.0</v>
      </c>
      <c r="P16" s="81">
        <v>0.0</v>
      </c>
      <c r="Q16" s="81">
        <v>0.0</v>
      </c>
      <c r="R16" s="81">
        <v>0.0</v>
      </c>
      <c r="S16" s="81">
        <v>0.0</v>
      </c>
      <c r="T16" s="81">
        <v>0.0</v>
      </c>
      <c r="U16" s="81">
        <v>0.0</v>
      </c>
      <c r="V16" s="81">
        <v>0.0</v>
      </c>
      <c r="W16" s="81">
        <v>0.0</v>
      </c>
      <c r="X16" s="81">
        <v>0.0</v>
      </c>
      <c r="Y16" s="2"/>
      <c r="Z16" s="2"/>
      <c r="AA16" s="2"/>
      <c r="AB16" s="2"/>
      <c r="AC16" s="2"/>
      <c r="AD16" s="2"/>
      <c r="AE16" s="2"/>
      <c r="AF16" s="2"/>
    </row>
    <row r="17">
      <c r="A17" s="2"/>
      <c r="B17" s="2"/>
      <c r="C17" s="2"/>
      <c r="D17" s="2"/>
      <c r="E17" s="14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3">
        <f>IFERROR(__xludf.DUMMYFUNCTION("""COMPUTED_VALUE"""),1.0)</f>
        <v>1</v>
      </c>
      <c r="G17" s="14"/>
      <c r="H17" s="13"/>
      <c r="I17" s="14"/>
      <c r="J17" s="13"/>
      <c r="K17" s="2"/>
      <c r="L17" s="79">
        <v>3.0</v>
      </c>
      <c r="M17" s="81">
        <v>0.0</v>
      </c>
      <c r="N17" s="81">
        <v>0.0</v>
      </c>
      <c r="O17" s="81">
        <v>0.0</v>
      </c>
      <c r="P17" s="81">
        <v>0.0</v>
      </c>
      <c r="Q17" s="81">
        <v>0.0</v>
      </c>
      <c r="R17" s="80">
        <v>1.0</v>
      </c>
      <c r="S17" s="81">
        <v>0.0</v>
      </c>
      <c r="T17" s="81">
        <v>0.0</v>
      </c>
      <c r="U17" s="81">
        <v>0.0</v>
      </c>
      <c r="V17" s="81">
        <v>0.0</v>
      </c>
      <c r="W17" s="81">
        <v>0.0</v>
      </c>
      <c r="X17" s="81">
        <v>0.0</v>
      </c>
      <c r="Y17" s="2"/>
      <c r="Z17" s="2"/>
      <c r="AA17" s="2"/>
      <c r="AB17" s="2"/>
      <c r="AC17" s="2"/>
      <c r="AD17" s="2"/>
      <c r="AE17" s="2"/>
      <c r="AF17" s="2"/>
    </row>
    <row r="18">
      <c r="A18" s="2"/>
      <c r="B18" s="2"/>
      <c r="C18" s="2"/>
      <c r="D18" s="2"/>
      <c r="E18" s="14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3">
        <f>IFERROR(__xludf.DUMMYFUNCTION("""COMPUTED_VALUE"""),20.0)</f>
        <v>20</v>
      </c>
      <c r="G18" s="14"/>
      <c r="H18" s="13"/>
      <c r="I18" s="14"/>
      <c r="J18" s="13"/>
      <c r="K18" s="2"/>
      <c r="L18" s="79">
        <v>4.0</v>
      </c>
      <c r="M18" s="87">
        <v>20.0</v>
      </c>
      <c r="N18" s="81">
        <v>0.0</v>
      </c>
      <c r="O18" s="81">
        <v>0.0</v>
      </c>
      <c r="P18" s="81">
        <v>0.0</v>
      </c>
      <c r="Q18" s="81">
        <v>0.0</v>
      </c>
      <c r="R18" s="81">
        <v>0.0</v>
      </c>
      <c r="S18" s="81">
        <v>0.0</v>
      </c>
      <c r="T18" s="81">
        <v>0.0</v>
      </c>
      <c r="U18" s="81">
        <v>0.0</v>
      </c>
      <c r="V18" s="81">
        <v>0.0</v>
      </c>
      <c r="W18" s="81">
        <v>0.0</v>
      </c>
      <c r="X18" s="81">
        <v>0.0</v>
      </c>
      <c r="Y18" s="2"/>
      <c r="Z18" s="2"/>
      <c r="AA18" s="2"/>
      <c r="AB18" s="2"/>
      <c r="AC18" s="2"/>
      <c r="AD18" s="2"/>
      <c r="AE18" s="2"/>
      <c r="AF18" s="2"/>
    </row>
    <row r="19">
      <c r="A19" s="2"/>
      <c r="B19" s="2"/>
      <c r="C19" s="2"/>
      <c r="D19" s="2"/>
      <c r="E19" s="14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3">
        <f>IFERROR(__xludf.DUMMYFUNCTION("""COMPUTED_VALUE"""),1.0)</f>
        <v>1</v>
      </c>
      <c r="G19" s="14"/>
      <c r="H19" s="13"/>
      <c r="I19" s="14"/>
      <c r="J19" s="13"/>
      <c r="K19" s="2"/>
      <c r="L19" s="79">
        <v>5.0</v>
      </c>
      <c r="M19" s="81">
        <v>0.0</v>
      </c>
      <c r="N19" s="81">
        <v>0.0</v>
      </c>
      <c r="O19" s="81">
        <v>0.0</v>
      </c>
      <c r="P19" s="81">
        <v>0.0</v>
      </c>
      <c r="Q19" s="81">
        <v>0.0</v>
      </c>
      <c r="R19" s="81">
        <v>0.0</v>
      </c>
      <c r="S19" s="80">
        <v>1.0</v>
      </c>
      <c r="T19" s="81">
        <v>0.0</v>
      </c>
      <c r="U19" s="81">
        <v>0.0</v>
      </c>
      <c r="V19" s="81">
        <v>0.0</v>
      </c>
      <c r="W19" s="81">
        <v>0.0</v>
      </c>
      <c r="X19" s="81">
        <v>0.0</v>
      </c>
      <c r="Y19" s="2"/>
      <c r="Z19" s="2"/>
      <c r="AA19" s="2"/>
      <c r="AB19" s="2"/>
      <c r="AC19" s="2"/>
      <c r="AD19" s="2"/>
      <c r="AE19" s="2"/>
      <c r="AF19" s="2"/>
    </row>
    <row r="20">
      <c r="A20" s="2"/>
      <c r="B20" s="2"/>
      <c r="C20" s="2"/>
      <c r="D20" s="2"/>
      <c r="E20" s="14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3">
        <f>IFERROR(__xludf.DUMMYFUNCTION("""COMPUTED_VALUE"""),25.0)</f>
        <v>25</v>
      </c>
      <c r="G20" s="14"/>
      <c r="H20" s="13"/>
      <c r="I20" s="14"/>
      <c r="J20" s="13"/>
      <c r="K20" s="2"/>
      <c r="L20" s="79">
        <v>6.0</v>
      </c>
      <c r="M20" s="87">
        <v>25.0</v>
      </c>
      <c r="N20" s="81">
        <v>0.0</v>
      </c>
      <c r="O20" s="81">
        <v>0.0</v>
      </c>
      <c r="P20" s="81">
        <v>0.0</v>
      </c>
      <c r="Q20" s="81">
        <v>0.0</v>
      </c>
      <c r="R20" s="81">
        <v>0.0</v>
      </c>
      <c r="S20" s="81">
        <v>0.0</v>
      </c>
      <c r="T20" s="81">
        <v>0.0</v>
      </c>
      <c r="U20" s="81">
        <v>0.0</v>
      </c>
      <c r="V20" s="81">
        <v>0.0</v>
      </c>
      <c r="W20" s="81">
        <v>0.0</v>
      </c>
      <c r="X20" s="81">
        <v>0.0</v>
      </c>
      <c r="Y20" s="2"/>
      <c r="Z20" s="2"/>
      <c r="AA20" s="2"/>
      <c r="AB20" s="2"/>
      <c r="AC20" s="2"/>
      <c r="AD20" s="2"/>
      <c r="AE20" s="2"/>
      <c r="AF20" s="2"/>
    </row>
    <row r="21" ht="15.75" customHeight="1">
      <c r="A21" s="2"/>
      <c r="B21" s="2"/>
      <c r="C21" s="2"/>
      <c r="D21" s="2"/>
      <c r="E21" s="14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3">
        <f>IFERROR(__xludf.DUMMYFUNCTION("""COMPUTED_VALUE"""),100.0)</f>
        <v>100</v>
      </c>
      <c r="G21" s="14" t="str">
        <f>IFERROR(__xludf.DUMMYFUNCTION("""COMPUTED_VALUE"""),"")</f>
        <v/>
      </c>
      <c r="H21" s="13">
        <f>IFERROR(__xludf.DUMMYFUNCTION("""COMPUTED_VALUE"""),120.0)</f>
        <v>120</v>
      </c>
      <c r="I21" s="14" t="str">
        <f>IFERROR(__xludf.DUMMYFUNCTION("""COMPUTED_VALUE"""),"")</f>
        <v/>
      </c>
      <c r="J21" s="13">
        <f>IFERROR(__xludf.DUMMYFUNCTION("""COMPUTED_VALUE"""),60.0)</f>
        <v>60</v>
      </c>
      <c r="K21" s="2"/>
      <c r="L21" s="79">
        <v>7.0</v>
      </c>
      <c r="M21" s="80">
        <v>100.0</v>
      </c>
      <c r="N21" s="81">
        <v>0.0</v>
      </c>
      <c r="O21" s="81">
        <v>0.0</v>
      </c>
      <c r="P21" s="81">
        <v>0.0</v>
      </c>
      <c r="Q21" s="81">
        <v>0.0</v>
      </c>
      <c r="R21" s="81">
        <v>0.0</v>
      </c>
      <c r="S21" s="81">
        <v>0.0</v>
      </c>
      <c r="T21" s="81">
        <v>0.0</v>
      </c>
      <c r="U21" s="80">
        <v>120.0</v>
      </c>
      <c r="V21" s="81">
        <v>0.0</v>
      </c>
      <c r="W21" s="80">
        <v>60.0</v>
      </c>
      <c r="X21" s="81">
        <v>0.0</v>
      </c>
      <c r="Y21" s="2"/>
      <c r="Z21" s="2"/>
      <c r="AA21" s="2"/>
      <c r="AB21" s="2"/>
      <c r="AC21" s="2"/>
      <c r="AD21" s="2"/>
      <c r="AE21" s="2"/>
      <c r="AF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2"/>
      <c r="Z22" s="2"/>
      <c r="AA22" s="2"/>
      <c r="AB22" s="2"/>
      <c r="AC22" s="2"/>
      <c r="AD22" s="2"/>
      <c r="AE22" s="2"/>
      <c r="AF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71" t="s">
        <v>66</v>
      </c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2"/>
      <c r="Z23" s="2"/>
      <c r="AA23" s="2"/>
      <c r="AB23" s="2"/>
      <c r="AC23" s="2"/>
      <c r="AD23" s="2"/>
      <c r="AE23" s="2"/>
      <c r="AF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75" t="s">
        <v>61</v>
      </c>
      <c r="M24" s="76" t="s">
        <v>63</v>
      </c>
      <c r="N24" s="76" t="s">
        <v>5</v>
      </c>
      <c r="O24" s="76" t="s">
        <v>6</v>
      </c>
      <c r="P24" s="76" t="s">
        <v>7</v>
      </c>
      <c r="Q24" s="76" t="s">
        <v>8</v>
      </c>
      <c r="R24" s="76" t="s">
        <v>9</v>
      </c>
      <c r="S24" s="76" t="s">
        <v>10</v>
      </c>
      <c r="T24" s="76" t="s">
        <v>11</v>
      </c>
      <c r="U24" s="76" t="s">
        <v>12</v>
      </c>
      <c r="V24" s="76" t="s">
        <v>13</v>
      </c>
      <c r="W24" s="76" t="s">
        <v>14</v>
      </c>
      <c r="X24" s="76" t="s">
        <v>15</v>
      </c>
      <c r="Y24" s="2"/>
      <c r="Z24" s="2"/>
      <c r="AA24" s="2"/>
      <c r="AB24" s="2"/>
      <c r="AC24" s="2"/>
      <c r="AD24" s="2"/>
      <c r="AE24" s="2"/>
      <c r="AF24" s="2"/>
    </row>
    <row r="25" ht="15.75" customHeight="1">
      <c r="A25" s="2"/>
      <c r="B25" s="2"/>
      <c r="C25" s="2"/>
      <c r="D25" s="2"/>
      <c r="E25" s="14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3">
        <f>IFERROR(__xludf.DUMMYFUNCTION("""COMPUTED_VALUE"""),15.0)</f>
        <v>15</v>
      </c>
      <c r="G25" s="14"/>
      <c r="H25" s="13"/>
      <c r="I25" s="14"/>
      <c r="J25" s="13"/>
      <c r="K25" s="2"/>
      <c r="L25" s="79">
        <v>1.0</v>
      </c>
      <c r="M25" s="81">
        <v>0.0</v>
      </c>
      <c r="N25" s="81">
        <v>0.0</v>
      </c>
      <c r="O25" s="81">
        <v>0.0</v>
      </c>
      <c r="P25" s="81">
        <v>0.0</v>
      </c>
      <c r="Q25" s="81">
        <v>0.0</v>
      </c>
      <c r="R25" s="81">
        <v>0.0</v>
      </c>
      <c r="S25" s="81">
        <v>0.0</v>
      </c>
      <c r="T25" s="81">
        <v>0.0</v>
      </c>
      <c r="U25" s="80">
        <v>15.0</v>
      </c>
      <c r="V25" s="81">
        <v>0.0</v>
      </c>
      <c r="W25" s="81">
        <v>0.0</v>
      </c>
      <c r="X25" s="81">
        <v>0.0</v>
      </c>
      <c r="Y25" s="2"/>
      <c r="Z25" s="2"/>
      <c r="AA25" s="2"/>
      <c r="AB25" s="2"/>
      <c r="AC25" s="2"/>
      <c r="AD25" s="2"/>
      <c r="AE25" s="2"/>
      <c r="AF25" s="2"/>
    </row>
    <row r="26" ht="15.75" customHeight="1">
      <c r="A26" s="2"/>
      <c r="B26" s="2"/>
      <c r="C26" s="2"/>
      <c r="D26" s="2"/>
      <c r="E26" s="14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3">
        <f>IFERROR(__xludf.DUMMYFUNCTION("""COMPUTED_VALUE"""),10.0)</f>
        <v>10</v>
      </c>
      <c r="G26" s="14"/>
      <c r="H26" s="13"/>
      <c r="I26" s="14"/>
      <c r="J26" s="13"/>
      <c r="K26" s="2"/>
      <c r="L26" s="79">
        <v>2.0</v>
      </c>
      <c r="M26" s="87">
        <v>10.0</v>
      </c>
      <c r="N26" s="81">
        <v>0.0</v>
      </c>
      <c r="O26" s="81">
        <v>0.0</v>
      </c>
      <c r="P26" s="81">
        <v>0.0</v>
      </c>
      <c r="Q26" s="81">
        <v>0.0</v>
      </c>
      <c r="R26" s="81">
        <v>0.0</v>
      </c>
      <c r="S26" s="81">
        <v>0.0</v>
      </c>
      <c r="T26" s="81">
        <v>0.0</v>
      </c>
      <c r="U26" s="81">
        <v>0.0</v>
      </c>
      <c r="V26" s="81">
        <v>0.0</v>
      </c>
      <c r="W26" s="81">
        <v>0.0</v>
      </c>
      <c r="X26" s="81">
        <v>0.0</v>
      </c>
      <c r="Y26" s="2"/>
      <c r="Z26" s="2"/>
      <c r="AA26" s="2"/>
      <c r="AB26" s="2"/>
      <c r="AC26" s="2"/>
      <c r="AD26" s="2"/>
      <c r="AE26" s="2"/>
      <c r="AF26" s="2"/>
    </row>
    <row r="27" ht="15.75" customHeight="1">
      <c r="A27" s="2"/>
      <c r="B27" s="2"/>
      <c r="C27" s="2"/>
      <c r="D27" s="2"/>
      <c r="E27" s="14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3">
        <f>IFERROR(__xludf.DUMMYFUNCTION("""COMPUTED_VALUE"""),1.0)</f>
        <v>1</v>
      </c>
      <c r="G27" s="14"/>
      <c r="H27" s="13"/>
      <c r="I27" s="14"/>
      <c r="J27" s="13"/>
      <c r="K27" s="2"/>
      <c r="L27" s="79">
        <v>3.0</v>
      </c>
      <c r="M27" s="81">
        <v>0.0</v>
      </c>
      <c r="N27" s="81">
        <v>0.0</v>
      </c>
      <c r="O27" s="81">
        <v>0.0</v>
      </c>
      <c r="P27" s="81">
        <v>0.0</v>
      </c>
      <c r="Q27" s="81">
        <v>0.0</v>
      </c>
      <c r="R27" s="80">
        <v>1.0</v>
      </c>
      <c r="S27" s="81">
        <v>0.0</v>
      </c>
      <c r="T27" s="81">
        <v>0.0</v>
      </c>
      <c r="U27" s="81">
        <v>0.0</v>
      </c>
      <c r="V27" s="81">
        <v>0.0</v>
      </c>
      <c r="W27" s="81">
        <v>0.0</v>
      </c>
      <c r="X27" s="81">
        <v>0.0</v>
      </c>
      <c r="Y27" s="2"/>
      <c r="Z27" s="2"/>
      <c r="AA27" s="2"/>
      <c r="AB27" s="2"/>
      <c r="AC27" s="2"/>
      <c r="AD27" s="2"/>
      <c r="AE27" s="2"/>
      <c r="AF27" s="2"/>
    </row>
    <row r="28" ht="15.75" customHeight="1">
      <c r="A28" s="2"/>
      <c r="B28" s="2"/>
      <c r="C28" s="2"/>
      <c r="D28" s="2"/>
      <c r="E28" s="14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3">
        <f>IFERROR(__xludf.DUMMYFUNCTION("""COMPUTED_VALUE"""),15.0)</f>
        <v>15</v>
      </c>
      <c r="G28" s="14"/>
      <c r="H28" s="13"/>
      <c r="I28" s="14"/>
      <c r="J28" s="13"/>
      <c r="K28" s="2"/>
      <c r="L28" s="79">
        <v>4.0</v>
      </c>
      <c r="M28" s="87">
        <v>15.0</v>
      </c>
      <c r="N28" s="81">
        <v>0.0</v>
      </c>
      <c r="O28" s="81">
        <v>0.0</v>
      </c>
      <c r="P28" s="81">
        <v>0.0</v>
      </c>
      <c r="Q28" s="81">
        <v>0.0</v>
      </c>
      <c r="R28" s="81">
        <v>0.0</v>
      </c>
      <c r="S28" s="81">
        <v>0.0</v>
      </c>
      <c r="T28" s="81">
        <v>0.0</v>
      </c>
      <c r="U28" s="81">
        <v>0.0</v>
      </c>
      <c r="V28" s="81">
        <v>0.0</v>
      </c>
      <c r="W28" s="81">
        <v>0.0</v>
      </c>
      <c r="X28" s="81">
        <v>0.0</v>
      </c>
      <c r="Y28" s="2"/>
      <c r="Z28" s="2"/>
      <c r="AA28" s="2"/>
      <c r="AB28" s="2"/>
      <c r="AC28" s="2"/>
      <c r="AD28" s="2"/>
      <c r="AE28" s="2"/>
      <c r="AF28" s="2"/>
    </row>
    <row r="29" ht="15.75" customHeight="1">
      <c r="A29" s="2"/>
      <c r="B29" s="2"/>
      <c r="C29" s="2"/>
      <c r="D29" s="2"/>
      <c r="E29" s="14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3">
        <f>IFERROR(__xludf.DUMMYFUNCTION("""COMPUTED_VALUE"""),1.0)</f>
        <v>1</v>
      </c>
      <c r="G29" s="14"/>
      <c r="H29" s="13"/>
      <c r="I29" s="14"/>
      <c r="J29" s="13"/>
      <c r="K29" s="2"/>
      <c r="L29" s="79">
        <v>5.0</v>
      </c>
      <c r="M29" s="81">
        <v>0.0</v>
      </c>
      <c r="N29" s="81">
        <v>0.0</v>
      </c>
      <c r="O29" s="81">
        <v>0.0</v>
      </c>
      <c r="P29" s="81">
        <v>0.0</v>
      </c>
      <c r="Q29" s="81">
        <v>0.0</v>
      </c>
      <c r="R29" s="81">
        <v>0.0</v>
      </c>
      <c r="S29" s="80">
        <v>1.0</v>
      </c>
      <c r="T29" s="81">
        <v>0.0</v>
      </c>
      <c r="U29" s="81">
        <v>0.0</v>
      </c>
      <c r="V29" s="81">
        <v>0.0</v>
      </c>
      <c r="W29" s="81">
        <v>0.0</v>
      </c>
      <c r="X29" s="81">
        <v>0.0</v>
      </c>
      <c r="Y29" s="2"/>
      <c r="Z29" s="2"/>
      <c r="AA29" s="2"/>
      <c r="AB29" s="2"/>
      <c r="AC29" s="2"/>
      <c r="AD29" s="2"/>
      <c r="AE29" s="2"/>
      <c r="AF29" s="2"/>
    </row>
    <row r="30" ht="15.75" customHeight="1">
      <c r="A30" s="2"/>
      <c r="B30" s="2"/>
      <c r="C30" s="2"/>
      <c r="D30" s="2"/>
      <c r="E30" s="14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3">
        <f>IFERROR(__xludf.DUMMYFUNCTION("""COMPUTED_VALUE"""),20.0)</f>
        <v>20</v>
      </c>
      <c r="G30" s="14"/>
      <c r="H30" s="13"/>
      <c r="I30" s="14"/>
      <c r="J30" s="13"/>
      <c r="K30" s="2"/>
      <c r="L30" s="79">
        <v>6.0</v>
      </c>
      <c r="M30" s="87">
        <v>20.0</v>
      </c>
      <c r="N30" s="81">
        <v>0.0</v>
      </c>
      <c r="O30" s="81">
        <v>0.0</v>
      </c>
      <c r="P30" s="81">
        <v>0.0</v>
      </c>
      <c r="Q30" s="81">
        <v>0.0</v>
      </c>
      <c r="R30" s="81">
        <v>0.0</v>
      </c>
      <c r="S30" s="81">
        <v>0.0</v>
      </c>
      <c r="T30" s="81">
        <v>0.0</v>
      </c>
      <c r="U30" s="81">
        <v>0.0</v>
      </c>
      <c r="V30" s="81">
        <v>0.0</v>
      </c>
      <c r="W30" s="81">
        <v>0.0</v>
      </c>
      <c r="X30" s="81">
        <v>0.0</v>
      </c>
      <c r="Y30" s="2"/>
      <c r="Z30" s="2"/>
      <c r="AA30" s="2"/>
      <c r="AB30" s="2"/>
      <c r="AC30" s="2"/>
      <c r="AD30" s="2"/>
      <c r="AE30" s="2"/>
      <c r="AF30" s="2"/>
    </row>
    <row r="31" ht="15.75" customHeight="1">
      <c r="A31" s="2"/>
      <c r="B31" s="2"/>
      <c r="C31" s="2"/>
      <c r="D31" s="2"/>
      <c r="E31" s="14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3">
        <f>IFERROR(__xludf.DUMMYFUNCTION("""COMPUTED_VALUE"""),100.0)</f>
        <v>100</v>
      </c>
      <c r="G31" s="14" t="str">
        <f>IFERROR(__xludf.DUMMYFUNCTION("""COMPUTED_VALUE"""),"")</f>
        <v/>
      </c>
      <c r="H31" s="13">
        <f>IFERROR(__xludf.DUMMYFUNCTION("""COMPUTED_VALUE"""),120.0)</f>
        <v>120</v>
      </c>
      <c r="I31" s="14" t="str">
        <f>IFERROR(__xludf.DUMMYFUNCTION("""COMPUTED_VALUE"""),"")</f>
        <v/>
      </c>
      <c r="J31" s="13">
        <f>IFERROR(__xludf.DUMMYFUNCTION("""COMPUTED_VALUE"""),30.0)</f>
        <v>30</v>
      </c>
      <c r="K31" s="2"/>
      <c r="L31" s="79">
        <v>7.0</v>
      </c>
      <c r="M31" s="80">
        <v>100.0</v>
      </c>
      <c r="N31" s="81">
        <v>0.0</v>
      </c>
      <c r="O31" s="81">
        <v>0.0</v>
      </c>
      <c r="P31" s="81">
        <v>0.0</v>
      </c>
      <c r="Q31" s="81">
        <v>0.0</v>
      </c>
      <c r="R31" s="81">
        <v>0.0</v>
      </c>
      <c r="S31" s="81">
        <v>0.0</v>
      </c>
      <c r="T31" s="81">
        <v>0.0</v>
      </c>
      <c r="U31" s="80">
        <v>120.0</v>
      </c>
      <c r="V31" s="81">
        <v>0.0</v>
      </c>
      <c r="W31" s="81">
        <v>0.0</v>
      </c>
      <c r="X31" s="80">
        <v>30.0</v>
      </c>
      <c r="Y31" s="2"/>
      <c r="Z31" s="2"/>
      <c r="AA31" s="2"/>
      <c r="AB31" s="2"/>
      <c r="AC31" s="2"/>
      <c r="AD31" s="2"/>
      <c r="AE31" s="2"/>
      <c r="AF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2"/>
      <c r="Z32" s="2"/>
      <c r="AA32" s="2"/>
      <c r="AB32" s="2"/>
      <c r="AC32" s="2"/>
      <c r="AD32" s="2"/>
      <c r="AE32" s="2"/>
      <c r="AF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71" t="s">
        <v>67</v>
      </c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2"/>
      <c r="Z33" s="2"/>
      <c r="AA33" s="2"/>
      <c r="AB33" s="2"/>
      <c r="AC33" s="2"/>
      <c r="AD33" s="2"/>
      <c r="AE33" s="2"/>
      <c r="AF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75" t="s">
        <v>61</v>
      </c>
      <c r="M34" s="76" t="s">
        <v>63</v>
      </c>
      <c r="N34" s="76" t="s">
        <v>5</v>
      </c>
      <c r="O34" s="76" t="s">
        <v>6</v>
      </c>
      <c r="P34" s="76" t="s">
        <v>7</v>
      </c>
      <c r="Q34" s="76" t="s">
        <v>8</v>
      </c>
      <c r="R34" s="76" t="s">
        <v>9</v>
      </c>
      <c r="S34" s="76" t="s">
        <v>10</v>
      </c>
      <c r="T34" s="76" t="s">
        <v>11</v>
      </c>
      <c r="U34" s="76" t="s">
        <v>12</v>
      </c>
      <c r="V34" s="76" t="s">
        <v>13</v>
      </c>
      <c r="W34" s="76" t="s">
        <v>14</v>
      </c>
      <c r="X34" s="76" t="s">
        <v>15</v>
      </c>
      <c r="Y34" s="2"/>
      <c r="Z34" s="2"/>
      <c r="AA34" s="2"/>
      <c r="AB34" s="2"/>
      <c r="AC34" s="2"/>
      <c r="AD34" s="2"/>
      <c r="AE34" s="2"/>
      <c r="AF34" s="2"/>
    </row>
    <row r="35" ht="15.75" customHeight="1">
      <c r="A35" s="2"/>
      <c r="B35" s="2"/>
      <c r="C35" s="2"/>
      <c r="D35" s="2"/>
      <c r="E35" s="14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3">
        <f>IFERROR(__xludf.DUMMYFUNCTION("""COMPUTED_VALUE"""),15.0)</f>
        <v>15</v>
      </c>
      <c r="G35" s="14"/>
      <c r="H35" s="13"/>
      <c r="I35" s="14"/>
      <c r="J35" s="13"/>
      <c r="K35" s="2"/>
      <c r="L35" s="79">
        <v>1.0</v>
      </c>
      <c r="M35" s="87">
        <v>15.0</v>
      </c>
      <c r="N35" s="81">
        <v>0.0</v>
      </c>
      <c r="O35" s="81">
        <v>0.0</v>
      </c>
      <c r="P35" s="81">
        <v>0.0</v>
      </c>
      <c r="Q35" s="81">
        <v>0.0</v>
      </c>
      <c r="R35" s="81">
        <v>0.0</v>
      </c>
      <c r="S35" s="81">
        <v>0.0</v>
      </c>
      <c r="T35" s="81">
        <v>0.0</v>
      </c>
      <c r="U35" s="81">
        <v>0.0</v>
      </c>
      <c r="V35" s="81">
        <v>0.0</v>
      </c>
      <c r="W35" s="81">
        <v>0.0</v>
      </c>
      <c r="X35" s="81">
        <v>0.0</v>
      </c>
      <c r="Y35" s="2"/>
      <c r="Z35" s="2"/>
      <c r="AA35" s="2"/>
      <c r="AB35" s="2"/>
      <c r="AC35" s="2"/>
      <c r="AD35" s="2"/>
      <c r="AE35" s="2"/>
      <c r="AF35" s="2"/>
    </row>
    <row r="36" ht="15.75" customHeight="1">
      <c r="A36" s="2"/>
      <c r="B36" s="2"/>
      <c r="C36" s="2"/>
      <c r="D36" s="2"/>
      <c r="E36" s="14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3">
        <f>IFERROR(__xludf.DUMMYFUNCTION("""COMPUTED_VALUE"""),30.0)</f>
        <v>30</v>
      </c>
      <c r="G36" s="14"/>
      <c r="H36" s="13"/>
      <c r="I36" s="14"/>
      <c r="J36" s="13"/>
      <c r="K36" s="2"/>
      <c r="L36" s="79">
        <v>2.0</v>
      </c>
      <c r="M36" s="81">
        <v>0.0</v>
      </c>
      <c r="N36" s="81">
        <v>0.0</v>
      </c>
      <c r="O36" s="81">
        <v>0.0</v>
      </c>
      <c r="P36" s="81">
        <v>0.0</v>
      </c>
      <c r="Q36" s="81">
        <v>0.0</v>
      </c>
      <c r="R36" s="81">
        <v>0.0</v>
      </c>
      <c r="S36" s="81">
        <v>0.0</v>
      </c>
      <c r="T36" s="81">
        <v>0.0</v>
      </c>
      <c r="U36" s="80">
        <v>30.0</v>
      </c>
      <c r="V36" s="81">
        <v>0.0</v>
      </c>
      <c r="W36" s="81">
        <v>0.0</v>
      </c>
      <c r="X36" s="81">
        <v>0.0</v>
      </c>
      <c r="Y36" s="2"/>
      <c r="Z36" s="2"/>
      <c r="AA36" s="2"/>
      <c r="AB36" s="2"/>
      <c r="AC36" s="2"/>
      <c r="AD36" s="2"/>
      <c r="AE36" s="2"/>
      <c r="AF36" s="2"/>
    </row>
    <row r="37" ht="15.75" customHeight="1">
      <c r="A37" s="2"/>
      <c r="B37" s="2"/>
      <c r="C37" s="2"/>
      <c r="D37" s="2"/>
      <c r="E37" s="14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3">
        <f>IFERROR(__xludf.DUMMYFUNCTION("""COMPUTED_VALUE"""),1.0)</f>
        <v>1</v>
      </c>
      <c r="G37" s="14"/>
      <c r="H37" s="13"/>
      <c r="I37" s="14"/>
      <c r="J37" s="13"/>
      <c r="K37" s="2"/>
      <c r="L37" s="79">
        <v>3.0</v>
      </c>
      <c r="M37" s="81">
        <v>0.0</v>
      </c>
      <c r="N37" s="81">
        <v>0.0</v>
      </c>
      <c r="O37" s="81">
        <v>0.0</v>
      </c>
      <c r="P37" s="81">
        <v>0.0</v>
      </c>
      <c r="Q37" s="81">
        <v>0.0</v>
      </c>
      <c r="R37" s="81">
        <v>0.0</v>
      </c>
      <c r="S37" s="80">
        <v>1.0</v>
      </c>
      <c r="T37" s="81">
        <v>0.0</v>
      </c>
      <c r="U37" s="81">
        <v>0.0</v>
      </c>
      <c r="V37" s="81">
        <v>0.0</v>
      </c>
      <c r="W37" s="81">
        <v>0.0</v>
      </c>
      <c r="X37" s="81">
        <v>0.0</v>
      </c>
      <c r="Y37" s="2"/>
      <c r="Z37" s="2"/>
      <c r="AA37" s="2"/>
      <c r="AB37" s="2"/>
      <c r="AC37" s="2"/>
      <c r="AD37" s="2"/>
      <c r="AE37" s="2"/>
      <c r="AF37" s="2"/>
    </row>
    <row r="38" ht="15.75" customHeight="1">
      <c r="A38" s="2"/>
      <c r="B38" s="2"/>
      <c r="C38" s="2"/>
      <c r="D38" s="2"/>
      <c r="E38" s="14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3">
        <f>IFERROR(__xludf.DUMMYFUNCTION("""COMPUTED_VALUE"""),1.0)</f>
        <v>1</v>
      </c>
      <c r="G38" s="14"/>
      <c r="H38" s="13"/>
      <c r="I38" s="14"/>
      <c r="J38" s="13"/>
      <c r="K38" s="2"/>
      <c r="L38" s="79">
        <v>4.0</v>
      </c>
      <c r="M38" s="81">
        <v>0.0</v>
      </c>
      <c r="N38" s="81">
        <v>0.0</v>
      </c>
      <c r="O38" s="81">
        <v>0.0</v>
      </c>
      <c r="P38" s="81">
        <v>0.0</v>
      </c>
      <c r="Q38" s="81">
        <v>0.0</v>
      </c>
      <c r="R38" s="80">
        <v>1.0</v>
      </c>
      <c r="S38" s="81">
        <v>0.0</v>
      </c>
      <c r="T38" s="81">
        <v>0.0</v>
      </c>
      <c r="U38" s="81">
        <v>0.0</v>
      </c>
      <c r="V38" s="81">
        <v>0.0</v>
      </c>
      <c r="W38" s="81">
        <v>0.0</v>
      </c>
      <c r="X38" s="81">
        <v>0.0</v>
      </c>
      <c r="Y38" s="2"/>
      <c r="Z38" s="2"/>
      <c r="AA38" s="2"/>
      <c r="AB38" s="2"/>
      <c r="AC38" s="2"/>
      <c r="AD38" s="2"/>
      <c r="AE38" s="2"/>
      <c r="AF38" s="2"/>
    </row>
    <row r="39" ht="15.75" customHeight="1">
      <c r="A39" s="2"/>
      <c r="B39" s="2"/>
      <c r="C39" s="2"/>
      <c r="D39" s="2"/>
      <c r="E39" s="14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3">
        <f>IFERROR(__xludf.DUMMYFUNCTION("""COMPUTED_VALUE"""),20.0)</f>
        <v>20</v>
      </c>
      <c r="G39" s="14"/>
      <c r="H39" s="13"/>
      <c r="I39" s="14"/>
      <c r="J39" s="13"/>
      <c r="K39" s="2"/>
      <c r="L39" s="79">
        <v>5.0</v>
      </c>
      <c r="M39" s="87">
        <v>20.0</v>
      </c>
      <c r="N39" s="81">
        <v>0.0</v>
      </c>
      <c r="O39" s="81">
        <v>0.0</v>
      </c>
      <c r="P39" s="81">
        <v>0.0</v>
      </c>
      <c r="Q39" s="81">
        <v>0.0</v>
      </c>
      <c r="R39" s="81">
        <v>0.0</v>
      </c>
      <c r="S39" s="81">
        <v>0.0</v>
      </c>
      <c r="T39" s="81">
        <v>0.0</v>
      </c>
      <c r="U39" s="81">
        <v>0.0</v>
      </c>
      <c r="V39" s="81">
        <v>0.0</v>
      </c>
      <c r="W39" s="81">
        <v>0.0</v>
      </c>
      <c r="X39" s="81">
        <v>0.0</v>
      </c>
      <c r="Y39" s="2"/>
      <c r="Z39" s="2"/>
      <c r="AA39" s="2"/>
      <c r="AB39" s="2"/>
      <c r="AC39" s="2"/>
      <c r="AD39" s="2"/>
      <c r="AE39" s="2"/>
      <c r="AF39" s="2"/>
    </row>
    <row r="40" ht="15.75" customHeight="1">
      <c r="A40" s="2"/>
      <c r="B40" s="2"/>
      <c r="C40" s="2"/>
      <c r="D40" s="2"/>
      <c r="E40" s="14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3">
        <f>IFERROR(__xludf.DUMMYFUNCTION("""COMPUTED_VALUE"""),1.0)</f>
        <v>1</v>
      </c>
      <c r="G40" s="14"/>
      <c r="H40" s="13"/>
      <c r="I40" s="14"/>
      <c r="J40" s="13"/>
      <c r="K40" s="2"/>
      <c r="L40" s="79">
        <v>6.0</v>
      </c>
      <c r="M40" s="81">
        <v>0.0</v>
      </c>
      <c r="N40" s="81">
        <v>0.0</v>
      </c>
      <c r="O40" s="81">
        <v>0.0</v>
      </c>
      <c r="P40" s="81">
        <v>0.0</v>
      </c>
      <c r="Q40" s="81">
        <v>0.0</v>
      </c>
      <c r="R40" s="80">
        <v>1.0</v>
      </c>
      <c r="S40" s="81">
        <v>0.0</v>
      </c>
      <c r="T40" s="81">
        <v>0.0</v>
      </c>
      <c r="U40" s="81">
        <v>0.0</v>
      </c>
      <c r="V40" s="81">
        <v>0.0</v>
      </c>
      <c r="W40" s="81">
        <v>0.0</v>
      </c>
      <c r="X40" s="81">
        <v>0.0</v>
      </c>
      <c r="Y40" s="2"/>
      <c r="Z40" s="2"/>
      <c r="AA40" s="2"/>
      <c r="AB40" s="2"/>
      <c r="AC40" s="2"/>
      <c r="AD40" s="2"/>
      <c r="AE40" s="2"/>
      <c r="AF40" s="2"/>
    </row>
    <row r="41" ht="15.75" customHeight="1">
      <c r="A41" s="2"/>
      <c r="B41" s="2"/>
      <c r="C41" s="2"/>
      <c r="D41" s="2"/>
      <c r="E41" s="14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3">
        <f>IFERROR(__xludf.DUMMYFUNCTION("""COMPUTED_VALUE"""),100.0)</f>
        <v>100</v>
      </c>
      <c r="G41" s="14" t="str">
        <f>IFERROR(__xludf.DUMMYFUNCTION("""COMPUTED_VALUE"""),"")</f>
        <v/>
      </c>
      <c r="H41" s="13">
        <f>IFERROR(__xludf.DUMMYFUNCTION("""COMPUTED_VALUE"""),1.0)</f>
        <v>1</v>
      </c>
      <c r="I41" s="14" t="str">
        <f>IFERROR(__xludf.DUMMYFUNCTION("""COMPUTED_VALUE"""),"")</f>
        <v/>
      </c>
      <c r="J41" s="13">
        <f>IFERROR(__xludf.DUMMYFUNCTION("""COMPUTED_VALUE"""),120.0)</f>
        <v>120</v>
      </c>
      <c r="K41" s="2"/>
      <c r="L41" s="79">
        <v>7.0</v>
      </c>
      <c r="M41" s="80">
        <v>100.0</v>
      </c>
      <c r="N41" s="81">
        <v>0.0</v>
      </c>
      <c r="O41" s="81">
        <v>0.0</v>
      </c>
      <c r="P41" s="81">
        <v>0.0</v>
      </c>
      <c r="Q41" s="81">
        <v>0.0</v>
      </c>
      <c r="R41" s="81">
        <v>0.0</v>
      </c>
      <c r="S41" s="81">
        <v>0.0</v>
      </c>
      <c r="T41" s="80">
        <v>1.0</v>
      </c>
      <c r="U41" s="80">
        <v>120.0</v>
      </c>
      <c r="V41" s="81">
        <v>0.0</v>
      </c>
      <c r="W41" s="81">
        <v>0.0</v>
      </c>
      <c r="X41" s="81">
        <v>0.0</v>
      </c>
      <c r="Y41" s="2"/>
      <c r="Z41" s="2"/>
      <c r="AA41" s="2"/>
      <c r="AB41" s="2"/>
      <c r="AC41" s="2"/>
      <c r="AD41" s="2"/>
      <c r="AE41" s="2"/>
      <c r="AF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2"/>
      <c r="Z42" s="2"/>
      <c r="AA42" s="2"/>
      <c r="AB42" s="2"/>
      <c r="AC42" s="2"/>
      <c r="AD42" s="2"/>
      <c r="AE42" s="2"/>
      <c r="AF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71" t="s">
        <v>68</v>
      </c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2"/>
      <c r="Z43" s="2"/>
      <c r="AA43" s="2"/>
      <c r="AB43" s="2"/>
      <c r="AC43" s="2"/>
      <c r="AD43" s="2"/>
      <c r="AE43" s="2"/>
      <c r="AF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75" t="s">
        <v>61</v>
      </c>
      <c r="M44" s="76" t="s">
        <v>63</v>
      </c>
      <c r="N44" s="76" t="s">
        <v>5</v>
      </c>
      <c r="O44" s="76" t="s">
        <v>6</v>
      </c>
      <c r="P44" s="76" t="s">
        <v>7</v>
      </c>
      <c r="Q44" s="76" t="s">
        <v>8</v>
      </c>
      <c r="R44" s="76" t="s">
        <v>9</v>
      </c>
      <c r="S44" s="76" t="s">
        <v>10</v>
      </c>
      <c r="T44" s="76" t="s">
        <v>11</v>
      </c>
      <c r="U44" s="76" t="s">
        <v>12</v>
      </c>
      <c r="V44" s="76" t="s">
        <v>13</v>
      </c>
      <c r="W44" s="76" t="s">
        <v>14</v>
      </c>
      <c r="X44" s="76" t="s">
        <v>15</v>
      </c>
      <c r="Y44" s="2"/>
      <c r="Z44" s="2"/>
      <c r="AA44" s="2"/>
      <c r="AB44" s="2"/>
      <c r="AC44" s="2"/>
      <c r="AD44" s="2"/>
      <c r="AE44" s="2"/>
      <c r="AF44" s="2"/>
    </row>
    <row r="45" ht="15.75" customHeight="1">
      <c r="A45" s="2"/>
      <c r="B45" s="2"/>
      <c r="C45" s="2"/>
      <c r="D45" s="2"/>
      <c r="E45" s="14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3">
        <f>IFERROR(__xludf.DUMMYFUNCTION("""COMPUTED_VALUE"""),10.0)</f>
        <v>10</v>
      </c>
      <c r="G45" s="14"/>
      <c r="H45" s="13"/>
      <c r="I45" s="14"/>
      <c r="J45" s="13"/>
      <c r="K45" s="2"/>
      <c r="L45" s="79">
        <v>1.0</v>
      </c>
      <c r="M45" s="87">
        <v>10.0</v>
      </c>
      <c r="N45" s="81">
        <v>0.0</v>
      </c>
      <c r="O45" s="81">
        <v>0.0</v>
      </c>
      <c r="P45" s="81">
        <v>0.0</v>
      </c>
      <c r="Q45" s="81">
        <v>0.0</v>
      </c>
      <c r="R45" s="81">
        <v>0.0</v>
      </c>
      <c r="S45" s="81">
        <v>0.0</v>
      </c>
      <c r="T45" s="81">
        <v>0.0</v>
      </c>
      <c r="U45" s="81">
        <v>0.0</v>
      </c>
      <c r="V45" s="81">
        <v>0.0</v>
      </c>
      <c r="W45" s="81">
        <v>0.0</v>
      </c>
      <c r="X45" s="81">
        <v>0.0</v>
      </c>
      <c r="Y45" s="2"/>
      <c r="Z45" s="2"/>
      <c r="AA45" s="2"/>
      <c r="AB45" s="2"/>
      <c r="AC45" s="2"/>
      <c r="AD45" s="2"/>
      <c r="AE45" s="2"/>
      <c r="AF45" s="2"/>
    </row>
    <row r="46" ht="15.75" customHeight="1">
      <c r="A46" s="2"/>
      <c r="B46" s="2"/>
      <c r="C46" s="2"/>
      <c r="D46" s="2"/>
      <c r="E46" s="14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3">
        <f>IFERROR(__xludf.DUMMYFUNCTION("""COMPUTED_VALUE"""),15.0)</f>
        <v>15</v>
      </c>
      <c r="G46" s="14"/>
      <c r="H46" s="13"/>
      <c r="I46" s="14"/>
      <c r="J46" s="13"/>
      <c r="K46" s="2"/>
      <c r="L46" s="79">
        <v>2.0</v>
      </c>
      <c r="M46" s="81">
        <v>0.0</v>
      </c>
      <c r="N46" s="81">
        <v>0.0</v>
      </c>
      <c r="O46" s="81">
        <v>0.0</v>
      </c>
      <c r="P46" s="81">
        <v>0.0</v>
      </c>
      <c r="Q46" s="81">
        <v>0.0</v>
      </c>
      <c r="R46" s="81">
        <v>0.0</v>
      </c>
      <c r="S46" s="81">
        <v>0.0</v>
      </c>
      <c r="T46" s="81">
        <v>0.0</v>
      </c>
      <c r="U46" s="80">
        <v>15.0</v>
      </c>
      <c r="V46" s="81">
        <v>0.0</v>
      </c>
      <c r="W46" s="81">
        <v>0.0</v>
      </c>
      <c r="X46" s="81">
        <v>0.0</v>
      </c>
      <c r="Y46" s="2"/>
      <c r="Z46" s="2"/>
      <c r="AA46" s="2"/>
      <c r="AB46" s="2"/>
      <c r="AC46" s="2"/>
      <c r="AD46" s="2"/>
      <c r="AE46" s="2"/>
      <c r="AF46" s="2"/>
    </row>
    <row r="47" ht="15.75" customHeight="1">
      <c r="A47" s="2"/>
      <c r="B47" s="2"/>
      <c r="C47" s="2"/>
      <c r="D47" s="2"/>
      <c r="E47" s="14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3">
        <f>IFERROR(__xludf.DUMMYFUNCTION("""COMPUTED_VALUE"""),1.0)</f>
        <v>1</v>
      </c>
      <c r="G47" s="14"/>
      <c r="H47" s="13"/>
      <c r="I47" s="14"/>
      <c r="J47" s="13"/>
      <c r="K47" s="2"/>
      <c r="L47" s="79">
        <v>3.0</v>
      </c>
      <c r="M47" s="81">
        <v>0.0</v>
      </c>
      <c r="N47" s="81">
        <v>0.0</v>
      </c>
      <c r="O47" s="81">
        <v>0.0</v>
      </c>
      <c r="P47" s="81">
        <v>0.0</v>
      </c>
      <c r="Q47" s="81">
        <v>0.0</v>
      </c>
      <c r="R47" s="80">
        <v>1.0</v>
      </c>
      <c r="S47" s="81">
        <v>0.0</v>
      </c>
      <c r="T47" s="81">
        <v>0.0</v>
      </c>
      <c r="U47" s="81">
        <v>0.0</v>
      </c>
      <c r="V47" s="81">
        <v>0.0</v>
      </c>
      <c r="W47" s="81">
        <v>0.0</v>
      </c>
      <c r="X47" s="81">
        <v>0.0</v>
      </c>
      <c r="Y47" s="2"/>
      <c r="Z47" s="2"/>
      <c r="AA47" s="2"/>
      <c r="AB47" s="2"/>
      <c r="AC47" s="2"/>
      <c r="AD47" s="2"/>
      <c r="AE47" s="2"/>
      <c r="AF47" s="2"/>
    </row>
    <row r="48" ht="15.75" customHeight="1">
      <c r="A48" s="2"/>
      <c r="B48" s="2"/>
      <c r="C48" s="2"/>
      <c r="D48" s="2"/>
      <c r="E48" s="14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3">
        <f>IFERROR(__xludf.DUMMYFUNCTION("""COMPUTED_VALUE"""),1.0)</f>
        <v>1</v>
      </c>
      <c r="G48" s="14"/>
      <c r="H48" s="13"/>
      <c r="I48" s="14"/>
      <c r="J48" s="13"/>
      <c r="K48" s="2"/>
      <c r="L48" s="79">
        <v>4.0</v>
      </c>
      <c r="M48" s="81">
        <v>0.0</v>
      </c>
      <c r="N48" s="81">
        <v>0.0</v>
      </c>
      <c r="O48" s="81">
        <v>0.0</v>
      </c>
      <c r="P48" s="81">
        <v>0.0</v>
      </c>
      <c r="Q48" s="81">
        <v>0.0</v>
      </c>
      <c r="R48" s="81">
        <v>0.0</v>
      </c>
      <c r="S48" s="80">
        <v>1.0</v>
      </c>
      <c r="T48" s="81">
        <v>0.0</v>
      </c>
      <c r="U48" s="81">
        <v>0.0</v>
      </c>
      <c r="V48" s="81">
        <v>0.0</v>
      </c>
      <c r="W48" s="81">
        <v>0.0</v>
      </c>
      <c r="X48" s="81">
        <v>0.0</v>
      </c>
      <c r="Y48" s="2"/>
      <c r="Z48" s="2"/>
      <c r="AA48" s="2"/>
      <c r="AB48" s="2"/>
      <c r="AC48" s="2"/>
      <c r="AD48" s="2"/>
      <c r="AE48" s="2"/>
      <c r="AF48" s="2"/>
    </row>
    <row r="49" ht="15.75" customHeight="1">
      <c r="A49" s="2"/>
      <c r="B49" s="2"/>
      <c r="C49" s="2"/>
      <c r="D49" s="2"/>
      <c r="E49" s="14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3">
        <f>IFERROR(__xludf.DUMMYFUNCTION("""COMPUTED_VALUE"""),60.0)</f>
        <v>60</v>
      </c>
      <c r="G49" s="14"/>
      <c r="H49" s="13"/>
      <c r="I49" s="14"/>
      <c r="J49" s="13"/>
      <c r="K49" s="2"/>
      <c r="L49" s="79">
        <v>5.0</v>
      </c>
      <c r="M49" s="81">
        <v>0.0</v>
      </c>
      <c r="N49" s="81">
        <v>0.0</v>
      </c>
      <c r="O49" s="81">
        <v>0.0</v>
      </c>
      <c r="P49" s="81">
        <v>0.0</v>
      </c>
      <c r="Q49" s="81">
        <v>0.0</v>
      </c>
      <c r="R49" s="81">
        <v>0.0</v>
      </c>
      <c r="S49" s="81">
        <v>0.0</v>
      </c>
      <c r="T49" s="81">
        <v>0.0</v>
      </c>
      <c r="U49" s="80">
        <v>60.0</v>
      </c>
      <c r="V49" s="81">
        <v>0.0</v>
      </c>
      <c r="W49" s="81">
        <v>0.0</v>
      </c>
      <c r="X49" s="81">
        <v>0.0</v>
      </c>
      <c r="Y49" s="2"/>
      <c r="Z49" s="2"/>
      <c r="AA49" s="2"/>
      <c r="AB49" s="2"/>
      <c r="AC49" s="2"/>
      <c r="AD49" s="2"/>
      <c r="AE49" s="2"/>
      <c r="AF49" s="2"/>
    </row>
    <row r="50" ht="15.75" customHeight="1">
      <c r="A50" s="2"/>
      <c r="B50" s="2"/>
      <c r="C50" s="2"/>
      <c r="D50" s="2"/>
      <c r="E50" s="14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3">
        <f>IFERROR(__xludf.DUMMYFUNCTION("""COMPUTED_VALUE"""),25.0)</f>
        <v>25</v>
      </c>
      <c r="G50" s="14"/>
      <c r="H50" s="13"/>
      <c r="I50" s="14"/>
      <c r="J50" s="13"/>
      <c r="K50" s="2"/>
      <c r="L50" s="79">
        <v>6.0</v>
      </c>
      <c r="M50" s="87">
        <v>25.0</v>
      </c>
      <c r="N50" s="81">
        <v>0.0</v>
      </c>
      <c r="O50" s="81">
        <v>0.0</v>
      </c>
      <c r="P50" s="81">
        <v>0.0</v>
      </c>
      <c r="Q50" s="81">
        <v>0.0</v>
      </c>
      <c r="R50" s="81">
        <v>0.0</v>
      </c>
      <c r="S50" s="81">
        <v>0.0</v>
      </c>
      <c r="T50" s="81">
        <v>0.0</v>
      </c>
      <c r="U50" s="81">
        <v>0.0</v>
      </c>
      <c r="V50" s="81">
        <v>0.0</v>
      </c>
      <c r="W50" s="81">
        <v>0.0</v>
      </c>
      <c r="X50" s="81">
        <v>0.0</v>
      </c>
      <c r="Y50" s="2"/>
      <c r="Z50" s="2"/>
      <c r="AA50" s="2"/>
      <c r="AB50" s="2"/>
      <c r="AC50" s="2"/>
      <c r="AD50" s="2"/>
      <c r="AE50" s="2"/>
      <c r="AF50" s="2"/>
    </row>
    <row r="51" ht="15.75" customHeight="1">
      <c r="A51" s="2"/>
      <c r="B51" s="2"/>
      <c r="C51" s="2"/>
      <c r="D51" s="2"/>
      <c r="E51" s="14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3">
        <f>IFERROR(__xludf.DUMMYFUNCTION("""COMPUTED_VALUE"""),100.0)</f>
        <v>100</v>
      </c>
      <c r="G51" s="14" t="str">
        <f>IFERROR(__xludf.DUMMYFUNCTION("""COMPUTED_VALUE"""),"")</f>
        <v/>
      </c>
      <c r="H51" s="13">
        <f>IFERROR(__xludf.DUMMYFUNCTION("""COMPUTED_VALUE"""),1.0)</f>
        <v>1</v>
      </c>
      <c r="I51" s="14" t="str">
        <f>IFERROR(__xludf.DUMMYFUNCTION("""COMPUTED_VALUE"""),"")</f>
        <v/>
      </c>
      <c r="J51" s="13">
        <f>IFERROR(__xludf.DUMMYFUNCTION("""COMPUTED_VALUE"""),120.0)</f>
        <v>120</v>
      </c>
      <c r="K51" s="2"/>
      <c r="L51" s="79">
        <v>7.0</v>
      </c>
      <c r="M51" s="80">
        <v>100.0</v>
      </c>
      <c r="N51" s="81">
        <v>0.0</v>
      </c>
      <c r="O51" s="81">
        <v>0.0</v>
      </c>
      <c r="P51" s="81">
        <v>0.0</v>
      </c>
      <c r="Q51" s="81">
        <v>0.0</v>
      </c>
      <c r="R51" s="80">
        <v>1.0</v>
      </c>
      <c r="S51" s="81">
        <v>0.0</v>
      </c>
      <c r="T51" s="81">
        <v>0.0</v>
      </c>
      <c r="U51" s="80">
        <v>120.0</v>
      </c>
      <c r="V51" s="81">
        <v>0.0</v>
      </c>
      <c r="W51" s="81">
        <v>0.0</v>
      </c>
      <c r="X51" s="81">
        <v>0.0</v>
      </c>
      <c r="Y51" s="2"/>
      <c r="Z51" s="2"/>
      <c r="AA51" s="2"/>
      <c r="AB51" s="2"/>
      <c r="AC51" s="2"/>
      <c r="AD51" s="2"/>
      <c r="AE51" s="2"/>
      <c r="AF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6">
    <mergeCell ref="E3:J3"/>
    <mergeCell ref="L3:M3"/>
    <mergeCell ref="L13:M13"/>
    <mergeCell ref="L23:M23"/>
    <mergeCell ref="L33:M33"/>
    <mergeCell ref="L43:M43"/>
  </mergeCells>
  <conditionalFormatting sqref="Q41:T41">
    <cfRule type="cellIs" dxfId="0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9.0"/>
    <col customWidth="1" min="3" max="3" width="8.0"/>
    <col customWidth="1" min="4" max="43" width="5.0"/>
  </cols>
  <sheetData>
    <row r="1" ht="21.75" customHeight="1">
      <c r="A1" s="1" t="s">
        <v>34</v>
      </c>
    </row>
    <row r="2" ht="19.5" customHeight="1">
      <c r="A2" s="91" t="s">
        <v>71</v>
      </c>
      <c r="B2" s="92"/>
      <c r="C2" s="92"/>
      <c r="D2" s="91" t="s">
        <v>71</v>
      </c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</row>
    <row r="3">
      <c r="A3" s="93" t="s">
        <v>72</v>
      </c>
      <c r="B3" s="93"/>
      <c r="C3" s="94"/>
      <c r="D3" s="95" t="s">
        <v>73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4"/>
      <c r="X3" s="95" t="s">
        <v>74</v>
      </c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</row>
    <row r="4" ht="90.0" customHeight="1">
      <c r="A4" s="96" t="s">
        <v>72</v>
      </c>
      <c r="B4" s="96" t="s">
        <v>75</v>
      </c>
      <c r="C4" s="97" t="s">
        <v>76</v>
      </c>
      <c r="D4" s="98" t="s">
        <v>19</v>
      </c>
      <c r="E4" s="99" t="s">
        <v>5</v>
      </c>
      <c r="F4" s="99" t="s">
        <v>77</v>
      </c>
      <c r="G4" s="99" t="s">
        <v>6</v>
      </c>
      <c r="H4" s="99" t="s">
        <v>7</v>
      </c>
      <c r="I4" s="99" t="s">
        <v>8</v>
      </c>
      <c r="J4" s="99" t="s">
        <v>9</v>
      </c>
      <c r="K4" s="99" t="s">
        <v>10</v>
      </c>
      <c r="L4" s="99" t="s">
        <v>11</v>
      </c>
      <c r="M4" s="99" t="s">
        <v>12</v>
      </c>
      <c r="N4" s="99" t="s">
        <v>13</v>
      </c>
      <c r="O4" s="99" t="s">
        <v>14</v>
      </c>
      <c r="P4" s="99" t="s">
        <v>15</v>
      </c>
      <c r="Q4" s="99" t="s">
        <v>78</v>
      </c>
      <c r="R4" s="99" t="s">
        <v>79</v>
      </c>
      <c r="S4" s="99" t="s">
        <v>80</v>
      </c>
      <c r="T4" s="99" t="s">
        <v>81</v>
      </c>
      <c r="U4" s="99" t="s">
        <v>82</v>
      </c>
      <c r="V4" s="99" t="s">
        <v>83</v>
      </c>
      <c r="W4" s="100" t="s">
        <v>84</v>
      </c>
      <c r="X4" s="98" t="s">
        <v>19</v>
      </c>
      <c r="Y4" s="99" t="s">
        <v>5</v>
      </c>
      <c r="Z4" s="99" t="s">
        <v>77</v>
      </c>
      <c r="AA4" s="99" t="s">
        <v>6</v>
      </c>
      <c r="AB4" s="99" t="s">
        <v>7</v>
      </c>
      <c r="AC4" s="99" t="s">
        <v>8</v>
      </c>
      <c r="AD4" s="99" t="s">
        <v>9</v>
      </c>
      <c r="AE4" s="99" t="s">
        <v>10</v>
      </c>
      <c r="AF4" s="99" t="s">
        <v>11</v>
      </c>
      <c r="AG4" s="99" t="s">
        <v>12</v>
      </c>
      <c r="AH4" s="99" t="s">
        <v>13</v>
      </c>
      <c r="AI4" s="99" t="s">
        <v>14</v>
      </c>
      <c r="AJ4" s="99" t="s">
        <v>15</v>
      </c>
      <c r="AK4" s="99" t="s">
        <v>78</v>
      </c>
      <c r="AL4" s="99" t="s">
        <v>79</v>
      </c>
      <c r="AM4" s="99" t="s">
        <v>80</v>
      </c>
      <c r="AN4" s="99" t="s">
        <v>81</v>
      </c>
      <c r="AO4" s="99" t="s">
        <v>82</v>
      </c>
      <c r="AP4" s="99" t="s">
        <v>83</v>
      </c>
      <c r="AQ4" s="99" t="s">
        <v>84</v>
      </c>
    </row>
    <row r="5">
      <c r="A5" s="101">
        <v>1.0</v>
      </c>
      <c r="B5" s="101">
        <v>10.0</v>
      </c>
      <c r="C5" s="102">
        <f>B5</f>
        <v>10</v>
      </c>
      <c r="D5" s="103">
        <v>0.0</v>
      </c>
      <c r="E5" s="104">
        <v>0.0</v>
      </c>
      <c r="F5" s="104">
        <v>0.0</v>
      </c>
      <c r="G5" s="104">
        <v>0.0</v>
      </c>
      <c r="H5" s="104">
        <v>1.0</v>
      </c>
      <c r="I5" s="104">
        <v>0.0</v>
      </c>
      <c r="J5" s="104">
        <v>0.0</v>
      </c>
      <c r="K5" s="104">
        <v>0.0</v>
      </c>
      <c r="L5" s="104">
        <v>0.0</v>
      </c>
      <c r="M5" s="104">
        <v>0.0</v>
      </c>
      <c r="N5" s="104">
        <v>10.0</v>
      </c>
      <c r="O5" s="104">
        <v>0.0</v>
      </c>
      <c r="P5" s="104">
        <v>0.0</v>
      </c>
      <c r="Q5" s="104">
        <v>0.0</v>
      </c>
      <c r="R5" s="104">
        <v>0.0</v>
      </c>
      <c r="S5" s="104">
        <v>0.0</v>
      </c>
      <c r="T5" s="104">
        <v>0.0</v>
      </c>
      <c r="U5" s="104">
        <v>0.0</v>
      </c>
      <c r="V5" s="104">
        <v>0.0</v>
      </c>
      <c r="W5" s="104">
        <v>0.0</v>
      </c>
      <c r="X5" s="103">
        <v>0.0</v>
      </c>
      <c r="Y5" s="104">
        <v>0.0</v>
      </c>
      <c r="Z5" s="104">
        <v>0.0</v>
      </c>
      <c r="AA5" s="104">
        <v>0.0</v>
      </c>
      <c r="AB5" s="104">
        <v>0.0</v>
      </c>
      <c r="AC5" s="104">
        <v>0.0</v>
      </c>
      <c r="AD5" s="104">
        <v>0.0</v>
      </c>
      <c r="AE5" s="104">
        <v>0.0</v>
      </c>
      <c r="AF5" s="104">
        <v>0.0</v>
      </c>
      <c r="AG5" s="104">
        <v>120.0</v>
      </c>
      <c r="AH5" s="104">
        <v>0.0</v>
      </c>
      <c r="AI5" s="104">
        <v>15.0</v>
      </c>
      <c r="AJ5" s="104">
        <v>0.0</v>
      </c>
      <c r="AK5" s="104">
        <v>0.0</v>
      </c>
      <c r="AL5" s="104">
        <v>0.0</v>
      </c>
      <c r="AM5" s="104">
        <v>0.0</v>
      </c>
      <c r="AN5" s="104">
        <v>0.0</v>
      </c>
      <c r="AO5" s="104">
        <v>0.0</v>
      </c>
      <c r="AP5" s="104">
        <v>0.0</v>
      </c>
      <c r="AQ5" s="104">
        <v>0.0</v>
      </c>
    </row>
    <row r="6">
      <c r="A6" s="101">
        <f t="shared" ref="A6:A34" si="1">A5+1</f>
        <v>2</v>
      </c>
      <c r="B6" s="101">
        <v>14.0</v>
      </c>
      <c r="C6" s="102">
        <f t="shared" ref="C6:C34" si="2">B6+C5</f>
        <v>24</v>
      </c>
      <c r="D6" s="103">
        <v>10.0</v>
      </c>
      <c r="E6" s="104">
        <v>0.0</v>
      </c>
      <c r="F6" s="104">
        <v>0.0</v>
      </c>
      <c r="G6" s="104">
        <v>0.0</v>
      </c>
      <c r="H6" s="104">
        <v>0.0</v>
      </c>
      <c r="I6" s="104">
        <v>0.0</v>
      </c>
      <c r="J6" s="104">
        <v>0.0</v>
      </c>
      <c r="K6" s="104">
        <v>0.0</v>
      </c>
      <c r="L6" s="104">
        <v>0.0</v>
      </c>
      <c r="M6" s="104">
        <v>0.0</v>
      </c>
      <c r="N6" s="104">
        <v>0.0</v>
      </c>
      <c r="O6" s="104">
        <v>0.0</v>
      </c>
      <c r="P6" s="104">
        <v>0.0</v>
      </c>
      <c r="Q6" s="104">
        <v>0.0</v>
      </c>
      <c r="R6" s="104">
        <v>0.0</v>
      </c>
      <c r="S6" s="104">
        <v>0.0</v>
      </c>
      <c r="T6" s="104">
        <v>0.0</v>
      </c>
      <c r="U6" s="104">
        <v>0.0</v>
      </c>
      <c r="V6" s="104">
        <v>0.0</v>
      </c>
      <c r="W6" s="104">
        <v>0.0</v>
      </c>
      <c r="X6" s="103">
        <v>25.0</v>
      </c>
      <c r="Y6" s="104">
        <v>0.0</v>
      </c>
      <c r="Z6" s="104">
        <v>0.0</v>
      </c>
      <c r="AA6" s="104">
        <v>0.0</v>
      </c>
      <c r="AB6" s="104">
        <v>0.0</v>
      </c>
      <c r="AC6" s="104">
        <v>0.0</v>
      </c>
      <c r="AD6" s="104">
        <v>0.0</v>
      </c>
      <c r="AE6" s="104">
        <v>0.0</v>
      </c>
      <c r="AF6" s="104">
        <v>0.0</v>
      </c>
      <c r="AG6" s="104">
        <v>0.0</v>
      </c>
      <c r="AH6" s="104">
        <v>0.0</v>
      </c>
      <c r="AI6" s="104">
        <v>0.0</v>
      </c>
      <c r="AJ6" s="104">
        <v>0.0</v>
      </c>
      <c r="AK6" s="104">
        <v>0.0</v>
      </c>
      <c r="AL6" s="104">
        <v>0.0</v>
      </c>
      <c r="AM6" s="104">
        <v>0.0</v>
      </c>
      <c r="AN6" s="104">
        <v>0.0</v>
      </c>
      <c r="AO6" s="104">
        <v>0.0</v>
      </c>
      <c r="AP6" s="104">
        <v>0.0</v>
      </c>
      <c r="AQ6" s="104">
        <v>0.0</v>
      </c>
    </row>
    <row r="7">
      <c r="A7" s="101">
        <f t="shared" si="1"/>
        <v>3</v>
      </c>
      <c r="B7" s="101">
        <v>20.0</v>
      </c>
      <c r="C7" s="102">
        <f t="shared" si="2"/>
        <v>44</v>
      </c>
      <c r="D7" s="103">
        <v>0.0</v>
      </c>
      <c r="E7" s="104">
        <v>0.0</v>
      </c>
      <c r="F7" s="104">
        <v>0.0</v>
      </c>
      <c r="G7" s="104">
        <v>0.0</v>
      </c>
      <c r="H7" s="104">
        <v>0.0</v>
      </c>
      <c r="I7" s="104">
        <v>0.0</v>
      </c>
      <c r="J7" s="104">
        <v>0.0</v>
      </c>
      <c r="K7" s="104">
        <v>0.0</v>
      </c>
      <c r="L7" s="104">
        <v>0.0</v>
      </c>
      <c r="M7" s="104">
        <v>60.0</v>
      </c>
      <c r="N7" s="104">
        <v>0.0</v>
      </c>
      <c r="O7" s="104">
        <v>0.0</v>
      </c>
      <c r="P7" s="104">
        <v>0.0</v>
      </c>
      <c r="Q7" s="104">
        <v>0.0</v>
      </c>
      <c r="R7" s="104">
        <v>0.0</v>
      </c>
      <c r="S7" s="104">
        <v>0.0</v>
      </c>
      <c r="T7" s="104">
        <v>0.0</v>
      </c>
      <c r="U7" s="104">
        <v>0.0</v>
      </c>
      <c r="V7" s="104">
        <v>0.0</v>
      </c>
      <c r="W7" s="104">
        <v>0.0</v>
      </c>
      <c r="X7" s="103">
        <v>0.0</v>
      </c>
      <c r="Y7" s="104">
        <v>0.0</v>
      </c>
      <c r="Z7" s="104">
        <v>0.0</v>
      </c>
      <c r="AA7" s="104">
        <v>1.0</v>
      </c>
      <c r="AB7" s="104">
        <v>0.0</v>
      </c>
      <c r="AC7" s="104">
        <v>0.0</v>
      </c>
      <c r="AD7" s="104">
        <v>0.0</v>
      </c>
      <c r="AE7" s="104">
        <v>0.0</v>
      </c>
      <c r="AF7" s="104">
        <v>0.0</v>
      </c>
      <c r="AG7" s="104">
        <v>0.0</v>
      </c>
      <c r="AH7" s="104">
        <v>0.0</v>
      </c>
      <c r="AI7" s="104">
        <v>0.0</v>
      </c>
      <c r="AJ7" s="104">
        <v>0.0</v>
      </c>
      <c r="AK7" s="104">
        <v>0.0</v>
      </c>
      <c r="AL7" s="104">
        <v>0.0</v>
      </c>
      <c r="AM7" s="104">
        <v>0.0</v>
      </c>
      <c r="AN7" s="104">
        <v>0.0</v>
      </c>
      <c r="AO7" s="104">
        <v>0.0</v>
      </c>
      <c r="AP7" s="104">
        <v>0.0</v>
      </c>
      <c r="AQ7" s="104">
        <v>0.0</v>
      </c>
    </row>
    <row r="8">
      <c r="A8" s="101">
        <f t="shared" si="1"/>
        <v>4</v>
      </c>
      <c r="B8" s="101">
        <v>28.0</v>
      </c>
      <c r="C8" s="102">
        <f t="shared" si="2"/>
        <v>72</v>
      </c>
      <c r="D8" s="103">
        <v>0.0</v>
      </c>
      <c r="E8" s="104">
        <v>0.0</v>
      </c>
      <c r="F8" s="104">
        <v>0.0</v>
      </c>
      <c r="G8" s="104">
        <v>0.0</v>
      </c>
      <c r="H8" s="104">
        <v>0.0</v>
      </c>
      <c r="I8" s="104">
        <v>0.0</v>
      </c>
      <c r="J8" s="104">
        <v>0.0</v>
      </c>
      <c r="K8" s="104">
        <v>0.0</v>
      </c>
      <c r="L8" s="104">
        <v>0.0</v>
      </c>
      <c r="M8" s="104">
        <v>0.0</v>
      </c>
      <c r="N8" s="104">
        <v>0.0</v>
      </c>
      <c r="O8" s="104">
        <v>15.0</v>
      </c>
      <c r="P8" s="104">
        <v>0.0</v>
      </c>
      <c r="Q8" s="104">
        <v>0.0</v>
      </c>
      <c r="R8" s="104">
        <v>0.0</v>
      </c>
      <c r="S8" s="104">
        <v>0.0</v>
      </c>
      <c r="T8" s="104">
        <v>0.0</v>
      </c>
      <c r="U8" s="104">
        <v>0.0</v>
      </c>
      <c r="V8" s="104">
        <v>0.0</v>
      </c>
      <c r="W8" s="104">
        <v>0.0</v>
      </c>
      <c r="X8" s="103">
        <v>0.0</v>
      </c>
      <c r="Y8" s="104">
        <v>0.0</v>
      </c>
      <c r="Z8" s="104">
        <v>0.0</v>
      </c>
      <c r="AA8" s="104">
        <v>0.0</v>
      </c>
      <c r="AB8" s="104">
        <v>0.0</v>
      </c>
      <c r="AC8" s="104">
        <v>0.0</v>
      </c>
      <c r="AD8" s="104">
        <v>0.0</v>
      </c>
      <c r="AE8" s="104">
        <v>1.0</v>
      </c>
      <c r="AF8" s="104">
        <v>0.0</v>
      </c>
      <c r="AG8" s="104">
        <v>0.0</v>
      </c>
      <c r="AH8" s="104">
        <v>0.0</v>
      </c>
      <c r="AI8" s="104">
        <v>0.0</v>
      </c>
      <c r="AJ8" s="104">
        <v>0.0</v>
      </c>
      <c r="AK8" s="104">
        <v>0.0</v>
      </c>
      <c r="AL8" s="104">
        <v>0.0</v>
      </c>
      <c r="AM8" s="104">
        <v>0.0</v>
      </c>
      <c r="AN8" s="104">
        <v>0.0</v>
      </c>
      <c r="AO8" s="104">
        <v>0.0</v>
      </c>
      <c r="AP8" s="104">
        <v>0.0</v>
      </c>
      <c r="AQ8" s="104">
        <v>0.0</v>
      </c>
    </row>
    <row r="9">
      <c r="A9" s="101">
        <f t="shared" si="1"/>
        <v>5</v>
      </c>
      <c r="B9" s="101">
        <v>35.0</v>
      </c>
      <c r="C9" s="102">
        <f t="shared" si="2"/>
        <v>107</v>
      </c>
      <c r="D9" s="103">
        <v>10.0</v>
      </c>
      <c r="E9" s="104">
        <v>0.0</v>
      </c>
      <c r="F9" s="104">
        <v>0.0</v>
      </c>
      <c r="G9" s="104">
        <v>0.0</v>
      </c>
      <c r="H9" s="104">
        <v>0.0</v>
      </c>
      <c r="I9" s="104">
        <v>0.0</v>
      </c>
      <c r="J9" s="104">
        <v>0.0</v>
      </c>
      <c r="K9" s="104">
        <v>0.0</v>
      </c>
      <c r="L9" s="104">
        <v>0.0</v>
      </c>
      <c r="M9" s="104">
        <v>0.0</v>
      </c>
      <c r="N9" s="104">
        <v>0.0</v>
      </c>
      <c r="O9" s="104">
        <v>0.0</v>
      </c>
      <c r="P9" s="104">
        <v>0.0</v>
      </c>
      <c r="Q9" s="104">
        <v>0.0</v>
      </c>
      <c r="R9" s="104">
        <v>0.0</v>
      </c>
      <c r="S9" s="104">
        <v>0.0</v>
      </c>
      <c r="T9" s="104">
        <v>0.0</v>
      </c>
      <c r="U9" s="104">
        <v>0.0</v>
      </c>
      <c r="V9" s="104">
        <v>0.0</v>
      </c>
      <c r="W9" s="104">
        <v>0.0</v>
      </c>
      <c r="X9" s="103">
        <v>25.0</v>
      </c>
      <c r="Y9" s="104">
        <v>0.0</v>
      </c>
      <c r="Z9" s="104">
        <v>0.0</v>
      </c>
      <c r="AA9" s="104">
        <v>0.0</v>
      </c>
      <c r="AB9" s="104">
        <v>0.0</v>
      </c>
      <c r="AC9" s="104">
        <v>0.0</v>
      </c>
      <c r="AD9" s="104">
        <v>0.0</v>
      </c>
      <c r="AE9" s="104">
        <v>0.0</v>
      </c>
      <c r="AF9" s="104">
        <v>0.0</v>
      </c>
      <c r="AG9" s="104">
        <v>30.0</v>
      </c>
      <c r="AH9" s="104">
        <v>0.0</v>
      </c>
      <c r="AI9" s="104">
        <v>0.0</v>
      </c>
      <c r="AJ9" s="104">
        <v>0.0</v>
      </c>
      <c r="AK9" s="104">
        <v>0.0</v>
      </c>
      <c r="AL9" s="104">
        <v>0.0</v>
      </c>
      <c r="AM9" s="104">
        <v>0.0</v>
      </c>
      <c r="AN9" s="104">
        <v>0.0</v>
      </c>
      <c r="AO9" s="104">
        <v>0.0</v>
      </c>
      <c r="AP9" s="104">
        <v>0.0</v>
      </c>
      <c r="AQ9" s="104">
        <v>0.0</v>
      </c>
    </row>
    <row r="10">
      <c r="A10" s="101">
        <f t="shared" si="1"/>
        <v>6</v>
      </c>
      <c r="B10" s="101">
        <v>70.0</v>
      </c>
      <c r="C10" s="102">
        <f t="shared" si="2"/>
        <v>177</v>
      </c>
      <c r="D10" s="103">
        <v>0.0</v>
      </c>
      <c r="E10" s="104">
        <v>0.0</v>
      </c>
      <c r="F10" s="104">
        <v>0.0</v>
      </c>
      <c r="G10" s="104">
        <v>1.0</v>
      </c>
      <c r="H10" s="104">
        <v>0.0</v>
      </c>
      <c r="I10" s="104">
        <v>0.0</v>
      </c>
      <c r="J10" s="104">
        <v>0.0</v>
      </c>
      <c r="K10" s="104">
        <v>0.0</v>
      </c>
      <c r="L10" s="104">
        <v>0.0</v>
      </c>
      <c r="M10" s="104">
        <v>0.0</v>
      </c>
      <c r="N10" s="104">
        <v>0.0</v>
      </c>
      <c r="O10" s="104">
        <v>0.0</v>
      </c>
      <c r="P10" s="104">
        <v>0.0</v>
      </c>
      <c r="Q10" s="104">
        <v>0.0</v>
      </c>
      <c r="R10" s="104">
        <v>0.0</v>
      </c>
      <c r="S10" s="104">
        <v>0.0</v>
      </c>
      <c r="T10" s="104">
        <v>0.0</v>
      </c>
      <c r="U10" s="104">
        <v>0.0</v>
      </c>
      <c r="V10" s="104">
        <v>0.0</v>
      </c>
      <c r="W10" s="104">
        <v>0.0</v>
      </c>
      <c r="X10" s="103">
        <v>0.0</v>
      </c>
      <c r="Y10" s="104">
        <v>0.0</v>
      </c>
      <c r="Z10" s="104">
        <v>0.0</v>
      </c>
      <c r="AA10" s="104">
        <v>0.0</v>
      </c>
      <c r="AB10" s="104">
        <v>0.0</v>
      </c>
      <c r="AC10" s="104">
        <v>1.0</v>
      </c>
      <c r="AD10" s="104">
        <v>0.0</v>
      </c>
      <c r="AE10" s="104">
        <v>0.0</v>
      </c>
      <c r="AF10" s="104">
        <v>0.0</v>
      </c>
      <c r="AG10" s="104">
        <v>0.0</v>
      </c>
      <c r="AH10" s="104">
        <v>0.0</v>
      </c>
      <c r="AI10" s="104">
        <v>0.0</v>
      </c>
      <c r="AJ10" s="104">
        <v>0.0</v>
      </c>
      <c r="AK10" s="104">
        <v>0.0</v>
      </c>
      <c r="AL10" s="104">
        <v>0.0</v>
      </c>
      <c r="AM10" s="104">
        <v>0.0</v>
      </c>
      <c r="AN10" s="104">
        <v>0.0</v>
      </c>
      <c r="AO10" s="104">
        <v>0.0</v>
      </c>
      <c r="AP10" s="104">
        <v>0.0</v>
      </c>
      <c r="AQ10" s="104">
        <v>0.0</v>
      </c>
    </row>
    <row r="11">
      <c r="A11" s="101">
        <f t="shared" si="1"/>
        <v>7</v>
      </c>
      <c r="B11" s="101">
        <v>70.0</v>
      </c>
      <c r="C11" s="102">
        <f t="shared" si="2"/>
        <v>247</v>
      </c>
      <c r="D11" s="103">
        <v>0.0</v>
      </c>
      <c r="E11" s="104">
        <v>0.0</v>
      </c>
      <c r="F11" s="104">
        <v>0.0</v>
      </c>
      <c r="G11" s="104">
        <v>0.0</v>
      </c>
      <c r="H11" s="104">
        <v>1.0</v>
      </c>
      <c r="I11" s="104">
        <v>0.0</v>
      </c>
      <c r="J11" s="104">
        <v>0.0</v>
      </c>
      <c r="K11" s="104">
        <v>0.0</v>
      </c>
      <c r="L11" s="104">
        <v>0.0</v>
      </c>
      <c r="M11" s="104">
        <v>0.0</v>
      </c>
      <c r="N11" s="104">
        <v>0.0</v>
      </c>
      <c r="O11" s="104">
        <v>0.0</v>
      </c>
      <c r="P11" s="104">
        <v>0.0</v>
      </c>
      <c r="Q11" s="104">
        <v>0.0</v>
      </c>
      <c r="R11" s="104">
        <v>0.0</v>
      </c>
      <c r="S11" s="104">
        <v>0.0</v>
      </c>
      <c r="T11" s="104">
        <v>0.0</v>
      </c>
      <c r="U11" s="104">
        <v>0.0</v>
      </c>
      <c r="V11" s="104">
        <v>0.0</v>
      </c>
      <c r="W11" s="104">
        <v>0.0</v>
      </c>
      <c r="X11" s="103">
        <v>0.0</v>
      </c>
      <c r="Y11" s="104">
        <v>0.0</v>
      </c>
      <c r="Z11" s="104">
        <v>0.0</v>
      </c>
      <c r="AA11" s="104">
        <v>0.0</v>
      </c>
      <c r="AB11" s="104">
        <v>0.0</v>
      </c>
      <c r="AC11" s="104">
        <v>0.0</v>
      </c>
      <c r="AD11" s="104">
        <v>0.0</v>
      </c>
      <c r="AE11" s="104">
        <v>0.0</v>
      </c>
      <c r="AF11" s="104">
        <v>0.0</v>
      </c>
      <c r="AG11" s="104">
        <v>0.0</v>
      </c>
      <c r="AH11" s="104">
        <v>0.0</v>
      </c>
      <c r="AI11" s="104">
        <v>0.0</v>
      </c>
      <c r="AJ11" s="104">
        <v>10.0</v>
      </c>
      <c r="AK11" s="104">
        <v>0.0</v>
      </c>
      <c r="AL11" s="104">
        <v>0.0</v>
      </c>
      <c r="AM11" s="104">
        <v>0.0</v>
      </c>
      <c r="AN11" s="104">
        <v>0.0</v>
      </c>
      <c r="AO11" s="104">
        <v>0.0</v>
      </c>
      <c r="AP11" s="104">
        <v>0.0</v>
      </c>
      <c r="AQ11" s="104">
        <v>0.0</v>
      </c>
    </row>
    <row r="12">
      <c r="A12" s="101">
        <f t="shared" si="1"/>
        <v>8</v>
      </c>
      <c r="B12" s="101">
        <v>70.0</v>
      </c>
      <c r="C12" s="102">
        <f t="shared" si="2"/>
        <v>317</v>
      </c>
      <c r="D12" s="103">
        <v>0.0</v>
      </c>
      <c r="E12" s="104">
        <v>0.0</v>
      </c>
      <c r="F12" s="104">
        <v>0.0</v>
      </c>
      <c r="G12" s="104">
        <v>0.0</v>
      </c>
      <c r="H12" s="104">
        <v>0.0</v>
      </c>
      <c r="I12" s="104">
        <v>0.0</v>
      </c>
      <c r="J12" s="104">
        <v>0.0</v>
      </c>
      <c r="K12" s="104">
        <v>0.0</v>
      </c>
      <c r="L12" s="104">
        <v>0.0</v>
      </c>
      <c r="M12" s="104">
        <v>15.0</v>
      </c>
      <c r="N12" s="104">
        <v>0.0</v>
      </c>
      <c r="O12" s="104">
        <v>0.0</v>
      </c>
      <c r="P12" s="104">
        <v>0.0</v>
      </c>
      <c r="Q12" s="104">
        <v>0.0</v>
      </c>
      <c r="R12" s="104">
        <v>0.0</v>
      </c>
      <c r="S12" s="104">
        <v>0.0</v>
      </c>
      <c r="T12" s="104">
        <v>0.0</v>
      </c>
      <c r="U12" s="104">
        <v>0.0</v>
      </c>
      <c r="V12" s="104">
        <v>0.0</v>
      </c>
      <c r="W12" s="104">
        <v>0.0</v>
      </c>
      <c r="X12" s="103">
        <v>0.0</v>
      </c>
      <c r="Y12" s="104">
        <v>0.0</v>
      </c>
      <c r="Z12" s="104">
        <v>0.0</v>
      </c>
      <c r="AA12" s="104">
        <v>0.0</v>
      </c>
      <c r="AB12" s="104">
        <v>0.0</v>
      </c>
      <c r="AC12" s="104">
        <v>0.0</v>
      </c>
      <c r="AD12" s="104">
        <v>1.0</v>
      </c>
      <c r="AE12" s="104">
        <v>0.0</v>
      </c>
      <c r="AF12" s="104">
        <v>0.0</v>
      </c>
      <c r="AG12" s="104">
        <v>0.0</v>
      </c>
      <c r="AH12" s="104">
        <v>0.0</v>
      </c>
      <c r="AI12" s="104">
        <v>0.0</v>
      </c>
      <c r="AJ12" s="104">
        <v>0.0</v>
      </c>
      <c r="AK12" s="104">
        <v>0.0</v>
      </c>
      <c r="AL12" s="104">
        <v>0.0</v>
      </c>
      <c r="AM12" s="104">
        <v>0.0</v>
      </c>
      <c r="AN12" s="104">
        <v>0.0</v>
      </c>
      <c r="AO12" s="104">
        <v>0.0</v>
      </c>
      <c r="AP12" s="104">
        <v>0.0</v>
      </c>
      <c r="AQ12" s="104">
        <v>0.0</v>
      </c>
    </row>
    <row r="13">
      <c r="A13" s="101">
        <f t="shared" si="1"/>
        <v>9</v>
      </c>
      <c r="B13" s="101">
        <v>70.0</v>
      </c>
      <c r="C13" s="102">
        <f t="shared" si="2"/>
        <v>387</v>
      </c>
      <c r="D13" s="103">
        <v>0.0</v>
      </c>
      <c r="E13" s="104">
        <v>0.0</v>
      </c>
      <c r="F13" s="104">
        <v>0.0</v>
      </c>
      <c r="G13" s="104">
        <v>0.0</v>
      </c>
      <c r="H13" s="104">
        <v>0.0</v>
      </c>
      <c r="I13" s="104">
        <v>0.0</v>
      </c>
      <c r="J13" s="104">
        <v>0.0</v>
      </c>
      <c r="K13" s="104">
        <v>0.0</v>
      </c>
      <c r="L13" s="104">
        <v>0.0</v>
      </c>
      <c r="M13" s="104">
        <v>0.0</v>
      </c>
      <c r="N13" s="104">
        <v>10.0</v>
      </c>
      <c r="O13" s="104">
        <v>0.0</v>
      </c>
      <c r="P13" s="104">
        <v>0.0</v>
      </c>
      <c r="Q13" s="104">
        <v>0.0</v>
      </c>
      <c r="R13" s="104">
        <v>0.0</v>
      </c>
      <c r="S13" s="104">
        <v>0.0</v>
      </c>
      <c r="T13" s="104">
        <v>0.0</v>
      </c>
      <c r="U13" s="104">
        <v>0.0</v>
      </c>
      <c r="V13" s="104">
        <v>0.0</v>
      </c>
      <c r="W13" s="104">
        <v>0.0</v>
      </c>
      <c r="X13" s="103">
        <v>0.0</v>
      </c>
      <c r="Y13" s="104">
        <v>0.0</v>
      </c>
      <c r="Z13" s="104">
        <v>0.0</v>
      </c>
      <c r="AA13" s="104">
        <v>0.0</v>
      </c>
      <c r="AB13" s="104">
        <v>0.0</v>
      </c>
      <c r="AC13" s="104">
        <v>0.0</v>
      </c>
      <c r="AD13" s="104">
        <v>0.0</v>
      </c>
      <c r="AE13" s="104">
        <v>1.0</v>
      </c>
      <c r="AF13" s="104">
        <v>0.0</v>
      </c>
      <c r="AG13" s="104">
        <v>0.0</v>
      </c>
      <c r="AH13" s="104">
        <v>0.0</v>
      </c>
      <c r="AI13" s="104">
        <v>0.0</v>
      </c>
      <c r="AJ13" s="104">
        <v>0.0</v>
      </c>
      <c r="AK13" s="104">
        <v>0.0</v>
      </c>
      <c r="AL13" s="104">
        <v>0.0</v>
      </c>
      <c r="AM13" s="104">
        <v>0.0</v>
      </c>
      <c r="AN13" s="104">
        <v>0.0</v>
      </c>
      <c r="AO13" s="104">
        <v>0.0</v>
      </c>
      <c r="AP13" s="104">
        <v>0.0</v>
      </c>
      <c r="AQ13" s="104">
        <v>0.0</v>
      </c>
    </row>
    <row r="14">
      <c r="A14" s="101">
        <f t="shared" si="1"/>
        <v>10</v>
      </c>
      <c r="B14" s="101">
        <v>100.0</v>
      </c>
      <c r="C14" s="102">
        <f t="shared" si="2"/>
        <v>487</v>
      </c>
      <c r="D14" s="103">
        <v>10.0</v>
      </c>
      <c r="E14" s="104">
        <v>0.0</v>
      </c>
      <c r="F14" s="104">
        <v>0.0</v>
      </c>
      <c r="G14" s="104">
        <v>0.0</v>
      </c>
      <c r="H14" s="104">
        <v>0.0</v>
      </c>
      <c r="I14" s="104">
        <v>0.0</v>
      </c>
      <c r="J14" s="104">
        <v>0.0</v>
      </c>
      <c r="K14" s="104">
        <v>0.0</v>
      </c>
      <c r="L14" s="104">
        <v>0.0</v>
      </c>
      <c r="M14" s="104">
        <v>0.0</v>
      </c>
      <c r="N14" s="104">
        <v>0.0</v>
      </c>
      <c r="O14" s="104">
        <v>0.0</v>
      </c>
      <c r="P14" s="104">
        <v>0.0</v>
      </c>
      <c r="Q14" s="104">
        <v>0.0</v>
      </c>
      <c r="R14" s="104">
        <v>0.0</v>
      </c>
      <c r="S14" s="104">
        <v>0.0</v>
      </c>
      <c r="T14" s="104">
        <v>0.0</v>
      </c>
      <c r="U14" s="104">
        <v>0.0</v>
      </c>
      <c r="V14" s="104">
        <v>0.0</v>
      </c>
      <c r="W14" s="104">
        <v>0.0</v>
      </c>
      <c r="X14" s="103">
        <v>25.0</v>
      </c>
      <c r="Y14" s="104">
        <v>0.0</v>
      </c>
      <c r="Z14" s="104">
        <v>0.0</v>
      </c>
      <c r="AA14" s="104">
        <v>0.0</v>
      </c>
      <c r="AB14" s="104">
        <v>0.0</v>
      </c>
      <c r="AC14" s="104">
        <v>0.0</v>
      </c>
      <c r="AD14" s="104">
        <v>0.0</v>
      </c>
      <c r="AE14" s="104">
        <v>0.0</v>
      </c>
      <c r="AF14" s="104">
        <v>0.0</v>
      </c>
      <c r="AG14" s="104">
        <v>30.0</v>
      </c>
      <c r="AH14" s="104">
        <v>0.0</v>
      </c>
      <c r="AI14" s="104">
        <v>0.0</v>
      </c>
      <c r="AJ14" s="104">
        <v>0.0</v>
      </c>
      <c r="AK14" s="104">
        <v>0.0</v>
      </c>
      <c r="AL14" s="104">
        <v>0.0</v>
      </c>
      <c r="AM14" s="104">
        <v>0.0</v>
      </c>
      <c r="AN14" s="104">
        <v>0.0</v>
      </c>
      <c r="AO14" s="104">
        <v>0.0</v>
      </c>
      <c r="AP14" s="104">
        <v>0.0</v>
      </c>
      <c r="AQ14" s="104">
        <v>0.0</v>
      </c>
    </row>
    <row r="15">
      <c r="A15" s="101">
        <f t="shared" si="1"/>
        <v>11</v>
      </c>
      <c r="B15" s="101">
        <v>100.0</v>
      </c>
      <c r="C15" s="102">
        <f t="shared" si="2"/>
        <v>587</v>
      </c>
      <c r="D15" s="103">
        <v>0.0</v>
      </c>
      <c r="E15" s="104">
        <v>0.0</v>
      </c>
      <c r="F15" s="104">
        <v>0.0</v>
      </c>
      <c r="G15" s="104">
        <v>0.0</v>
      </c>
      <c r="H15" s="104">
        <v>0.0</v>
      </c>
      <c r="I15" s="104">
        <v>0.0</v>
      </c>
      <c r="J15" s="104">
        <v>0.0</v>
      </c>
      <c r="K15" s="104">
        <v>0.0</v>
      </c>
      <c r="L15" s="104">
        <v>0.0</v>
      </c>
      <c r="M15" s="104">
        <v>15.0</v>
      </c>
      <c r="N15" s="104">
        <v>0.0</v>
      </c>
      <c r="O15" s="104">
        <v>0.0</v>
      </c>
      <c r="P15" s="104">
        <v>0.0</v>
      </c>
      <c r="Q15" s="104">
        <v>0.0</v>
      </c>
      <c r="R15" s="104">
        <v>0.0</v>
      </c>
      <c r="S15" s="104">
        <v>0.0</v>
      </c>
      <c r="T15" s="104">
        <v>0.0</v>
      </c>
      <c r="U15" s="104">
        <v>0.0</v>
      </c>
      <c r="V15" s="104">
        <v>0.0</v>
      </c>
      <c r="W15" s="104">
        <v>0.0</v>
      </c>
      <c r="X15" s="103">
        <v>0.0</v>
      </c>
      <c r="Y15" s="104">
        <v>0.0</v>
      </c>
      <c r="Z15" s="104">
        <v>0.0</v>
      </c>
      <c r="AA15" s="104">
        <v>0.0</v>
      </c>
      <c r="AB15" s="104">
        <v>0.0</v>
      </c>
      <c r="AC15" s="104">
        <v>0.0</v>
      </c>
      <c r="AD15" s="104">
        <v>0.0</v>
      </c>
      <c r="AE15" s="104">
        <v>0.0</v>
      </c>
      <c r="AF15" s="104">
        <v>1.0</v>
      </c>
      <c r="AG15" s="104">
        <v>0.0</v>
      </c>
      <c r="AH15" s="104">
        <v>0.0</v>
      </c>
      <c r="AI15" s="104">
        <v>0.0</v>
      </c>
      <c r="AJ15" s="104">
        <v>0.0</v>
      </c>
      <c r="AK15" s="104">
        <v>0.0</v>
      </c>
      <c r="AL15" s="104">
        <v>0.0</v>
      </c>
      <c r="AM15" s="104">
        <v>0.0</v>
      </c>
      <c r="AN15" s="104">
        <v>0.0</v>
      </c>
      <c r="AO15" s="104">
        <v>0.0</v>
      </c>
      <c r="AP15" s="104">
        <v>0.0</v>
      </c>
      <c r="AQ15" s="104">
        <v>0.0</v>
      </c>
    </row>
    <row r="16">
      <c r="A16" s="101">
        <f t="shared" si="1"/>
        <v>12</v>
      </c>
      <c r="B16" s="101">
        <v>100.0</v>
      </c>
      <c r="C16" s="102">
        <f t="shared" si="2"/>
        <v>687</v>
      </c>
      <c r="D16" s="103">
        <v>0.0</v>
      </c>
      <c r="E16" s="104">
        <v>0.0</v>
      </c>
      <c r="F16" s="104">
        <v>0.0</v>
      </c>
      <c r="G16" s="104">
        <v>1.0</v>
      </c>
      <c r="H16" s="104">
        <v>0.0</v>
      </c>
      <c r="I16" s="104">
        <v>0.0</v>
      </c>
      <c r="J16" s="104">
        <v>0.0</v>
      </c>
      <c r="K16" s="104">
        <v>0.0</v>
      </c>
      <c r="L16" s="104">
        <v>0.0</v>
      </c>
      <c r="M16" s="104">
        <v>0.0</v>
      </c>
      <c r="N16" s="104">
        <v>0.0</v>
      </c>
      <c r="O16" s="104">
        <v>0.0</v>
      </c>
      <c r="P16" s="104">
        <v>0.0</v>
      </c>
      <c r="Q16" s="104">
        <v>0.0</v>
      </c>
      <c r="R16" s="104">
        <v>0.0</v>
      </c>
      <c r="S16" s="104">
        <v>0.0</v>
      </c>
      <c r="T16" s="104">
        <v>0.0</v>
      </c>
      <c r="U16" s="104">
        <v>0.0</v>
      </c>
      <c r="V16" s="104">
        <v>0.0</v>
      </c>
      <c r="W16" s="104">
        <v>0.0</v>
      </c>
      <c r="X16" s="103">
        <v>0.0</v>
      </c>
      <c r="Y16" s="104">
        <v>0.0</v>
      </c>
      <c r="Z16" s="104">
        <v>0.0</v>
      </c>
      <c r="AA16" s="104">
        <v>0.0</v>
      </c>
      <c r="AB16" s="104">
        <v>1.0</v>
      </c>
      <c r="AC16" s="104">
        <v>0.0</v>
      </c>
      <c r="AD16" s="104">
        <v>0.0</v>
      </c>
      <c r="AE16" s="104">
        <v>0.0</v>
      </c>
      <c r="AF16" s="104">
        <v>0.0</v>
      </c>
      <c r="AG16" s="104">
        <v>0.0</v>
      </c>
      <c r="AH16" s="104">
        <v>0.0</v>
      </c>
      <c r="AI16" s="104">
        <v>0.0</v>
      </c>
      <c r="AJ16" s="104">
        <v>0.0</v>
      </c>
      <c r="AK16" s="104">
        <v>0.0</v>
      </c>
      <c r="AL16" s="104">
        <v>0.0</v>
      </c>
      <c r="AM16" s="104">
        <v>0.0</v>
      </c>
      <c r="AN16" s="104">
        <v>0.0</v>
      </c>
      <c r="AO16" s="104">
        <v>0.0</v>
      </c>
      <c r="AP16" s="104">
        <v>0.0</v>
      </c>
      <c r="AQ16" s="104">
        <v>0.0</v>
      </c>
    </row>
    <row r="17">
      <c r="A17" s="101">
        <f t="shared" si="1"/>
        <v>13</v>
      </c>
      <c r="B17" s="101">
        <v>100.0</v>
      </c>
      <c r="C17" s="102">
        <f t="shared" si="2"/>
        <v>787</v>
      </c>
      <c r="D17" s="103">
        <v>0.0</v>
      </c>
      <c r="E17" s="104">
        <v>0.0</v>
      </c>
      <c r="F17" s="104">
        <v>0.0</v>
      </c>
      <c r="G17" s="104">
        <v>0.0</v>
      </c>
      <c r="H17" s="104">
        <v>0.0</v>
      </c>
      <c r="I17" s="104">
        <v>0.0</v>
      </c>
      <c r="J17" s="104">
        <v>0.0</v>
      </c>
      <c r="K17" s="104">
        <v>1.0</v>
      </c>
      <c r="L17" s="104">
        <v>0.0</v>
      </c>
      <c r="M17" s="104">
        <v>0.0</v>
      </c>
      <c r="N17" s="104">
        <v>0.0</v>
      </c>
      <c r="O17" s="104">
        <v>0.0</v>
      </c>
      <c r="P17" s="104">
        <v>0.0</v>
      </c>
      <c r="Q17" s="104">
        <v>0.0</v>
      </c>
      <c r="R17" s="104">
        <v>0.0</v>
      </c>
      <c r="S17" s="104">
        <v>0.0</v>
      </c>
      <c r="T17" s="104">
        <v>0.0</v>
      </c>
      <c r="U17" s="104">
        <v>0.0</v>
      </c>
      <c r="V17" s="104">
        <v>0.0</v>
      </c>
      <c r="W17" s="104">
        <v>0.0</v>
      </c>
      <c r="X17" s="103">
        <v>0.0</v>
      </c>
      <c r="Y17" s="104">
        <v>0.0</v>
      </c>
      <c r="Z17" s="104">
        <v>0.0</v>
      </c>
      <c r="AA17" s="104">
        <v>0.0</v>
      </c>
      <c r="AB17" s="104">
        <v>0.0</v>
      </c>
      <c r="AC17" s="104">
        <v>0.0</v>
      </c>
      <c r="AD17" s="104">
        <v>0.0</v>
      </c>
      <c r="AE17" s="104">
        <v>0.0</v>
      </c>
      <c r="AF17" s="104">
        <v>0.0</v>
      </c>
      <c r="AG17" s="104">
        <v>0.0</v>
      </c>
      <c r="AH17" s="104">
        <v>0.0</v>
      </c>
      <c r="AI17" s="104">
        <v>15.0</v>
      </c>
      <c r="AJ17" s="104">
        <v>0.0</v>
      </c>
      <c r="AK17" s="104">
        <v>0.0</v>
      </c>
      <c r="AL17" s="104">
        <v>0.0</v>
      </c>
      <c r="AM17" s="104">
        <v>0.0</v>
      </c>
      <c r="AN17" s="104">
        <v>0.0</v>
      </c>
      <c r="AO17" s="104">
        <v>0.0</v>
      </c>
      <c r="AP17" s="104">
        <v>0.0</v>
      </c>
      <c r="AQ17" s="104">
        <v>0.0</v>
      </c>
    </row>
    <row r="18">
      <c r="A18" s="101">
        <f t="shared" si="1"/>
        <v>14</v>
      </c>
      <c r="B18" s="101">
        <v>100.0</v>
      </c>
      <c r="C18" s="102">
        <f t="shared" si="2"/>
        <v>887</v>
      </c>
      <c r="D18" s="103">
        <v>0.0</v>
      </c>
      <c r="E18" s="104">
        <v>0.0</v>
      </c>
      <c r="F18" s="104">
        <v>0.0</v>
      </c>
      <c r="G18" s="104">
        <v>1.0</v>
      </c>
      <c r="H18" s="104">
        <v>0.0</v>
      </c>
      <c r="I18" s="104">
        <v>0.0</v>
      </c>
      <c r="J18" s="104">
        <v>0.0</v>
      </c>
      <c r="K18" s="104">
        <v>0.0</v>
      </c>
      <c r="L18" s="104">
        <v>0.0</v>
      </c>
      <c r="M18" s="104">
        <v>0.0</v>
      </c>
      <c r="N18" s="104">
        <v>0.0</v>
      </c>
      <c r="O18" s="104">
        <v>0.0</v>
      </c>
      <c r="P18" s="104">
        <v>0.0</v>
      </c>
      <c r="Q18" s="104">
        <v>0.0</v>
      </c>
      <c r="R18" s="104">
        <v>0.0</v>
      </c>
      <c r="S18" s="104">
        <v>0.0</v>
      </c>
      <c r="T18" s="104">
        <v>0.0</v>
      </c>
      <c r="U18" s="104">
        <v>0.0</v>
      </c>
      <c r="V18" s="104">
        <v>0.0</v>
      </c>
      <c r="W18" s="104">
        <v>0.0</v>
      </c>
      <c r="X18" s="103">
        <v>0.0</v>
      </c>
      <c r="Y18" s="104">
        <v>0.0</v>
      </c>
      <c r="Z18" s="104">
        <v>0.0</v>
      </c>
      <c r="AA18" s="104">
        <v>0.0</v>
      </c>
      <c r="AB18" s="104">
        <v>0.0</v>
      </c>
      <c r="AC18" s="104">
        <v>1.0</v>
      </c>
      <c r="AD18" s="104">
        <v>0.0</v>
      </c>
      <c r="AE18" s="104">
        <v>0.0</v>
      </c>
      <c r="AF18" s="104">
        <v>0.0</v>
      </c>
      <c r="AG18" s="104">
        <v>0.0</v>
      </c>
      <c r="AH18" s="104">
        <v>0.0</v>
      </c>
      <c r="AI18" s="104">
        <v>0.0</v>
      </c>
      <c r="AJ18" s="104">
        <v>0.0</v>
      </c>
      <c r="AK18" s="104">
        <v>0.0</v>
      </c>
      <c r="AL18" s="104">
        <v>0.0</v>
      </c>
      <c r="AM18" s="104">
        <v>0.0</v>
      </c>
      <c r="AN18" s="104">
        <v>0.0</v>
      </c>
      <c r="AO18" s="104">
        <v>0.0</v>
      </c>
      <c r="AP18" s="104">
        <v>0.0</v>
      </c>
      <c r="AQ18" s="104">
        <v>0.0</v>
      </c>
    </row>
    <row r="19">
      <c r="A19" s="101">
        <f t="shared" si="1"/>
        <v>15</v>
      </c>
      <c r="B19" s="101">
        <v>130.0</v>
      </c>
      <c r="C19" s="102">
        <f t="shared" si="2"/>
        <v>1017</v>
      </c>
      <c r="D19" s="103">
        <v>15.0</v>
      </c>
      <c r="E19" s="104">
        <v>0.0</v>
      </c>
      <c r="F19" s="104">
        <v>0.0</v>
      </c>
      <c r="G19" s="104">
        <v>0.0</v>
      </c>
      <c r="H19" s="104">
        <v>0.0</v>
      </c>
      <c r="I19" s="104">
        <v>0.0</v>
      </c>
      <c r="J19" s="104">
        <v>0.0</v>
      </c>
      <c r="K19" s="104">
        <v>0.0</v>
      </c>
      <c r="L19" s="104">
        <v>0.0</v>
      </c>
      <c r="M19" s="104">
        <v>0.0</v>
      </c>
      <c r="N19" s="104">
        <v>0.0</v>
      </c>
      <c r="O19" s="104">
        <v>0.0</v>
      </c>
      <c r="P19" s="104">
        <v>0.0</v>
      </c>
      <c r="Q19" s="104">
        <v>0.0</v>
      </c>
      <c r="R19" s="104">
        <v>0.0</v>
      </c>
      <c r="S19" s="104">
        <v>0.0</v>
      </c>
      <c r="T19" s="104">
        <v>0.0</v>
      </c>
      <c r="U19" s="104">
        <v>0.0</v>
      </c>
      <c r="V19" s="104">
        <v>0.0</v>
      </c>
      <c r="W19" s="104">
        <v>0.0</v>
      </c>
      <c r="X19" s="103">
        <v>30.0</v>
      </c>
      <c r="Y19" s="104">
        <v>0.0</v>
      </c>
      <c r="Z19" s="104">
        <v>0.0</v>
      </c>
      <c r="AA19" s="104">
        <v>1.0</v>
      </c>
      <c r="AB19" s="104">
        <v>0.0</v>
      </c>
      <c r="AC19" s="104">
        <v>0.0</v>
      </c>
      <c r="AD19" s="104">
        <v>0.0</v>
      </c>
      <c r="AE19" s="104">
        <v>0.0</v>
      </c>
      <c r="AF19" s="104">
        <v>0.0</v>
      </c>
      <c r="AG19" s="104">
        <v>60.0</v>
      </c>
      <c r="AH19" s="104">
        <v>0.0</v>
      </c>
      <c r="AI19" s="104">
        <v>0.0</v>
      </c>
      <c r="AJ19" s="104">
        <v>0.0</v>
      </c>
      <c r="AK19" s="104">
        <v>0.0</v>
      </c>
      <c r="AL19" s="104">
        <v>0.0</v>
      </c>
      <c r="AM19" s="104">
        <v>0.0</v>
      </c>
      <c r="AN19" s="104">
        <v>0.0</v>
      </c>
      <c r="AO19" s="104">
        <v>0.0</v>
      </c>
      <c r="AP19" s="104">
        <v>0.0</v>
      </c>
      <c r="AQ19" s="104">
        <v>0.0</v>
      </c>
    </row>
    <row r="20">
      <c r="A20" s="101">
        <f t="shared" si="1"/>
        <v>16</v>
      </c>
      <c r="B20" s="101">
        <v>130.0</v>
      </c>
      <c r="C20" s="102">
        <f t="shared" si="2"/>
        <v>1147</v>
      </c>
      <c r="D20" s="103">
        <v>0.0</v>
      </c>
      <c r="E20" s="104">
        <v>0.0</v>
      </c>
      <c r="F20" s="104">
        <v>0.0</v>
      </c>
      <c r="G20" s="104">
        <v>0.0</v>
      </c>
      <c r="H20" s="104">
        <v>0.0</v>
      </c>
      <c r="I20" s="104">
        <v>0.0</v>
      </c>
      <c r="J20" s="104">
        <v>0.0</v>
      </c>
      <c r="K20" s="104">
        <v>0.0</v>
      </c>
      <c r="L20" s="104">
        <v>0.0</v>
      </c>
      <c r="M20" s="104">
        <v>15.0</v>
      </c>
      <c r="N20" s="104">
        <v>0.0</v>
      </c>
      <c r="O20" s="104">
        <v>0.0</v>
      </c>
      <c r="P20" s="104">
        <v>0.0</v>
      </c>
      <c r="Q20" s="104">
        <v>0.0</v>
      </c>
      <c r="R20" s="104">
        <v>0.0</v>
      </c>
      <c r="S20" s="104">
        <v>0.0</v>
      </c>
      <c r="T20" s="104">
        <v>0.0</v>
      </c>
      <c r="U20" s="104">
        <v>0.0</v>
      </c>
      <c r="V20" s="104">
        <v>0.0</v>
      </c>
      <c r="W20" s="104">
        <v>0.0</v>
      </c>
      <c r="X20" s="103">
        <v>0.0</v>
      </c>
      <c r="Y20" s="104">
        <v>0.0</v>
      </c>
      <c r="Z20" s="104">
        <v>0.0</v>
      </c>
      <c r="AA20" s="104">
        <v>0.0</v>
      </c>
      <c r="AB20" s="104">
        <v>0.0</v>
      </c>
      <c r="AC20" s="104">
        <v>0.0</v>
      </c>
      <c r="AD20" s="104">
        <v>1.0</v>
      </c>
      <c r="AE20" s="104">
        <v>0.0</v>
      </c>
      <c r="AF20" s="104">
        <v>0.0</v>
      </c>
      <c r="AG20" s="104">
        <v>0.0</v>
      </c>
      <c r="AH20" s="104">
        <v>10.0</v>
      </c>
      <c r="AI20" s="104">
        <v>0.0</v>
      </c>
      <c r="AJ20" s="104">
        <v>0.0</v>
      </c>
      <c r="AK20" s="104">
        <v>0.0</v>
      </c>
      <c r="AL20" s="104">
        <v>0.0</v>
      </c>
      <c r="AM20" s="104">
        <v>0.0</v>
      </c>
      <c r="AN20" s="104">
        <v>0.0</v>
      </c>
      <c r="AO20" s="104">
        <v>0.0</v>
      </c>
      <c r="AP20" s="104">
        <v>0.0</v>
      </c>
      <c r="AQ20" s="104">
        <v>0.0</v>
      </c>
    </row>
    <row r="21" ht="15.75" customHeight="1">
      <c r="A21" s="101">
        <f t="shared" si="1"/>
        <v>17</v>
      </c>
      <c r="B21" s="101">
        <v>130.0</v>
      </c>
      <c r="C21" s="102">
        <f t="shared" si="2"/>
        <v>1277</v>
      </c>
      <c r="D21" s="103">
        <v>0.0</v>
      </c>
      <c r="E21" s="104">
        <v>0.0</v>
      </c>
      <c r="F21" s="104">
        <v>0.0</v>
      </c>
      <c r="G21" s="104">
        <v>0.0</v>
      </c>
      <c r="H21" s="104">
        <v>1.0</v>
      </c>
      <c r="I21" s="104">
        <v>0.0</v>
      </c>
      <c r="J21" s="104">
        <v>0.0</v>
      </c>
      <c r="K21" s="104">
        <v>0.0</v>
      </c>
      <c r="L21" s="104">
        <v>0.0</v>
      </c>
      <c r="M21" s="104">
        <v>0.0</v>
      </c>
      <c r="N21" s="104">
        <v>0.0</v>
      </c>
      <c r="O21" s="104">
        <v>0.0</v>
      </c>
      <c r="P21" s="104">
        <v>0.0</v>
      </c>
      <c r="Q21" s="104">
        <v>0.0</v>
      </c>
      <c r="R21" s="104">
        <v>0.0</v>
      </c>
      <c r="S21" s="104">
        <v>0.0</v>
      </c>
      <c r="T21" s="104">
        <v>0.0</v>
      </c>
      <c r="U21" s="104">
        <v>0.0</v>
      </c>
      <c r="V21" s="104">
        <v>0.0</v>
      </c>
      <c r="W21" s="104">
        <v>0.0</v>
      </c>
      <c r="X21" s="103">
        <v>0.0</v>
      </c>
      <c r="Y21" s="104">
        <v>0.0</v>
      </c>
      <c r="Z21" s="104">
        <v>0.0</v>
      </c>
      <c r="AA21" s="104">
        <v>0.0</v>
      </c>
      <c r="AB21" s="104">
        <v>0.0</v>
      </c>
      <c r="AC21" s="104">
        <v>1.0</v>
      </c>
      <c r="AD21" s="104">
        <v>0.0</v>
      </c>
      <c r="AE21" s="104">
        <v>0.0</v>
      </c>
      <c r="AF21" s="104">
        <v>1.0</v>
      </c>
      <c r="AG21" s="104">
        <v>0.0</v>
      </c>
      <c r="AH21" s="104">
        <v>0.0</v>
      </c>
      <c r="AI21" s="104">
        <v>0.0</v>
      </c>
      <c r="AJ21" s="104">
        <v>0.0</v>
      </c>
      <c r="AK21" s="104">
        <v>0.0</v>
      </c>
      <c r="AL21" s="104">
        <v>0.0</v>
      </c>
      <c r="AM21" s="104">
        <v>0.0</v>
      </c>
      <c r="AN21" s="104">
        <v>0.0</v>
      </c>
      <c r="AO21" s="104">
        <v>0.0</v>
      </c>
      <c r="AP21" s="104">
        <v>0.0</v>
      </c>
      <c r="AQ21" s="104">
        <v>0.0</v>
      </c>
    </row>
    <row r="22" ht="15.75" customHeight="1">
      <c r="A22" s="101">
        <f t="shared" si="1"/>
        <v>18</v>
      </c>
      <c r="B22" s="101">
        <v>130.0</v>
      </c>
      <c r="C22" s="102">
        <f t="shared" si="2"/>
        <v>1407</v>
      </c>
      <c r="D22" s="103">
        <v>0.0</v>
      </c>
      <c r="E22" s="104">
        <v>0.0</v>
      </c>
      <c r="F22" s="104">
        <v>0.0</v>
      </c>
      <c r="G22" s="104">
        <v>1.0</v>
      </c>
      <c r="H22" s="104">
        <v>0.0</v>
      </c>
      <c r="I22" s="104">
        <v>0.0</v>
      </c>
      <c r="J22" s="104">
        <v>0.0</v>
      </c>
      <c r="K22" s="104">
        <v>0.0</v>
      </c>
      <c r="L22" s="104">
        <v>0.0</v>
      </c>
      <c r="M22" s="104">
        <v>0.0</v>
      </c>
      <c r="N22" s="104">
        <v>0.0</v>
      </c>
      <c r="O22" s="104">
        <v>0.0</v>
      </c>
      <c r="P22" s="104">
        <v>0.0</v>
      </c>
      <c r="Q22" s="104">
        <v>0.0</v>
      </c>
      <c r="R22" s="104">
        <v>0.0</v>
      </c>
      <c r="S22" s="104">
        <v>0.0</v>
      </c>
      <c r="T22" s="104">
        <v>0.0</v>
      </c>
      <c r="U22" s="104">
        <v>0.0</v>
      </c>
      <c r="V22" s="104">
        <v>0.0</v>
      </c>
      <c r="W22" s="104">
        <v>0.0</v>
      </c>
      <c r="X22" s="103">
        <v>0.0</v>
      </c>
      <c r="Y22" s="104">
        <v>0.0</v>
      </c>
      <c r="Z22" s="104">
        <v>0.0</v>
      </c>
      <c r="AA22" s="104">
        <v>0.0</v>
      </c>
      <c r="AB22" s="104">
        <v>0.0</v>
      </c>
      <c r="AC22" s="104">
        <v>0.0</v>
      </c>
      <c r="AD22" s="104">
        <v>1.0</v>
      </c>
      <c r="AE22" s="104">
        <v>0.0</v>
      </c>
      <c r="AF22" s="104">
        <v>0.0</v>
      </c>
      <c r="AG22" s="104">
        <v>0.0</v>
      </c>
      <c r="AH22" s="104">
        <v>0.0</v>
      </c>
      <c r="AI22" s="104">
        <v>10.0</v>
      </c>
      <c r="AJ22" s="104">
        <v>0.0</v>
      </c>
      <c r="AK22" s="104">
        <v>0.0</v>
      </c>
      <c r="AL22" s="104">
        <v>0.0</v>
      </c>
      <c r="AM22" s="104">
        <v>0.0</v>
      </c>
      <c r="AN22" s="104">
        <v>0.0</v>
      </c>
      <c r="AO22" s="104">
        <v>0.0</v>
      </c>
      <c r="AP22" s="104">
        <v>0.0</v>
      </c>
      <c r="AQ22" s="104">
        <v>0.0</v>
      </c>
    </row>
    <row r="23" ht="15.75" customHeight="1">
      <c r="A23" s="101">
        <f t="shared" si="1"/>
        <v>19</v>
      </c>
      <c r="B23" s="101">
        <v>130.0</v>
      </c>
      <c r="C23" s="102">
        <f t="shared" si="2"/>
        <v>1537</v>
      </c>
      <c r="D23" s="103">
        <v>0.0</v>
      </c>
      <c r="E23" s="104">
        <v>0.0</v>
      </c>
      <c r="F23" s="104">
        <v>0.0</v>
      </c>
      <c r="G23" s="104">
        <v>0.0</v>
      </c>
      <c r="H23" s="104">
        <v>0.0</v>
      </c>
      <c r="I23" s="104">
        <v>1.0</v>
      </c>
      <c r="J23" s="104">
        <v>0.0</v>
      </c>
      <c r="K23" s="104">
        <v>0.0</v>
      </c>
      <c r="L23" s="104">
        <v>0.0</v>
      </c>
      <c r="M23" s="104">
        <v>0.0</v>
      </c>
      <c r="N23" s="104">
        <v>0.0</v>
      </c>
      <c r="O23" s="104">
        <v>0.0</v>
      </c>
      <c r="P23" s="104">
        <v>0.0</v>
      </c>
      <c r="Q23" s="104">
        <v>0.0</v>
      </c>
      <c r="R23" s="104">
        <v>0.0</v>
      </c>
      <c r="S23" s="104">
        <v>0.0</v>
      </c>
      <c r="T23" s="104">
        <v>0.0</v>
      </c>
      <c r="U23" s="104">
        <v>0.0</v>
      </c>
      <c r="V23" s="104">
        <v>0.0</v>
      </c>
      <c r="W23" s="104">
        <v>0.0</v>
      </c>
      <c r="X23" s="103">
        <v>0.0</v>
      </c>
      <c r="Y23" s="104">
        <v>0.0</v>
      </c>
      <c r="Z23" s="104">
        <v>0.0</v>
      </c>
      <c r="AA23" s="104">
        <v>0.0</v>
      </c>
      <c r="AB23" s="104">
        <v>1.0</v>
      </c>
      <c r="AC23" s="104">
        <v>0.0</v>
      </c>
      <c r="AD23" s="104">
        <v>0.0</v>
      </c>
      <c r="AE23" s="104">
        <v>0.0</v>
      </c>
      <c r="AF23" s="104">
        <v>0.0</v>
      </c>
      <c r="AG23" s="104">
        <v>0.0</v>
      </c>
      <c r="AH23" s="104">
        <v>15.0</v>
      </c>
      <c r="AI23" s="104">
        <v>0.0</v>
      </c>
      <c r="AJ23" s="104">
        <v>0.0</v>
      </c>
      <c r="AK23" s="104">
        <v>0.0</v>
      </c>
      <c r="AL23" s="104">
        <v>0.0</v>
      </c>
      <c r="AM23" s="104">
        <v>0.0</v>
      </c>
      <c r="AN23" s="104">
        <v>0.0</v>
      </c>
      <c r="AO23" s="104">
        <v>0.0</v>
      </c>
      <c r="AP23" s="104">
        <v>0.0</v>
      </c>
      <c r="AQ23" s="104">
        <v>0.0</v>
      </c>
    </row>
    <row r="24" ht="15.75" customHeight="1">
      <c r="A24" s="101">
        <f t="shared" si="1"/>
        <v>20</v>
      </c>
      <c r="B24" s="101">
        <v>160.0</v>
      </c>
      <c r="C24" s="102">
        <f t="shared" si="2"/>
        <v>1697</v>
      </c>
      <c r="D24" s="103">
        <v>20.0</v>
      </c>
      <c r="E24" s="104">
        <v>0.0</v>
      </c>
      <c r="F24" s="104">
        <v>0.0</v>
      </c>
      <c r="G24" s="104">
        <v>0.0</v>
      </c>
      <c r="H24" s="104">
        <v>0.0</v>
      </c>
      <c r="I24" s="104">
        <v>0.0</v>
      </c>
      <c r="J24" s="104">
        <v>0.0</v>
      </c>
      <c r="K24" s="104">
        <v>0.0</v>
      </c>
      <c r="L24" s="104">
        <v>0.0</v>
      </c>
      <c r="M24" s="104">
        <v>0.0</v>
      </c>
      <c r="N24" s="104">
        <v>0.0</v>
      </c>
      <c r="O24" s="104">
        <v>0.0</v>
      </c>
      <c r="P24" s="104">
        <v>0.0</v>
      </c>
      <c r="Q24" s="104">
        <v>0.0</v>
      </c>
      <c r="R24" s="104">
        <v>0.0</v>
      </c>
      <c r="S24" s="104">
        <v>0.0</v>
      </c>
      <c r="T24" s="104">
        <v>0.0</v>
      </c>
      <c r="U24" s="104">
        <v>0.0</v>
      </c>
      <c r="V24" s="104">
        <v>0.0</v>
      </c>
      <c r="W24" s="104">
        <v>0.0</v>
      </c>
      <c r="X24" s="103">
        <v>40.0</v>
      </c>
      <c r="Y24" s="104">
        <v>0.0</v>
      </c>
      <c r="Z24" s="104">
        <v>0.0</v>
      </c>
      <c r="AA24" s="104">
        <v>1.0</v>
      </c>
      <c r="AB24" s="104">
        <v>0.0</v>
      </c>
      <c r="AC24" s="104">
        <v>0.0</v>
      </c>
      <c r="AD24" s="104">
        <v>0.0</v>
      </c>
      <c r="AE24" s="104">
        <v>0.0</v>
      </c>
      <c r="AF24" s="104">
        <v>0.0</v>
      </c>
      <c r="AG24" s="104">
        <v>60.0</v>
      </c>
      <c r="AH24" s="104">
        <v>0.0</v>
      </c>
      <c r="AI24" s="104">
        <v>0.0</v>
      </c>
      <c r="AJ24" s="104">
        <v>0.0</v>
      </c>
      <c r="AK24" s="104">
        <v>0.0</v>
      </c>
      <c r="AL24" s="104">
        <v>0.0</v>
      </c>
      <c r="AM24" s="104">
        <v>0.0</v>
      </c>
      <c r="AN24" s="104">
        <v>0.0</v>
      </c>
      <c r="AO24" s="104">
        <v>0.0</v>
      </c>
      <c r="AP24" s="104">
        <v>0.0</v>
      </c>
      <c r="AQ24" s="104">
        <v>0.0</v>
      </c>
    </row>
    <row r="25" ht="15.75" customHeight="1">
      <c r="A25" s="101">
        <f t="shared" si="1"/>
        <v>21</v>
      </c>
      <c r="B25" s="101">
        <v>160.0</v>
      </c>
      <c r="C25" s="102">
        <f t="shared" si="2"/>
        <v>1857</v>
      </c>
      <c r="D25" s="103">
        <v>0.0</v>
      </c>
      <c r="E25" s="104">
        <v>0.0</v>
      </c>
      <c r="F25" s="104">
        <v>0.0</v>
      </c>
      <c r="G25" s="104">
        <v>0.0</v>
      </c>
      <c r="H25" s="104">
        <v>1.0</v>
      </c>
      <c r="I25" s="104">
        <v>0.0</v>
      </c>
      <c r="J25" s="104">
        <v>0.0</v>
      </c>
      <c r="K25" s="104">
        <v>0.0</v>
      </c>
      <c r="L25" s="104">
        <v>0.0</v>
      </c>
      <c r="M25" s="104">
        <v>0.0</v>
      </c>
      <c r="N25" s="104">
        <v>0.0</v>
      </c>
      <c r="O25" s="104">
        <v>0.0</v>
      </c>
      <c r="P25" s="104">
        <v>0.0</v>
      </c>
      <c r="Q25" s="104">
        <v>0.0</v>
      </c>
      <c r="R25" s="104">
        <v>0.0</v>
      </c>
      <c r="S25" s="104">
        <v>0.0</v>
      </c>
      <c r="T25" s="104">
        <v>0.0</v>
      </c>
      <c r="U25" s="104">
        <v>0.0</v>
      </c>
      <c r="V25" s="104">
        <v>0.0</v>
      </c>
      <c r="W25" s="104">
        <v>0.0</v>
      </c>
      <c r="X25" s="103">
        <v>0.0</v>
      </c>
      <c r="Y25" s="104">
        <v>0.0</v>
      </c>
      <c r="Z25" s="104">
        <v>0.0</v>
      </c>
      <c r="AA25" s="104">
        <v>0.0</v>
      </c>
      <c r="AB25" s="104">
        <v>0.0</v>
      </c>
      <c r="AC25" s="104">
        <v>1.0</v>
      </c>
      <c r="AD25" s="104">
        <v>0.0</v>
      </c>
      <c r="AE25" s="104">
        <v>0.0</v>
      </c>
      <c r="AF25" s="104">
        <v>0.0</v>
      </c>
      <c r="AG25" s="104">
        <v>0.0</v>
      </c>
      <c r="AH25" s="104">
        <v>0.0</v>
      </c>
      <c r="AI25" s="104">
        <v>15.0</v>
      </c>
      <c r="AJ25" s="104">
        <v>0.0</v>
      </c>
      <c r="AK25" s="104">
        <v>0.0</v>
      </c>
      <c r="AL25" s="104">
        <v>0.0</v>
      </c>
      <c r="AM25" s="104">
        <v>0.0</v>
      </c>
      <c r="AN25" s="104">
        <v>0.0</v>
      </c>
      <c r="AO25" s="104">
        <v>0.0</v>
      </c>
      <c r="AP25" s="104">
        <v>0.0</v>
      </c>
      <c r="AQ25" s="104">
        <v>0.0</v>
      </c>
    </row>
    <row r="26" ht="15.75" customHeight="1">
      <c r="A26" s="101">
        <f t="shared" si="1"/>
        <v>22</v>
      </c>
      <c r="B26" s="101">
        <v>160.0</v>
      </c>
      <c r="C26" s="102">
        <f t="shared" si="2"/>
        <v>2017</v>
      </c>
      <c r="D26" s="103">
        <v>0.0</v>
      </c>
      <c r="E26" s="104">
        <v>0.0</v>
      </c>
      <c r="F26" s="104">
        <v>0.0</v>
      </c>
      <c r="G26" s="104">
        <v>0.0</v>
      </c>
      <c r="H26" s="104">
        <v>0.0</v>
      </c>
      <c r="I26" s="104">
        <v>0.0</v>
      </c>
      <c r="J26" s="104">
        <v>0.0</v>
      </c>
      <c r="K26" s="104">
        <v>0.0</v>
      </c>
      <c r="L26" s="104">
        <v>0.0</v>
      </c>
      <c r="M26" s="104">
        <v>0.0</v>
      </c>
      <c r="N26" s="104">
        <v>15.0</v>
      </c>
      <c r="O26" s="104">
        <v>0.0</v>
      </c>
      <c r="P26" s="104">
        <v>0.0</v>
      </c>
      <c r="Q26" s="104">
        <v>0.0</v>
      </c>
      <c r="R26" s="104">
        <v>0.0</v>
      </c>
      <c r="S26" s="104">
        <v>0.0</v>
      </c>
      <c r="T26" s="104">
        <v>0.0</v>
      </c>
      <c r="U26" s="104">
        <v>0.0</v>
      </c>
      <c r="V26" s="104">
        <v>0.0</v>
      </c>
      <c r="W26" s="104">
        <v>0.0</v>
      </c>
      <c r="X26" s="103">
        <v>0.0</v>
      </c>
      <c r="Y26" s="104">
        <v>0.0</v>
      </c>
      <c r="Z26" s="104">
        <v>0.0</v>
      </c>
      <c r="AA26" s="104">
        <v>0.0</v>
      </c>
      <c r="AB26" s="104">
        <v>0.0</v>
      </c>
      <c r="AC26" s="104">
        <v>0.0</v>
      </c>
      <c r="AD26" s="104">
        <v>0.0</v>
      </c>
      <c r="AE26" s="104">
        <v>1.0</v>
      </c>
      <c r="AF26" s="104">
        <v>0.0</v>
      </c>
      <c r="AG26" s="104">
        <v>0.0</v>
      </c>
      <c r="AH26" s="104">
        <v>0.0</v>
      </c>
      <c r="AI26" s="104">
        <v>0.0</v>
      </c>
      <c r="AJ26" s="104">
        <v>10.0</v>
      </c>
      <c r="AK26" s="104">
        <v>0.0</v>
      </c>
      <c r="AL26" s="104">
        <v>0.0</v>
      </c>
      <c r="AM26" s="104">
        <v>0.0</v>
      </c>
      <c r="AN26" s="104">
        <v>0.0</v>
      </c>
      <c r="AO26" s="104">
        <v>0.0</v>
      </c>
      <c r="AP26" s="104">
        <v>0.0</v>
      </c>
      <c r="AQ26" s="104">
        <v>0.0</v>
      </c>
    </row>
    <row r="27" ht="15.75" customHeight="1">
      <c r="A27" s="101">
        <f t="shared" si="1"/>
        <v>23</v>
      </c>
      <c r="B27" s="101">
        <v>160.0</v>
      </c>
      <c r="C27" s="102">
        <f t="shared" si="2"/>
        <v>2177</v>
      </c>
      <c r="D27" s="103">
        <v>0.0</v>
      </c>
      <c r="E27" s="104">
        <v>0.0</v>
      </c>
      <c r="F27" s="104">
        <v>0.0</v>
      </c>
      <c r="G27" s="104">
        <v>0.0</v>
      </c>
      <c r="H27" s="104">
        <v>1.0</v>
      </c>
      <c r="I27" s="104">
        <v>0.0</v>
      </c>
      <c r="J27" s="104">
        <v>0.0</v>
      </c>
      <c r="K27" s="104">
        <v>0.0</v>
      </c>
      <c r="L27" s="104">
        <v>0.0</v>
      </c>
      <c r="M27" s="104">
        <v>0.0</v>
      </c>
      <c r="N27" s="104">
        <v>0.0</v>
      </c>
      <c r="O27" s="104">
        <v>0.0</v>
      </c>
      <c r="P27" s="104">
        <v>0.0</v>
      </c>
      <c r="Q27" s="104">
        <v>0.0</v>
      </c>
      <c r="R27" s="104">
        <v>0.0</v>
      </c>
      <c r="S27" s="104">
        <v>0.0</v>
      </c>
      <c r="T27" s="104">
        <v>0.0</v>
      </c>
      <c r="U27" s="104">
        <v>0.0</v>
      </c>
      <c r="V27" s="104">
        <v>0.0</v>
      </c>
      <c r="W27" s="104">
        <v>0.0</v>
      </c>
      <c r="X27" s="103">
        <v>0.0</v>
      </c>
      <c r="Y27" s="104">
        <v>0.0</v>
      </c>
      <c r="Z27" s="104">
        <v>0.0</v>
      </c>
      <c r="AA27" s="104">
        <v>0.0</v>
      </c>
      <c r="AB27" s="104">
        <v>0.0</v>
      </c>
      <c r="AC27" s="104">
        <v>1.0</v>
      </c>
      <c r="AD27" s="104">
        <v>1.0</v>
      </c>
      <c r="AE27" s="104">
        <v>0.0</v>
      </c>
      <c r="AF27" s="104">
        <v>0.0</v>
      </c>
      <c r="AG27" s="104">
        <v>0.0</v>
      </c>
      <c r="AH27" s="104">
        <v>0.0</v>
      </c>
      <c r="AI27" s="104">
        <v>0.0</v>
      </c>
      <c r="AJ27" s="104">
        <v>0.0</v>
      </c>
      <c r="AK27" s="104">
        <v>0.0</v>
      </c>
      <c r="AL27" s="104">
        <v>0.0</v>
      </c>
      <c r="AM27" s="104">
        <v>0.0</v>
      </c>
      <c r="AN27" s="104">
        <v>0.0</v>
      </c>
      <c r="AO27" s="104">
        <v>0.0</v>
      </c>
      <c r="AP27" s="104">
        <v>0.0</v>
      </c>
      <c r="AQ27" s="104">
        <v>0.0</v>
      </c>
    </row>
    <row r="28" ht="15.75" customHeight="1">
      <c r="A28" s="101">
        <f t="shared" si="1"/>
        <v>24</v>
      </c>
      <c r="B28" s="101">
        <v>160.0</v>
      </c>
      <c r="C28" s="102">
        <f t="shared" si="2"/>
        <v>2337</v>
      </c>
      <c r="D28" s="103">
        <v>0.0</v>
      </c>
      <c r="E28" s="104">
        <v>0.0</v>
      </c>
      <c r="F28" s="104">
        <v>0.0</v>
      </c>
      <c r="G28" s="104">
        <v>0.0</v>
      </c>
      <c r="H28" s="104">
        <v>0.0</v>
      </c>
      <c r="I28" s="104">
        <v>0.0</v>
      </c>
      <c r="J28" s="104">
        <v>0.0</v>
      </c>
      <c r="K28" s="104">
        <v>0.0</v>
      </c>
      <c r="L28" s="104">
        <v>0.0</v>
      </c>
      <c r="M28" s="104">
        <v>30.0</v>
      </c>
      <c r="N28" s="104">
        <v>0.0</v>
      </c>
      <c r="O28" s="104">
        <v>0.0</v>
      </c>
      <c r="P28" s="104">
        <v>0.0</v>
      </c>
      <c r="Q28" s="104">
        <v>0.0</v>
      </c>
      <c r="R28" s="104">
        <v>0.0</v>
      </c>
      <c r="S28" s="104">
        <v>0.0</v>
      </c>
      <c r="T28" s="104">
        <v>0.0</v>
      </c>
      <c r="U28" s="104">
        <v>0.0</v>
      </c>
      <c r="V28" s="104">
        <v>0.0</v>
      </c>
      <c r="W28" s="104">
        <v>0.0</v>
      </c>
      <c r="X28" s="103">
        <v>0.0</v>
      </c>
      <c r="Y28" s="104">
        <v>0.0</v>
      </c>
      <c r="Z28" s="104">
        <v>0.0</v>
      </c>
      <c r="AA28" s="104">
        <v>0.0</v>
      </c>
      <c r="AB28" s="104">
        <v>1.0</v>
      </c>
      <c r="AC28" s="104">
        <v>0.0</v>
      </c>
      <c r="AD28" s="104">
        <v>0.0</v>
      </c>
      <c r="AE28" s="104">
        <v>0.0</v>
      </c>
      <c r="AF28" s="104">
        <v>0.0</v>
      </c>
      <c r="AG28" s="104">
        <v>0.0</v>
      </c>
      <c r="AH28" s="104">
        <v>10.0</v>
      </c>
      <c r="AI28" s="104">
        <v>0.0</v>
      </c>
      <c r="AJ28" s="104">
        <v>0.0</v>
      </c>
      <c r="AK28" s="104">
        <v>0.0</v>
      </c>
      <c r="AL28" s="104">
        <v>0.0</v>
      </c>
      <c r="AM28" s="104">
        <v>0.0</v>
      </c>
      <c r="AN28" s="104">
        <v>0.0</v>
      </c>
      <c r="AO28" s="104">
        <v>0.0</v>
      </c>
      <c r="AP28" s="104">
        <v>0.0</v>
      </c>
      <c r="AQ28" s="104">
        <v>0.0</v>
      </c>
    </row>
    <row r="29" ht="15.75" customHeight="1">
      <c r="A29" s="101">
        <f t="shared" si="1"/>
        <v>25</v>
      </c>
      <c r="B29" s="101">
        <v>190.0</v>
      </c>
      <c r="C29" s="102">
        <f t="shared" si="2"/>
        <v>2527</v>
      </c>
      <c r="D29" s="103">
        <v>25.0</v>
      </c>
      <c r="E29" s="104">
        <v>0.0</v>
      </c>
      <c r="F29" s="104">
        <v>0.0</v>
      </c>
      <c r="G29" s="104">
        <v>0.0</v>
      </c>
      <c r="H29" s="104">
        <v>0.0</v>
      </c>
      <c r="I29" s="104">
        <v>0.0</v>
      </c>
      <c r="J29" s="104">
        <v>0.0</v>
      </c>
      <c r="K29" s="104">
        <v>0.0</v>
      </c>
      <c r="L29" s="104">
        <v>0.0</v>
      </c>
      <c r="M29" s="104">
        <v>0.0</v>
      </c>
      <c r="N29" s="104">
        <v>0.0</v>
      </c>
      <c r="O29" s="104">
        <v>0.0</v>
      </c>
      <c r="P29" s="104">
        <v>0.0</v>
      </c>
      <c r="Q29" s="104">
        <v>0.0</v>
      </c>
      <c r="R29" s="104">
        <v>0.0</v>
      </c>
      <c r="S29" s="104">
        <v>0.0</v>
      </c>
      <c r="T29" s="104">
        <v>0.0</v>
      </c>
      <c r="U29" s="104">
        <v>0.0</v>
      </c>
      <c r="V29" s="104">
        <v>0.0</v>
      </c>
      <c r="W29" s="104">
        <v>0.0</v>
      </c>
      <c r="X29" s="103">
        <v>55.0</v>
      </c>
      <c r="Y29" s="104">
        <v>0.0</v>
      </c>
      <c r="Z29" s="104">
        <v>0.0</v>
      </c>
      <c r="AA29" s="104">
        <v>0.0</v>
      </c>
      <c r="AB29" s="104">
        <v>0.0</v>
      </c>
      <c r="AC29" s="104">
        <v>0.0</v>
      </c>
      <c r="AD29" s="104">
        <v>0.0</v>
      </c>
      <c r="AE29" s="104">
        <v>0.0</v>
      </c>
      <c r="AF29" s="104">
        <v>0.0</v>
      </c>
      <c r="AG29" s="104">
        <v>120.0</v>
      </c>
      <c r="AH29" s="104">
        <v>0.0</v>
      </c>
      <c r="AI29" s="104">
        <v>0.0</v>
      </c>
      <c r="AJ29" s="104">
        <v>0.0</v>
      </c>
      <c r="AK29" s="104">
        <v>0.0</v>
      </c>
      <c r="AL29" s="104">
        <v>0.0</v>
      </c>
      <c r="AM29" s="104">
        <v>0.0</v>
      </c>
      <c r="AN29" s="104">
        <v>0.0</v>
      </c>
      <c r="AO29" s="104">
        <v>0.0</v>
      </c>
      <c r="AP29" s="104">
        <v>0.0</v>
      </c>
      <c r="AQ29" s="104">
        <v>0.0</v>
      </c>
    </row>
    <row r="30" ht="15.75" customHeight="1">
      <c r="A30" s="101">
        <f t="shared" si="1"/>
        <v>26</v>
      </c>
      <c r="B30" s="101">
        <v>190.0</v>
      </c>
      <c r="C30" s="102">
        <f t="shared" si="2"/>
        <v>2717</v>
      </c>
      <c r="D30" s="103">
        <v>0.0</v>
      </c>
      <c r="E30" s="104">
        <v>0.0</v>
      </c>
      <c r="F30" s="104">
        <v>0.0</v>
      </c>
      <c r="G30" s="104">
        <v>0.0</v>
      </c>
      <c r="H30" s="104">
        <v>0.0</v>
      </c>
      <c r="I30" s="104">
        <v>0.0</v>
      </c>
      <c r="J30" s="104">
        <v>0.0</v>
      </c>
      <c r="K30" s="104">
        <v>0.0</v>
      </c>
      <c r="L30" s="104">
        <v>0.0</v>
      </c>
      <c r="M30" s="104">
        <v>30.0</v>
      </c>
      <c r="N30" s="104">
        <v>0.0</v>
      </c>
      <c r="O30" s="104">
        <v>0.0</v>
      </c>
      <c r="P30" s="104">
        <v>0.0</v>
      </c>
      <c r="Q30" s="104">
        <v>0.0</v>
      </c>
      <c r="R30" s="104">
        <v>0.0</v>
      </c>
      <c r="S30" s="104">
        <v>0.0</v>
      </c>
      <c r="T30" s="104">
        <v>0.0</v>
      </c>
      <c r="U30" s="104">
        <v>0.0</v>
      </c>
      <c r="V30" s="104">
        <v>0.0</v>
      </c>
      <c r="W30" s="104">
        <v>0.0</v>
      </c>
      <c r="X30" s="103">
        <v>0.0</v>
      </c>
      <c r="Y30" s="104">
        <v>0.0</v>
      </c>
      <c r="Z30" s="104">
        <v>0.0</v>
      </c>
      <c r="AA30" s="104">
        <v>1.0</v>
      </c>
      <c r="AB30" s="104">
        <v>0.0</v>
      </c>
      <c r="AC30" s="104">
        <v>0.0</v>
      </c>
      <c r="AD30" s="104">
        <v>0.0</v>
      </c>
      <c r="AE30" s="104">
        <v>1.0</v>
      </c>
      <c r="AF30" s="104">
        <v>0.0</v>
      </c>
      <c r="AG30" s="104">
        <v>0.0</v>
      </c>
      <c r="AH30" s="104">
        <v>0.0</v>
      </c>
      <c r="AI30" s="104">
        <v>0.0</v>
      </c>
      <c r="AJ30" s="104">
        <v>0.0</v>
      </c>
      <c r="AK30" s="104">
        <v>0.0</v>
      </c>
      <c r="AL30" s="104">
        <v>0.0</v>
      </c>
      <c r="AM30" s="104">
        <v>0.0</v>
      </c>
      <c r="AN30" s="104">
        <v>0.0</v>
      </c>
      <c r="AO30" s="104">
        <v>0.0</v>
      </c>
      <c r="AP30" s="104">
        <v>0.0</v>
      </c>
      <c r="AQ30" s="104">
        <v>0.0</v>
      </c>
    </row>
    <row r="31" ht="15.75" customHeight="1">
      <c r="A31" s="101">
        <f t="shared" si="1"/>
        <v>27</v>
      </c>
      <c r="B31" s="101">
        <v>190.0</v>
      </c>
      <c r="C31" s="102">
        <f t="shared" si="2"/>
        <v>2907</v>
      </c>
      <c r="D31" s="103">
        <v>0.0</v>
      </c>
      <c r="E31" s="104">
        <v>0.0</v>
      </c>
      <c r="F31" s="104">
        <v>0.0</v>
      </c>
      <c r="G31" s="104">
        <v>0.0</v>
      </c>
      <c r="H31" s="104">
        <v>0.0</v>
      </c>
      <c r="I31" s="104">
        <v>0.0</v>
      </c>
      <c r="J31" s="104">
        <v>1.0</v>
      </c>
      <c r="K31" s="104">
        <v>0.0</v>
      </c>
      <c r="L31" s="104">
        <v>0.0</v>
      </c>
      <c r="M31" s="104">
        <v>0.0</v>
      </c>
      <c r="N31" s="104">
        <v>0.0</v>
      </c>
      <c r="O31" s="104">
        <v>0.0</v>
      </c>
      <c r="P31" s="104">
        <v>0.0</v>
      </c>
      <c r="Q31" s="104">
        <v>0.0</v>
      </c>
      <c r="R31" s="104">
        <v>0.0</v>
      </c>
      <c r="S31" s="104">
        <v>0.0</v>
      </c>
      <c r="T31" s="104">
        <v>0.0</v>
      </c>
      <c r="U31" s="104">
        <v>0.0</v>
      </c>
      <c r="V31" s="104">
        <v>0.0</v>
      </c>
      <c r="W31" s="104">
        <v>0.0</v>
      </c>
      <c r="X31" s="103">
        <v>0.0</v>
      </c>
      <c r="Y31" s="104">
        <v>0.0</v>
      </c>
      <c r="Z31" s="104">
        <v>0.0</v>
      </c>
      <c r="AA31" s="104">
        <v>0.0</v>
      </c>
      <c r="AB31" s="104">
        <v>0.0</v>
      </c>
      <c r="AC31" s="104">
        <v>0.0</v>
      </c>
      <c r="AD31" s="104">
        <v>0.0</v>
      </c>
      <c r="AE31" s="104">
        <v>0.0</v>
      </c>
      <c r="AF31" s="104">
        <v>1.0</v>
      </c>
      <c r="AG31" s="104">
        <v>0.0</v>
      </c>
      <c r="AH31" s="104">
        <v>0.0</v>
      </c>
      <c r="AI31" s="104">
        <v>10.0</v>
      </c>
      <c r="AJ31" s="104">
        <v>0.0</v>
      </c>
      <c r="AK31" s="104">
        <v>0.0</v>
      </c>
      <c r="AL31" s="104">
        <v>0.0</v>
      </c>
      <c r="AM31" s="104">
        <v>0.0</v>
      </c>
      <c r="AN31" s="104">
        <v>0.0</v>
      </c>
      <c r="AO31" s="104">
        <v>0.0</v>
      </c>
      <c r="AP31" s="104">
        <v>0.0</v>
      </c>
      <c r="AQ31" s="104">
        <v>0.0</v>
      </c>
    </row>
    <row r="32" ht="15.75" customHeight="1">
      <c r="A32" s="101">
        <f t="shared" si="1"/>
        <v>28</v>
      </c>
      <c r="B32" s="101">
        <v>190.0</v>
      </c>
      <c r="C32" s="102">
        <f t="shared" si="2"/>
        <v>3097</v>
      </c>
      <c r="D32" s="103">
        <v>0.0</v>
      </c>
      <c r="E32" s="104">
        <v>0.0</v>
      </c>
      <c r="F32" s="104">
        <v>0.0</v>
      </c>
      <c r="G32" s="104">
        <v>0.0</v>
      </c>
      <c r="H32" s="104">
        <v>0.0</v>
      </c>
      <c r="I32" s="104">
        <v>1.0</v>
      </c>
      <c r="J32" s="104">
        <v>0.0</v>
      </c>
      <c r="K32" s="104">
        <v>0.0</v>
      </c>
      <c r="L32" s="104">
        <v>0.0</v>
      </c>
      <c r="M32" s="104">
        <v>0.0</v>
      </c>
      <c r="N32" s="104">
        <v>0.0</v>
      </c>
      <c r="O32" s="104">
        <v>0.0</v>
      </c>
      <c r="P32" s="104">
        <v>0.0</v>
      </c>
      <c r="Q32" s="104">
        <v>0.0</v>
      </c>
      <c r="R32" s="104">
        <v>0.0</v>
      </c>
      <c r="S32" s="104">
        <v>0.0</v>
      </c>
      <c r="T32" s="104">
        <v>0.0</v>
      </c>
      <c r="U32" s="104">
        <v>0.0</v>
      </c>
      <c r="V32" s="104">
        <v>0.0</v>
      </c>
      <c r="W32" s="104">
        <v>0.0</v>
      </c>
      <c r="X32" s="103">
        <v>0.0</v>
      </c>
      <c r="Y32" s="104">
        <v>0.0</v>
      </c>
      <c r="Z32" s="104">
        <v>0.0</v>
      </c>
      <c r="AA32" s="104">
        <v>0.0</v>
      </c>
      <c r="AB32" s="104">
        <v>0.0</v>
      </c>
      <c r="AC32" s="104">
        <v>0.0</v>
      </c>
      <c r="AD32" s="104">
        <v>0.0</v>
      </c>
      <c r="AE32" s="104">
        <v>0.0</v>
      </c>
      <c r="AF32" s="104">
        <v>0.0</v>
      </c>
      <c r="AG32" s="104">
        <v>60.0</v>
      </c>
      <c r="AH32" s="104">
        <v>15.0</v>
      </c>
      <c r="AI32" s="104">
        <v>0.0</v>
      </c>
      <c r="AJ32" s="104">
        <v>0.0</v>
      </c>
      <c r="AK32" s="104">
        <v>0.0</v>
      </c>
      <c r="AL32" s="104">
        <v>0.0</v>
      </c>
      <c r="AM32" s="104">
        <v>0.0</v>
      </c>
      <c r="AN32" s="104">
        <v>0.0</v>
      </c>
      <c r="AO32" s="104">
        <v>0.0</v>
      </c>
      <c r="AP32" s="104">
        <v>0.0</v>
      </c>
      <c r="AQ32" s="104">
        <v>0.0</v>
      </c>
    </row>
    <row r="33" ht="15.75" customHeight="1">
      <c r="A33" s="101">
        <f t="shared" si="1"/>
        <v>29</v>
      </c>
      <c r="B33" s="101">
        <v>190.0</v>
      </c>
      <c r="C33" s="102">
        <f t="shared" si="2"/>
        <v>3287</v>
      </c>
      <c r="D33" s="103">
        <v>0.0</v>
      </c>
      <c r="E33" s="104">
        <v>0.0</v>
      </c>
      <c r="F33" s="104">
        <v>0.0</v>
      </c>
      <c r="G33" s="104">
        <v>0.0</v>
      </c>
      <c r="H33" s="104">
        <v>0.0</v>
      </c>
      <c r="I33" s="104">
        <v>0.0</v>
      </c>
      <c r="J33" s="104">
        <v>0.0</v>
      </c>
      <c r="K33" s="104">
        <v>1.0</v>
      </c>
      <c r="L33" s="104">
        <v>0.0</v>
      </c>
      <c r="M33" s="104">
        <v>0.0</v>
      </c>
      <c r="N33" s="104">
        <v>0.0</v>
      </c>
      <c r="O33" s="104">
        <v>0.0</v>
      </c>
      <c r="P33" s="104">
        <v>0.0</v>
      </c>
      <c r="Q33" s="104">
        <v>0.0</v>
      </c>
      <c r="R33" s="104">
        <v>0.0</v>
      </c>
      <c r="S33" s="104">
        <v>0.0</v>
      </c>
      <c r="T33" s="104">
        <v>0.0</v>
      </c>
      <c r="U33" s="104">
        <v>0.0</v>
      </c>
      <c r="V33" s="104">
        <v>0.0</v>
      </c>
      <c r="W33" s="104">
        <v>0.0</v>
      </c>
      <c r="X33" s="103">
        <v>0.0</v>
      </c>
      <c r="Y33" s="104">
        <v>0.0</v>
      </c>
      <c r="Z33" s="104">
        <v>0.0</v>
      </c>
      <c r="AA33" s="104">
        <v>0.0</v>
      </c>
      <c r="AB33" s="104">
        <v>0.0</v>
      </c>
      <c r="AC33" s="104">
        <v>0.0</v>
      </c>
      <c r="AD33" s="104">
        <v>0.0</v>
      </c>
      <c r="AE33" s="104">
        <v>0.0</v>
      </c>
      <c r="AF33" s="104">
        <v>0.0</v>
      </c>
      <c r="AG33" s="104">
        <v>120.0</v>
      </c>
      <c r="AH33" s="104">
        <v>0.0</v>
      </c>
      <c r="AI33" s="104">
        <v>0.0</v>
      </c>
      <c r="AJ33" s="104">
        <v>15.0</v>
      </c>
      <c r="AK33" s="104">
        <v>0.0</v>
      </c>
      <c r="AL33" s="104">
        <v>0.0</v>
      </c>
      <c r="AM33" s="104">
        <v>0.0</v>
      </c>
      <c r="AN33" s="104">
        <v>0.0</v>
      </c>
      <c r="AO33" s="104">
        <v>0.0</v>
      </c>
      <c r="AP33" s="104">
        <v>0.0</v>
      </c>
      <c r="AQ33" s="104">
        <v>0.0</v>
      </c>
    </row>
    <row r="34" ht="15.75" customHeight="1">
      <c r="A34" s="101">
        <f t="shared" si="1"/>
        <v>30</v>
      </c>
      <c r="B34" s="101">
        <v>270.0</v>
      </c>
      <c r="C34" s="102">
        <f t="shared" si="2"/>
        <v>3557</v>
      </c>
      <c r="D34" s="103">
        <v>40.0</v>
      </c>
      <c r="E34" s="104">
        <v>0.0</v>
      </c>
      <c r="F34" s="104">
        <v>0.0</v>
      </c>
      <c r="G34" s="104">
        <v>0.0</v>
      </c>
      <c r="H34" s="104">
        <v>0.0</v>
      </c>
      <c r="I34" s="104">
        <v>0.0</v>
      </c>
      <c r="J34" s="104">
        <v>0.0</v>
      </c>
      <c r="K34" s="104">
        <v>0.0</v>
      </c>
      <c r="L34" s="104">
        <v>0.0</v>
      </c>
      <c r="M34" s="104">
        <v>0.0</v>
      </c>
      <c r="N34" s="104">
        <v>0.0</v>
      </c>
      <c r="O34" s="104">
        <v>0.0</v>
      </c>
      <c r="P34" s="104">
        <v>0.0</v>
      </c>
      <c r="Q34" s="104">
        <v>0.0</v>
      </c>
      <c r="R34" s="104">
        <v>0.0</v>
      </c>
      <c r="S34" s="104">
        <v>0.0</v>
      </c>
      <c r="T34" s="104">
        <v>0.0</v>
      </c>
      <c r="U34" s="104">
        <v>0.0</v>
      </c>
      <c r="V34" s="104">
        <v>0.0</v>
      </c>
      <c r="W34" s="104">
        <v>0.0</v>
      </c>
      <c r="X34" s="103">
        <v>100.0</v>
      </c>
      <c r="Y34" s="104">
        <v>0.0</v>
      </c>
      <c r="Z34" s="104">
        <v>0.0</v>
      </c>
      <c r="AA34" s="104">
        <v>0.0</v>
      </c>
      <c r="AB34" s="104">
        <v>0.0</v>
      </c>
      <c r="AC34" s="104">
        <v>0.0</v>
      </c>
      <c r="AD34" s="104">
        <v>0.0</v>
      </c>
      <c r="AE34" s="104">
        <v>0.0</v>
      </c>
      <c r="AF34" s="104">
        <v>1.0</v>
      </c>
      <c r="AG34" s="104">
        <v>0.0</v>
      </c>
      <c r="AH34" s="104">
        <v>0.0</v>
      </c>
      <c r="AI34" s="104">
        <v>0.0</v>
      </c>
      <c r="AJ34" s="104">
        <v>0.0</v>
      </c>
      <c r="AK34" s="104">
        <v>1.0</v>
      </c>
      <c r="AL34" s="104">
        <v>0.0</v>
      </c>
      <c r="AM34" s="104">
        <v>0.0</v>
      </c>
      <c r="AN34" s="104">
        <v>0.0</v>
      </c>
      <c r="AO34" s="104">
        <v>0.0</v>
      </c>
      <c r="AP34" s="104">
        <v>0.0</v>
      </c>
      <c r="AQ34" s="104">
        <v>0.0</v>
      </c>
    </row>
    <row r="35" ht="15.75" customHeight="1">
      <c r="A35" s="105" t="s">
        <v>85</v>
      </c>
      <c r="B35" s="106">
        <f>SUM(B5:B34)</f>
        <v>3557</v>
      </c>
      <c r="C35" s="107" t="s">
        <v>86</v>
      </c>
      <c r="D35" s="108">
        <v>130.0</v>
      </c>
      <c r="E35" s="106">
        <v>0.0</v>
      </c>
      <c r="F35" s="106">
        <v>0.0</v>
      </c>
      <c r="G35" s="106">
        <v>4.0</v>
      </c>
      <c r="H35" s="106">
        <v>5.0</v>
      </c>
      <c r="I35" s="106">
        <v>2.0</v>
      </c>
      <c r="J35" s="106">
        <v>1.0</v>
      </c>
      <c r="K35" s="106">
        <v>2.0</v>
      </c>
      <c r="L35" s="106">
        <v>0.0</v>
      </c>
      <c r="M35" s="106">
        <v>165.0</v>
      </c>
      <c r="N35" s="106">
        <v>35.0</v>
      </c>
      <c r="O35" s="106">
        <v>15.0</v>
      </c>
      <c r="P35" s="106">
        <v>0.0</v>
      </c>
      <c r="Q35" s="106">
        <v>0.0</v>
      </c>
      <c r="R35" s="106">
        <v>0.0</v>
      </c>
      <c r="S35" s="106">
        <v>0.0</v>
      </c>
      <c r="T35" s="106">
        <v>0.0</v>
      </c>
      <c r="U35" s="106">
        <v>0.0</v>
      </c>
      <c r="V35" s="106">
        <v>0.0</v>
      </c>
      <c r="W35" s="107">
        <v>0.0</v>
      </c>
      <c r="X35" s="108">
        <v>300.0</v>
      </c>
      <c r="Y35" s="106">
        <v>0.0</v>
      </c>
      <c r="Z35" s="106">
        <v>0.0</v>
      </c>
      <c r="AA35" s="106">
        <v>4.0</v>
      </c>
      <c r="AB35" s="106">
        <v>3.0</v>
      </c>
      <c r="AC35" s="106">
        <v>5.0</v>
      </c>
      <c r="AD35" s="106">
        <v>4.0</v>
      </c>
      <c r="AE35" s="106">
        <v>4.0</v>
      </c>
      <c r="AF35" s="106">
        <v>4.0</v>
      </c>
      <c r="AG35" s="106">
        <v>600.0</v>
      </c>
      <c r="AH35" s="106">
        <v>50.0</v>
      </c>
      <c r="AI35" s="106">
        <v>65.0</v>
      </c>
      <c r="AJ35" s="106">
        <v>35.0</v>
      </c>
      <c r="AK35" s="106">
        <v>1.0</v>
      </c>
      <c r="AL35" s="106">
        <v>0.0</v>
      </c>
      <c r="AM35" s="106">
        <v>0.0</v>
      </c>
      <c r="AN35" s="106">
        <v>0.0</v>
      </c>
      <c r="AO35" s="106">
        <v>0.0</v>
      </c>
      <c r="AP35" s="106">
        <v>0.0</v>
      </c>
      <c r="AQ35" s="106">
        <v>0.0</v>
      </c>
    </row>
    <row r="36" ht="15.75" customHeight="1"/>
    <row r="37" ht="15.75" customHeight="1"/>
    <row r="38" ht="15.75" customHeight="1"/>
    <row r="39" ht="15.75" customHeight="1"/>
    <row r="40" ht="15.75" customHeight="1"/>
  </sheetData>
  <conditionalFormatting sqref="D5:AQ34">
    <cfRule type="cellIs" dxfId="1" priority="1" operator="greaterThan">
      <formula>0</formula>
    </cfRule>
  </conditionalFormatting>
  <conditionalFormatting sqref="A5:AQ34">
    <cfRule type="expression" dxfId="2" priority="2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39" t="s">
        <v>87</v>
      </c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</row>
    <row r="2">
      <c r="A2" s="110" t="s">
        <v>88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</row>
    <row r="3">
      <c r="A3" s="112" t="s">
        <v>89</v>
      </c>
      <c r="B3" s="113">
        <v>50.0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</row>
    <row r="4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</row>
    <row r="5">
      <c r="A5" s="110" t="s">
        <v>90</v>
      </c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</row>
    <row r="6">
      <c r="A6" s="114" t="s">
        <v>91</v>
      </c>
      <c r="B6" s="115" t="s">
        <v>19</v>
      </c>
      <c r="C6" s="116" t="s">
        <v>5</v>
      </c>
      <c r="D6" s="116" t="s">
        <v>77</v>
      </c>
      <c r="E6" s="116" t="s">
        <v>6</v>
      </c>
      <c r="F6" s="116" t="s">
        <v>7</v>
      </c>
      <c r="G6" s="116" t="s">
        <v>8</v>
      </c>
      <c r="H6" s="116" t="s">
        <v>9</v>
      </c>
      <c r="I6" s="116" t="s">
        <v>10</v>
      </c>
      <c r="J6" s="116" t="s">
        <v>11</v>
      </c>
      <c r="K6" s="116" t="s">
        <v>12</v>
      </c>
      <c r="L6" s="116" t="s">
        <v>13</v>
      </c>
      <c r="M6" s="116" t="s">
        <v>14</v>
      </c>
      <c r="N6" s="116" t="s">
        <v>15</v>
      </c>
      <c r="O6" s="116" t="s">
        <v>92</v>
      </c>
      <c r="P6" s="116" t="s">
        <v>78</v>
      </c>
      <c r="Q6" s="116" t="s">
        <v>79</v>
      </c>
      <c r="R6" s="116" t="s">
        <v>80</v>
      </c>
      <c r="S6" s="116" t="s">
        <v>81</v>
      </c>
      <c r="T6" s="116" t="s">
        <v>82</v>
      </c>
      <c r="U6" s="116" t="s">
        <v>83</v>
      </c>
      <c r="V6" s="116" t="s">
        <v>84</v>
      </c>
    </row>
    <row r="7">
      <c r="A7" s="117" t="s">
        <v>93</v>
      </c>
      <c r="B7" s="118">
        <v>500.0</v>
      </c>
      <c r="C7" s="119">
        <v>0.0</v>
      </c>
      <c r="D7" s="119">
        <v>0.0</v>
      </c>
      <c r="E7" s="119">
        <v>0.0</v>
      </c>
      <c r="F7" s="119">
        <v>0.0</v>
      </c>
      <c r="G7" s="120">
        <v>1.0</v>
      </c>
      <c r="H7" s="119">
        <v>0.0</v>
      </c>
      <c r="I7" s="119">
        <v>0.0</v>
      </c>
      <c r="J7" s="119">
        <v>0.0</v>
      </c>
      <c r="K7" s="119">
        <v>0.0</v>
      </c>
      <c r="L7" s="119">
        <v>0.0</v>
      </c>
      <c r="M7" s="119">
        <v>0.0</v>
      </c>
      <c r="N7" s="119">
        <v>0.0</v>
      </c>
      <c r="O7" s="119">
        <v>0.0</v>
      </c>
      <c r="P7" s="120">
        <v>1.0</v>
      </c>
      <c r="Q7" s="119">
        <v>0.0</v>
      </c>
      <c r="R7" s="119">
        <v>0.0</v>
      </c>
      <c r="S7" s="119">
        <v>0.0</v>
      </c>
      <c r="T7" s="119">
        <v>0.0</v>
      </c>
      <c r="U7" s="119">
        <v>0.0</v>
      </c>
      <c r="V7" s="119">
        <v>0.0</v>
      </c>
    </row>
    <row r="8">
      <c r="A8" s="121" t="s">
        <v>94</v>
      </c>
      <c r="B8" s="118">
        <v>300.0</v>
      </c>
      <c r="C8" s="122">
        <v>0.0</v>
      </c>
      <c r="D8" s="122">
        <v>0.0</v>
      </c>
      <c r="E8" s="122">
        <v>0.0</v>
      </c>
      <c r="F8" s="122">
        <v>0.0</v>
      </c>
      <c r="G8" s="122">
        <v>0.0</v>
      </c>
      <c r="H8" s="122">
        <v>0.0</v>
      </c>
      <c r="I8" s="120">
        <v>1.0</v>
      </c>
      <c r="J8" s="122">
        <v>0.0</v>
      </c>
      <c r="K8" s="122">
        <v>0.0</v>
      </c>
      <c r="L8" s="122">
        <v>0.0</v>
      </c>
      <c r="M8" s="122">
        <v>0.0</v>
      </c>
      <c r="N8" s="122">
        <v>0.0</v>
      </c>
      <c r="O8" s="122">
        <v>0.0</v>
      </c>
      <c r="P8" s="122">
        <v>0.0</v>
      </c>
      <c r="Q8" s="122">
        <v>0.0</v>
      </c>
      <c r="R8" s="122">
        <v>0.0</v>
      </c>
      <c r="S8" s="122">
        <v>0.0</v>
      </c>
      <c r="T8" s="122">
        <v>0.0</v>
      </c>
      <c r="U8" s="122">
        <v>0.0</v>
      </c>
      <c r="V8" s="122">
        <v>0.0</v>
      </c>
    </row>
    <row r="9">
      <c r="A9" s="117" t="s">
        <v>95</v>
      </c>
      <c r="B9" s="118">
        <v>200.0</v>
      </c>
      <c r="C9" s="119">
        <v>0.0</v>
      </c>
      <c r="D9" s="119">
        <v>0.0</v>
      </c>
      <c r="E9" s="119">
        <v>0.0</v>
      </c>
      <c r="F9" s="119">
        <v>0.0</v>
      </c>
      <c r="G9" s="119">
        <v>0.0</v>
      </c>
      <c r="H9" s="119">
        <v>0.0</v>
      </c>
      <c r="I9" s="120">
        <v>1.0</v>
      </c>
      <c r="J9" s="119">
        <v>0.0</v>
      </c>
      <c r="K9" s="119">
        <v>0.0</v>
      </c>
      <c r="L9" s="119">
        <v>0.0</v>
      </c>
      <c r="M9" s="119">
        <v>0.0</v>
      </c>
      <c r="N9" s="119">
        <v>0.0</v>
      </c>
      <c r="O9" s="119">
        <v>0.0</v>
      </c>
      <c r="P9" s="119">
        <v>0.0</v>
      </c>
      <c r="Q9" s="119">
        <v>0.0</v>
      </c>
      <c r="R9" s="119">
        <v>0.0</v>
      </c>
      <c r="S9" s="119">
        <v>0.0</v>
      </c>
      <c r="T9" s="119">
        <v>0.0</v>
      </c>
      <c r="U9" s="119">
        <v>0.0</v>
      </c>
      <c r="V9" s="119">
        <v>0.0</v>
      </c>
    </row>
    <row r="10">
      <c r="A10" s="121" t="s">
        <v>96</v>
      </c>
      <c r="B10" s="118">
        <v>175.0</v>
      </c>
      <c r="C10" s="122">
        <v>0.0</v>
      </c>
      <c r="D10" s="122">
        <v>0.0</v>
      </c>
      <c r="E10" s="122">
        <v>0.0</v>
      </c>
      <c r="F10" s="122">
        <v>0.0</v>
      </c>
      <c r="G10" s="122">
        <v>0.0</v>
      </c>
      <c r="H10" s="122">
        <v>0.0</v>
      </c>
      <c r="I10" s="120">
        <v>1.0</v>
      </c>
      <c r="J10" s="122">
        <v>0.0</v>
      </c>
      <c r="K10" s="122">
        <v>0.0</v>
      </c>
      <c r="L10" s="122">
        <v>0.0</v>
      </c>
      <c r="M10" s="122">
        <v>0.0</v>
      </c>
      <c r="N10" s="122">
        <v>0.0</v>
      </c>
      <c r="O10" s="122">
        <v>0.0</v>
      </c>
      <c r="P10" s="122">
        <v>0.0</v>
      </c>
      <c r="Q10" s="122">
        <v>0.0</v>
      </c>
      <c r="R10" s="122">
        <v>0.0</v>
      </c>
      <c r="S10" s="122">
        <v>0.0</v>
      </c>
      <c r="T10" s="122">
        <v>0.0</v>
      </c>
      <c r="U10" s="122">
        <v>0.0</v>
      </c>
      <c r="V10" s="122">
        <v>0.0</v>
      </c>
    </row>
    <row r="11">
      <c r="A11" s="117" t="s">
        <v>97</v>
      </c>
      <c r="B11" s="118">
        <v>150.0</v>
      </c>
      <c r="C11" s="119">
        <v>0.0</v>
      </c>
      <c r="D11" s="119">
        <v>0.0</v>
      </c>
      <c r="E11" s="119">
        <v>0.0</v>
      </c>
      <c r="F11" s="119">
        <v>0.0</v>
      </c>
      <c r="G11" s="119">
        <v>0.0</v>
      </c>
      <c r="H11" s="119">
        <v>0.0</v>
      </c>
      <c r="I11" s="120">
        <v>1.0</v>
      </c>
      <c r="J11" s="119">
        <v>0.0</v>
      </c>
      <c r="K11" s="119">
        <v>0.0</v>
      </c>
      <c r="L11" s="119">
        <v>0.0</v>
      </c>
      <c r="M11" s="119">
        <v>0.0</v>
      </c>
      <c r="N11" s="119">
        <v>0.0</v>
      </c>
      <c r="O11" s="119">
        <v>0.0</v>
      </c>
      <c r="P11" s="119">
        <v>0.0</v>
      </c>
      <c r="Q11" s="119">
        <v>0.0</v>
      </c>
      <c r="R11" s="119">
        <v>0.0</v>
      </c>
      <c r="S11" s="119">
        <v>0.0</v>
      </c>
      <c r="T11" s="119">
        <v>0.0</v>
      </c>
      <c r="U11" s="119">
        <v>0.0</v>
      </c>
      <c r="V11" s="119">
        <v>0.0</v>
      </c>
    </row>
    <row r="12">
      <c r="A12" s="121" t="s">
        <v>98</v>
      </c>
      <c r="B12" s="118">
        <v>125.0</v>
      </c>
      <c r="C12" s="122">
        <v>0.0</v>
      </c>
      <c r="D12" s="122">
        <v>0.0</v>
      </c>
      <c r="E12" s="122">
        <v>0.0</v>
      </c>
      <c r="F12" s="122">
        <v>0.0</v>
      </c>
      <c r="G12" s="122">
        <v>0.0</v>
      </c>
      <c r="H12" s="122">
        <v>0.0</v>
      </c>
      <c r="I12" s="120">
        <v>1.0</v>
      </c>
      <c r="J12" s="122">
        <v>0.0</v>
      </c>
      <c r="K12" s="122">
        <v>0.0</v>
      </c>
      <c r="L12" s="122">
        <v>0.0</v>
      </c>
      <c r="M12" s="122">
        <v>0.0</v>
      </c>
      <c r="N12" s="122">
        <v>0.0</v>
      </c>
      <c r="O12" s="122">
        <v>0.0</v>
      </c>
      <c r="P12" s="122">
        <v>0.0</v>
      </c>
      <c r="Q12" s="122">
        <v>0.0</v>
      </c>
      <c r="R12" s="122">
        <v>0.0</v>
      </c>
      <c r="S12" s="122">
        <v>0.0</v>
      </c>
      <c r="T12" s="122">
        <v>0.0</v>
      </c>
      <c r="U12" s="122">
        <v>0.0</v>
      </c>
      <c r="V12" s="122">
        <v>0.0</v>
      </c>
    </row>
    <row r="13">
      <c r="A13" s="117" t="s">
        <v>99</v>
      </c>
      <c r="B13" s="118">
        <v>100.0</v>
      </c>
      <c r="C13" s="119">
        <v>0.0</v>
      </c>
      <c r="D13" s="119">
        <v>0.0</v>
      </c>
      <c r="E13" s="119">
        <v>0.0</v>
      </c>
      <c r="F13" s="119">
        <v>0.0</v>
      </c>
      <c r="G13" s="119">
        <v>0.0</v>
      </c>
      <c r="H13" s="119">
        <v>0.0</v>
      </c>
      <c r="I13" s="120">
        <v>1.0</v>
      </c>
      <c r="J13" s="119">
        <v>0.0</v>
      </c>
      <c r="K13" s="119">
        <v>0.0</v>
      </c>
      <c r="L13" s="119">
        <v>0.0</v>
      </c>
      <c r="M13" s="119">
        <v>0.0</v>
      </c>
      <c r="N13" s="119">
        <v>0.0</v>
      </c>
      <c r="O13" s="119">
        <v>0.0</v>
      </c>
      <c r="P13" s="119">
        <v>0.0</v>
      </c>
      <c r="Q13" s="119">
        <v>0.0</v>
      </c>
      <c r="R13" s="119">
        <v>0.0</v>
      </c>
      <c r="S13" s="119">
        <v>0.0</v>
      </c>
      <c r="T13" s="119">
        <v>0.0</v>
      </c>
      <c r="U13" s="119">
        <v>0.0</v>
      </c>
      <c r="V13" s="119">
        <v>0.0</v>
      </c>
    </row>
    <row r="14">
      <c r="A14" s="121" t="s">
        <v>100</v>
      </c>
      <c r="B14" s="118">
        <v>75.0</v>
      </c>
      <c r="C14" s="122">
        <v>0.0</v>
      </c>
      <c r="D14" s="122">
        <v>0.0</v>
      </c>
      <c r="E14" s="122">
        <v>0.0</v>
      </c>
      <c r="F14" s="122">
        <v>0.0</v>
      </c>
      <c r="G14" s="122">
        <v>0.0</v>
      </c>
      <c r="H14" s="122">
        <v>0.0</v>
      </c>
      <c r="I14" s="120">
        <v>1.0</v>
      </c>
      <c r="J14" s="122">
        <v>0.0</v>
      </c>
      <c r="K14" s="122">
        <v>0.0</v>
      </c>
      <c r="L14" s="122">
        <v>0.0</v>
      </c>
      <c r="M14" s="122">
        <v>0.0</v>
      </c>
      <c r="N14" s="122">
        <v>0.0</v>
      </c>
      <c r="O14" s="122">
        <v>0.0</v>
      </c>
      <c r="P14" s="122">
        <v>0.0</v>
      </c>
      <c r="Q14" s="122">
        <v>0.0</v>
      </c>
      <c r="R14" s="122">
        <v>0.0</v>
      </c>
      <c r="S14" s="122">
        <v>0.0</v>
      </c>
      <c r="T14" s="122">
        <v>0.0</v>
      </c>
      <c r="U14" s="122">
        <v>0.0</v>
      </c>
      <c r="V14" s="122">
        <v>0.0</v>
      </c>
    </row>
    <row r="15">
      <c r="A15" s="117" t="s">
        <v>101</v>
      </c>
      <c r="B15" s="118">
        <v>50.0</v>
      </c>
      <c r="C15" s="119">
        <v>0.0</v>
      </c>
      <c r="D15" s="119">
        <v>0.0</v>
      </c>
      <c r="E15" s="119">
        <v>0.0</v>
      </c>
      <c r="F15" s="119">
        <v>0.0</v>
      </c>
      <c r="G15" s="119">
        <v>0.0</v>
      </c>
      <c r="H15" s="119">
        <v>0.0</v>
      </c>
      <c r="I15" s="120">
        <v>1.0</v>
      </c>
      <c r="J15" s="119">
        <v>0.0</v>
      </c>
      <c r="K15" s="119">
        <v>0.0</v>
      </c>
      <c r="L15" s="119">
        <v>0.0</v>
      </c>
      <c r="M15" s="119">
        <v>0.0</v>
      </c>
      <c r="N15" s="119">
        <v>0.0</v>
      </c>
      <c r="O15" s="119">
        <v>0.0</v>
      </c>
      <c r="P15" s="119">
        <v>0.0</v>
      </c>
      <c r="Q15" s="119">
        <v>0.0</v>
      </c>
      <c r="R15" s="119">
        <v>0.0</v>
      </c>
      <c r="S15" s="119">
        <v>0.0</v>
      </c>
      <c r="T15" s="119">
        <v>0.0</v>
      </c>
      <c r="U15" s="119">
        <v>0.0</v>
      </c>
      <c r="V15" s="119">
        <v>0.0</v>
      </c>
    </row>
    <row r="16">
      <c r="A16" s="121" t="s">
        <v>102</v>
      </c>
      <c r="B16" s="118">
        <v>25.0</v>
      </c>
      <c r="C16" s="122">
        <v>0.0</v>
      </c>
      <c r="D16" s="122">
        <v>0.0</v>
      </c>
      <c r="E16" s="122">
        <v>0.0</v>
      </c>
      <c r="F16" s="122">
        <v>0.0</v>
      </c>
      <c r="G16" s="122">
        <v>0.0</v>
      </c>
      <c r="H16" s="122">
        <v>0.0</v>
      </c>
      <c r="I16" s="120">
        <v>1.0</v>
      </c>
      <c r="J16" s="122">
        <v>0.0</v>
      </c>
      <c r="K16" s="122">
        <v>0.0</v>
      </c>
      <c r="L16" s="122">
        <v>0.0</v>
      </c>
      <c r="M16" s="122">
        <v>0.0</v>
      </c>
      <c r="N16" s="122">
        <v>0.0</v>
      </c>
      <c r="O16" s="122">
        <v>0.0</v>
      </c>
      <c r="P16" s="122">
        <v>0.0</v>
      </c>
      <c r="Q16" s="122">
        <v>0.0</v>
      </c>
      <c r="R16" s="122">
        <v>0.0</v>
      </c>
      <c r="S16" s="122">
        <v>0.0</v>
      </c>
      <c r="T16" s="122">
        <v>0.0</v>
      </c>
      <c r="U16" s="122">
        <v>0.0</v>
      </c>
      <c r="V16" s="122">
        <v>0.0</v>
      </c>
    </row>
    <row r="17">
      <c r="A17" s="117" t="s">
        <v>103</v>
      </c>
      <c r="B17" s="123">
        <v>0.0</v>
      </c>
      <c r="C17" s="119">
        <v>0.0</v>
      </c>
      <c r="D17" s="119">
        <v>0.0</v>
      </c>
      <c r="E17" s="119">
        <v>0.0</v>
      </c>
      <c r="F17" s="119">
        <v>0.0</v>
      </c>
      <c r="G17" s="119">
        <v>0.0</v>
      </c>
      <c r="H17" s="119">
        <v>0.0</v>
      </c>
      <c r="I17" s="119">
        <v>0.0</v>
      </c>
      <c r="J17" s="119">
        <v>0.0</v>
      </c>
      <c r="K17" s="119">
        <v>0.0</v>
      </c>
      <c r="L17" s="119">
        <v>0.0</v>
      </c>
      <c r="M17" s="119">
        <v>0.0</v>
      </c>
      <c r="N17" s="119">
        <v>0.0</v>
      </c>
      <c r="O17" s="119">
        <v>0.0</v>
      </c>
      <c r="P17" s="119">
        <v>0.0</v>
      </c>
      <c r="Q17" s="119">
        <v>0.0</v>
      </c>
      <c r="R17" s="119">
        <v>0.0</v>
      </c>
      <c r="S17" s="119">
        <v>0.0</v>
      </c>
      <c r="T17" s="119">
        <v>0.0</v>
      </c>
      <c r="U17" s="119">
        <v>0.0</v>
      </c>
      <c r="V17" s="119">
        <v>0.0</v>
      </c>
    </row>
    <row r="18">
      <c r="A18" s="121" t="s">
        <v>104</v>
      </c>
      <c r="B18" s="124">
        <v>0.0</v>
      </c>
      <c r="C18" s="122">
        <v>0.0</v>
      </c>
      <c r="D18" s="122">
        <v>0.0</v>
      </c>
      <c r="E18" s="122">
        <v>0.0</v>
      </c>
      <c r="F18" s="122">
        <v>0.0</v>
      </c>
      <c r="G18" s="122">
        <v>0.0</v>
      </c>
      <c r="H18" s="120">
        <v>1.0</v>
      </c>
      <c r="I18" s="122">
        <v>0.0</v>
      </c>
      <c r="J18" s="122">
        <v>0.0</v>
      </c>
      <c r="K18" s="122">
        <v>0.0</v>
      </c>
      <c r="L18" s="122">
        <v>0.0</v>
      </c>
      <c r="M18" s="122">
        <v>0.0</v>
      </c>
      <c r="N18" s="122">
        <v>0.0</v>
      </c>
      <c r="O18" s="122">
        <v>0.0</v>
      </c>
      <c r="P18" s="122">
        <v>0.0</v>
      </c>
      <c r="Q18" s="122">
        <v>0.0</v>
      </c>
      <c r="R18" s="122">
        <v>0.0</v>
      </c>
      <c r="S18" s="122">
        <v>0.0</v>
      </c>
      <c r="T18" s="122">
        <v>0.0</v>
      </c>
      <c r="U18" s="122">
        <v>0.0</v>
      </c>
      <c r="V18" s="122">
        <v>0.0</v>
      </c>
    </row>
    <row r="19">
      <c r="A19" s="117" t="s">
        <v>105</v>
      </c>
      <c r="B19" s="123">
        <v>0.0</v>
      </c>
      <c r="C19" s="119">
        <v>0.0</v>
      </c>
      <c r="D19" s="119">
        <v>0.0</v>
      </c>
      <c r="E19" s="119">
        <v>0.0</v>
      </c>
      <c r="F19" s="119">
        <v>0.0</v>
      </c>
      <c r="G19" s="119">
        <v>0.0</v>
      </c>
      <c r="H19" s="120">
        <v>1.0</v>
      </c>
      <c r="I19" s="119">
        <v>0.0</v>
      </c>
      <c r="J19" s="119">
        <v>0.0</v>
      </c>
      <c r="K19" s="119">
        <v>0.0</v>
      </c>
      <c r="L19" s="119">
        <v>0.0</v>
      </c>
      <c r="M19" s="119">
        <v>0.0</v>
      </c>
      <c r="N19" s="119">
        <v>0.0</v>
      </c>
      <c r="O19" s="119">
        <v>0.0</v>
      </c>
      <c r="P19" s="119">
        <v>0.0</v>
      </c>
      <c r="Q19" s="119">
        <v>0.0</v>
      </c>
      <c r="R19" s="119">
        <v>0.0</v>
      </c>
      <c r="S19" s="119">
        <v>0.0</v>
      </c>
      <c r="T19" s="119">
        <v>0.0</v>
      </c>
      <c r="U19" s="119">
        <v>0.0</v>
      </c>
      <c r="V19" s="119">
        <v>0.0</v>
      </c>
    </row>
    <row r="20">
      <c r="A20" s="121" t="s">
        <v>106</v>
      </c>
      <c r="B20" s="124">
        <v>0.0</v>
      </c>
      <c r="C20" s="122">
        <v>0.0</v>
      </c>
      <c r="D20" s="122">
        <v>0.0</v>
      </c>
      <c r="E20" s="122">
        <v>0.0</v>
      </c>
      <c r="F20" s="122">
        <v>0.0</v>
      </c>
      <c r="G20" s="122">
        <v>0.0</v>
      </c>
      <c r="H20" s="120">
        <v>1.0</v>
      </c>
      <c r="I20" s="122">
        <v>0.0</v>
      </c>
      <c r="J20" s="122">
        <v>0.0</v>
      </c>
      <c r="K20" s="122">
        <v>0.0</v>
      </c>
      <c r="L20" s="122">
        <v>0.0</v>
      </c>
      <c r="M20" s="122">
        <v>0.0</v>
      </c>
      <c r="N20" s="122">
        <v>0.0</v>
      </c>
      <c r="O20" s="122">
        <v>0.0</v>
      </c>
      <c r="P20" s="122">
        <v>0.0</v>
      </c>
      <c r="Q20" s="122">
        <v>0.0</v>
      </c>
      <c r="R20" s="122">
        <v>0.0</v>
      </c>
      <c r="S20" s="122">
        <v>0.0</v>
      </c>
      <c r="T20" s="122">
        <v>0.0</v>
      </c>
      <c r="U20" s="122">
        <v>0.0</v>
      </c>
      <c r="V20" s="122">
        <v>0.0</v>
      </c>
    </row>
    <row r="21">
      <c r="A21" s="117" t="s">
        <v>107</v>
      </c>
      <c r="B21" s="123">
        <v>0.0</v>
      </c>
      <c r="C21" s="119">
        <v>0.0</v>
      </c>
      <c r="D21" s="119">
        <v>0.0</v>
      </c>
      <c r="E21" s="119">
        <v>0.0</v>
      </c>
      <c r="F21" s="119">
        <v>0.0</v>
      </c>
      <c r="G21" s="119">
        <v>0.0</v>
      </c>
      <c r="H21" s="120">
        <v>1.0</v>
      </c>
      <c r="I21" s="119">
        <v>0.0</v>
      </c>
      <c r="J21" s="119">
        <v>0.0</v>
      </c>
      <c r="K21" s="119">
        <v>0.0</v>
      </c>
      <c r="L21" s="119">
        <v>0.0</v>
      </c>
      <c r="M21" s="119">
        <v>0.0</v>
      </c>
      <c r="N21" s="119">
        <v>0.0</v>
      </c>
      <c r="O21" s="119">
        <v>0.0</v>
      </c>
      <c r="P21" s="119">
        <v>0.0</v>
      </c>
      <c r="Q21" s="119">
        <v>0.0</v>
      </c>
      <c r="R21" s="119">
        <v>0.0</v>
      </c>
      <c r="S21" s="119">
        <v>0.0</v>
      </c>
      <c r="T21" s="119">
        <v>0.0</v>
      </c>
      <c r="U21" s="119">
        <v>0.0</v>
      </c>
      <c r="V21" s="119">
        <v>0.0</v>
      </c>
    </row>
  </sheetData>
  <mergeCells count="3">
    <mergeCell ref="A1:F1"/>
    <mergeCell ref="A2:B2"/>
    <mergeCell ref="A5:D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" t="s">
        <v>108</v>
      </c>
    </row>
    <row r="2" ht="19.5" customHeight="1">
      <c r="A2" s="92" t="s">
        <v>88</v>
      </c>
      <c r="B2" s="92"/>
    </row>
    <row r="3">
      <c r="A3" s="125" t="s">
        <v>109</v>
      </c>
      <c r="B3" s="126">
        <v>15.0</v>
      </c>
    </row>
    <row r="4">
      <c r="A4" s="125" t="s">
        <v>110</v>
      </c>
      <c r="B4" s="126">
        <v>5.0</v>
      </c>
    </row>
    <row r="5">
      <c r="A5" s="125" t="s">
        <v>111</v>
      </c>
      <c r="B5" s="126" t="b">
        <f>TRUE()</f>
        <v>1</v>
      </c>
    </row>
    <row r="6">
      <c r="A6" s="125" t="s">
        <v>112</v>
      </c>
      <c r="B6" s="126">
        <v>10.0</v>
      </c>
    </row>
    <row r="7">
      <c r="A7" s="125" t="s">
        <v>113</v>
      </c>
      <c r="B7" s="126">
        <v>4.0</v>
      </c>
    </row>
    <row r="8">
      <c r="A8" s="125" t="s">
        <v>114</v>
      </c>
      <c r="B8" s="126">
        <f>SUMIFS($C$14:$C$88,$B$14:$B$88,"1st")</f>
        <v>185</v>
      </c>
    </row>
    <row r="9">
      <c r="A9" s="125" t="s">
        <v>115</v>
      </c>
      <c r="B9" s="126">
        <f>SUMIFS($C$14:$C$88,$B$14:$B$88,"1st",$A$14:$A$88,"&gt;="&amp;$B$6)</f>
        <v>87</v>
      </c>
    </row>
    <row r="10">
      <c r="A10" s="125" t="s">
        <v>116</v>
      </c>
      <c r="B10" s="126">
        <f>SUMIFS($C$14:$C$88,$B$14:$B$88,"1st",$A$14:$A$88,"&lt;="&amp;$B$7)</f>
        <v>36</v>
      </c>
    </row>
    <row r="12" ht="19.5" customHeight="1">
      <c r="A12" s="92" t="s">
        <v>90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</row>
    <row r="13">
      <c r="A13" s="127" t="s">
        <v>117</v>
      </c>
      <c r="B13" s="127" t="s">
        <v>118</v>
      </c>
      <c r="C13" s="127" t="s">
        <v>119</v>
      </c>
      <c r="D13" s="97" t="s">
        <v>120</v>
      </c>
      <c r="E13" s="98" t="s">
        <v>19</v>
      </c>
      <c r="F13" s="99" t="s">
        <v>5</v>
      </c>
      <c r="G13" s="99" t="s">
        <v>77</v>
      </c>
      <c r="H13" s="99" t="s">
        <v>6</v>
      </c>
      <c r="I13" s="99" t="s">
        <v>7</v>
      </c>
      <c r="J13" s="99" t="s">
        <v>8</v>
      </c>
      <c r="K13" s="99" t="s">
        <v>9</v>
      </c>
      <c r="L13" s="99" t="s">
        <v>10</v>
      </c>
      <c r="M13" s="99" t="s">
        <v>11</v>
      </c>
      <c r="N13" s="99" t="s">
        <v>12</v>
      </c>
      <c r="O13" s="99" t="s">
        <v>13</v>
      </c>
      <c r="P13" s="99" t="s">
        <v>14</v>
      </c>
      <c r="Q13" s="99" t="s">
        <v>15</v>
      </c>
      <c r="R13" s="99" t="s">
        <v>78</v>
      </c>
      <c r="S13" s="99" t="s">
        <v>79</v>
      </c>
      <c r="T13" s="99" t="s">
        <v>80</v>
      </c>
      <c r="U13" s="99" t="s">
        <v>81</v>
      </c>
      <c r="V13" s="99" t="s">
        <v>82</v>
      </c>
      <c r="W13" s="99" t="s">
        <v>83</v>
      </c>
      <c r="X13" s="99" t="s">
        <v>84</v>
      </c>
      <c r="Y13" s="128"/>
      <c r="Z13" s="128"/>
    </row>
    <row r="14">
      <c r="A14" s="101">
        <v>1.0</v>
      </c>
      <c r="B14" s="101" t="s">
        <v>121</v>
      </c>
      <c r="C14" s="101">
        <v>5.0</v>
      </c>
      <c r="D14" s="102">
        <v>5.0</v>
      </c>
      <c r="E14" s="129">
        <v>30.0</v>
      </c>
      <c r="F14" s="101">
        <v>0.0</v>
      </c>
      <c r="G14" s="101">
        <v>0.0</v>
      </c>
      <c r="H14" s="101">
        <v>0.0</v>
      </c>
      <c r="I14" s="101">
        <v>0.0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  <c r="W14" s="101">
        <v>0.0</v>
      </c>
      <c r="X14" s="101">
        <v>0.0</v>
      </c>
    </row>
    <row r="15">
      <c r="A15" s="101">
        <v>1.0</v>
      </c>
      <c r="B15" s="101" t="s">
        <v>122</v>
      </c>
      <c r="C15" s="101">
        <v>5.0</v>
      </c>
      <c r="D15" s="102">
        <v>5.0</v>
      </c>
      <c r="E15" s="129">
        <v>0.0</v>
      </c>
      <c r="F15" s="101">
        <v>0.0</v>
      </c>
      <c r="G15" s="101">
        <v>0.0</v>
      </c>
      <c r="H15" s="101">
        <v>0.0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15.0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  <c r="W15" s="101">
        <v>0.0</v>
      </c>
      <c r="X15" s="101">
        <v>0.0</v>
      </c>
    </row>
    <row r="16">
      <c r="A16" s="101">
        <v>1.0</v>
      </c>
      <c r="B16" s="101" t="s">
        <v>123</v>
      </c>
      <c r="C16" s="101">
        <v>5.0</v>
      </c>
      <c r="D16" s="102">
        <v>5.0</v>
      </c>
      <c r="E16" s="129">
        <v>0.0</v>
      </c>
      <c r="F16" s="101">
        <v>0.0</v>
      </c>
      <c r="G16" s="101">
        <v>0.0</v>
      </c>
      <c r="H16" s="101">
        <v>0.0</v>
      </c>
      <c r="I16" s="101">
        <v>0.0</v>
      </c>
      <c r="J16" s="101">
        <v>1.0</v>
      </c>
      <c r="K16" s="101">
        <v>0.0</v>
      </c>
      <c r="L16" s="101">
        <v>0.0</v>
      </c>
      <c r="M16" s="101">
        <v>0.0</v>
      </c>
      <c r="N16" s="101">
        <v>0.0</v>
      </c>
      <c r="O16" s="101">
        <v>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  <c r="W16" s="101">
        <v>0.0</v>
      </c>
      <c r="X16" s="101">
        <v>0.0</v>
      </c>
    </row>
    <row r="17">
      <c r="A17" s="101">
        <v>1.0</v>
      </c>
      <c r="B17" s="101" t="s">
        <v>124</v>
      </c>
      <c r="C17" s="101">
        <v>5.0</v>
      </c>
      <c r="D17" s="102">
        <v>5.0</v>
      </c>
      <c r="E17" s="129">
        <v>0.0</v>
      </c>
      <c r="F17" s="101">
        <v>0.0</v>
      </c>
      <c r="G17" s="101">
        <v>0.0</v>
      </c>
      <c r="H17" s="101">
        <v>0.0</v>
      </c>
      <c r="I17" s="101">
        <v>0.0</v>
      </c>
      <c r="J17" s="101">
        <v>0.0</v>
      </c>
      <c r="K17" s="101">
        <v>0.0</v>
      </c>
      <c r="L17" s="101">
        <v>1.0</v>
      </c>
      <c r="M17" s="101">
        <v>0.0</v>
      </c>
      <c r="N17" s="101">
        <v>0.0</v>
      </c>
      <c r="O17" s="101">
        <v>0.0</v>
      </c>
      <c r="P17" s="101">
        <v>0.0</v>
      </c>
      <c r="Q17" s="101">
        <v>0.0</v>
      </c>
      <c r="R17" s="101">
        <v>0.0</v>
      </c>
      <c r="S17" s="101">
        <v>0.0</v>
      </c>
      <c r="T17" s="101">
        <v>0.0</v>
      </c>
      <c r="U17" s="101">
        <v>0.0</v>
      </c>
      <c r="V17" s="101">
        <v>0.0</v>
      </c>
      <c r="W17" s="101">
        <v>0.0</v>
      </c>
      <c r="X17" s="101">
        <v>0.0</v>
      </c>
    </row>
    <row r="18">
      <c r="A18" s="101">
        <v>1.0</v>
      </c>
      <c r="B18" s="101" t="s">
        <v>125</v>
      </c>
      <c r="C18" s="101">
        <v>5.0</v>
      </c>
      <c r="D18" s="102">
        <v>5.0</v>
      </c>
      <c r="E18" s="129">
        <v>0.0</v>
      </c>
      <c r="F18" s="101">
        <v>0.0</v>
      </c>
      <c r="G18" s="101">
        <v>0.0</v>
      </c>
      <c r="H18" s="101">
        <v>0.0</v>
      </c>
      <c r="I18" s="101">
        <v>0.0</v>
      </c>
      <c r="J18" s="101">
        <v>0.0</v>
      </c>
      <c r="K18" s="101">
        <v>0.0</v>
      </c>
      <c r="L18" s="101">
        <v>0.0</v>
      </c>
      <c r="M18" s="101">
        <v>0.0</v>
      </c>
      <c r="N18" s="101">
        <v>0.0</v>
      </c>
      <c r="O18" s="101">
        <v>0.0</v>
      </c>
      <c r="P18" s="101">
        <v>10.0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  <c r="W18" s="101">
        <v>0.0</v>
      </c>
      <c r="X18" s="101">
        <v>0.0</v>
      </c>
    </row>
    <row r="19">
      <c r="A19" s="101">
        <v>2.0</v>
      </c>
      <c r="B19" s="101" t="s">
        <v>121</v>
      </c>
      <c r="C19" s="101">
        <v>6.0</v>
      </c>
      <c r="D19" s="102">
        <v>11.0</v>
      </c>
      <c r="E19" s="129">
        <v>0.0</v>
      </c>
      <c r="F19" s="101">
        <v>0.0</v>
      </c>
      <c r="G19" s="101">
        <v>0.0</v>
      </c>
      <c r="H19" s="101">
        <v>0.0</v>
      </c>
      <c r="I19" s="101">
        <v>0.0</v>
      </c>
      <c r="J19" s="101">
        <v>0.0</v>
      </c>
      <c r="K19" s="101">
        <v>0.0</v>
      </c>
      <c r="L19" s="101">
        <v>0.0</v>
      </c>
      <c r="M19" s="101">
        <v>0.0</v>
      </c>
      <c r="N19" s="101">
        <v>15.0</v>
      </c>
      <c r="O19" s="101">
        <v>0.0</v>
      </c>
      <c r="P19" s="101">
        <v>0.0</v>
      </c>
      <c r="Q19" s="101">
        <v>0.0</v>
      </c>
      <c r="R19" s="101">
        <v>0.0</v>
      </c>
      <c r="S19" s="101">
        <v>0.0</v>
      </c>
      <c r="T19" s="101">
        <v>0.0</v>
      </c>
      <c r="U19" s="101">
        <v>0.0</v>
      </c>
      <c r="V19" s="101">
        <v>0.0</v>
      </c>
      <c r="W19" s="101">
        <v>0.0</v>
      </c>
      <c r="X19" s="101">
        <v>0.0</v>
      </c>
    </row>
    <row r="20">
      <c r="A20" s="101">
        <v>2.0</v>
      </c>
      <c r="B20" s="101" t="s">
        <v>122</v>
      </c>
      <c r="C20" s="101">
        <v>6.0</v>
      </c>
      <c r="D20" s="102">
        <v>11.0</v>
      </c>
      <c r="E20" s="129">
        <v>0.0</v>
      </c>
      <c r="F20" s="101">
        <v>0.0</v>
      </c>
      <c r="G20" s="101">
        <v>0.0</v>
      </c>
      <c r="H20" s="101">
        <v>0.0</v>
      </c>
      <c r="I20" s="101">
        <v>0.0</v>
      </c>
      <c r="J20" s="101">
        <v>0.0</v>
      </c>
      <c r="K20" s="101">
        <v>0.0</v>
      </c>
      <c r="L20" s="101">
        <v>0.0</v>
      </c>
      <c r="M20" s="101">
        <v>1.0</v>
      </c>
      <c r="N20" s="101">
        <v>0.0</v>
      </c>
      <c r="O20" s="101">
        <v>0.0</v>
      </c>
      <c r="P20" s="101">
        <v>0.0</v>
      </c>
      <c r="Q20" s="101">
        <v>0.0</v>
      </c>
      <c r="R20" s="101">
        <v>0.0</v>
      </c>
      <c r="S20" s="101">
        <v>0.0</v>
      </c>
      <c r="T20" s="101">
        <v>0.0</v>
      </c>
      <c r="U20" s="101">
        <v>0.0</v>
      </c>
      <c r="V20" s="101">
        <v>0.0</v>
      </c>
      <c r="W20" s="101">
        <v>0.0</v>
      </c>
      <c r="X20" s="101">
        <v>0.0</v>
      </c>
    </row>
    <row r="21" ht="15.75" customHeight="1">
      <c r="A21" s="101">
        <v>2.0</v>
      </c>
      <c r="B21" s="101" t="s">
        <v>123</v>
      </c>
      <c r="C21" s="101">
        <v>6.0</v>
      </c>
      <c r="D21" s="102">
        <v>11.0</v>
      </c>
      <c r="E21" s="129">
        <v>0.0</v>
      </c>
      <c r="F21" s="101">
        <v>0.0</v>
      </c>
      <c r="G21" s="101">
        <v>0.0</v>
      </c>
      <c r="H21" s="101">
        <v>0.0</v>
      </c>
      <c r="I21" s="101">
        <v>1.0</v>
      </c>
      <c r="J21" s="101">
        <v>0.0</v>
      </c>
      <c r="K21" s="101">
        <v>0.0</v>
      </c>
      <c r="L21" s="101">
        <v>0.0</v>
      </c>
      <c r="M21" s="101">
        <v>0.0</v>
      </c>
      <c r="N21" s="101">
        <v>0.0</v>
      </c>
      <c r="O21" s="101">
        <v>0.0</v>
      </c>
      <c r="P21" s="101">
        <v>0.0</v>
      </c>
      <c r="Q21" s="101">
        <v>0.0</v>
      </c>
      <c r="R21" s="101">
        <v>0.0</v>
      </c>
      <c r="S21" s="101">
        <v>0.0</v>
      </c>
      <c r="T21" s="101">
        <v>0.0</v>
      </c>
      <c r="U21" s="101">
        <v>0.0</v>
      </c>
      <c r="V21" s="101">
        <v>0.0</v>
      </c>
      <c r="W21" s="101">
        <v>0.0</v>
      </c>
      <c r="X21" s="101">
        <v>0.0</v>
      </c>
    </row>
    <row r="22" ht="15.75" customHeight="1">
      <c r="A22" s="101">
        <v>2.0</v>
      </c>
      <c r="B22" s="101" t="s">
        <v>124</v>
      </c>
      <c r="C22" s="101">
        <v>6.0</v>
      </c>
      <c r="D22" s="102">
        <v>11.0</v>
      </c>
      <c r="E22" s="129">
        <v>0.0</v>
      </c>
      <c r="F22" s="101">
        <v>0.0</v>
      </c>
      <c r="G22" s="101">
        <v>0.0</v>
      </c>
      <c r="H22" s="101">
        <v>0.0</v>
      </c>
      <c r="I22" s="101">
        <v>0.0</v>
      </c>
      <c r="J22" s="101">
        <v>0.0</v>
      </c>
      <c r="K22" s="101">
        <v>0.0</v>
      </c>
      <c r="L22" s="101">
        <v>0.0</v>
      </c>
      <c r="M22" s="101">
        <v>0.0</v>
      </c>
      <c r="N22" s="101">
        <v>0.0</v>
      </c>
      <c r="O22" s="101">
        <v>10.0</v>
      </c>
      <c r="P22" s="101">
        <v>0.0</v>
      </c>
      <c r="Q22" s="101">
        <v>0.0</v>
      </c>
      <c r="R22" s="101">
        <v>0.0</v>
      </c>
      <c r="S22" s="101">
        <v>0.0</v>
      </c>
      <c r="T22" s="101">
        <v>0.0</v>
      </c>
      <c r="U22" s="101">
        <v>0.0</v>
      </c>
      <c r="V22" s="101">
        <v>0.0</v>
      </c>
      <c r="W22" s="101">
        <v>0.0</v>
      </c>
      <c r="X22" s="101">
        <v>0.0</v>
      </c>
    </row>
    <row r="23" ht="15.75" customHeight="1">
      <c r="A23" s="101">
        <v>2.0</v>
      </c>
      <c r="B23" s="101" t="s">
        <v>125</v>
      </c>
      <c r="C23" s="101">
        <v>6.0</v>
      </c>
      <c r="D23" s="102">
        <v>11.0</v>
      </c>
      <c r="E23" s="129">
        <v>0.0</v>
      </c>
      <c r="F23" s="101">
        <v>0.0</v>
      </c>
      <c r="G23" s="101">
        <v>10.0</v>
      </c>
      <c r="H23" s="101">
        <v>0.0</v>
      </c>
      <c r="I23" s="101">
        <v>0.0</v>
      </c>
      <c r="J23" s="101">
        <v>0.0</v>
      </c>
      <c r="K23" s="101">
        <v>0.0</v>
      </c>
      <c r="L23" s="101">
        <v>0.0</v>
      </c>
      <c r="M23" s="101">
        <v>0.0</v>
      </c>
      <c r="N23" s="101">
        <v>0.0</v>
      </c>
      <c r="O23" s="101">
        <v>0.0</v>
      </c>
      <c r="P23" s="101">
        <v>0.0</v>
      </c>
      <c r="Q23" s="101">
        <v>0.0</v>
      </c>
      <c r="R23" s="101">
        <v>0.0</v>
      </c>
      <c r="S23" s="101">
        <v>0.0</v>
      </c>
      <c r="T23" s="101">
        <v>0.0</v>
      </c>
      <c r="U23" s="101">
        <v>0.0</v>
      </c>
      <c r="V23" s="101">
        <v>0.0</v>
      </c>
      <c r="W23" s="101">
        <v>0.0</v>
      </c>
      <c r="X23" s="101">
        <v>0.0</v>
      </c>
    </row>
    <row r="24" ht="15.75" customHeight="1">
      <c r="A24" s="101">
        <v>3.0</v>
      </c>
      <c r="B24" s="101" t="s">
        <v>121</v>
      </c>
      <c r="C24" s="101">
        <v>10.0</v>
      </c>
      <c r="D24" s="102">
        <v>21.0</v>
      </c>
      <c r="E24" s="129">
        <v>0.0</v>
      </c>
      <c r="F24" s="101">
        <v>0.0</v>
      </c>
      <c r="G24" s="101">
        <v>0.0</v>
      </c>
      <c r="H24" s="101">
        <v>0.0</v>
      </c>
      <c r="I24" s="101">
        <v>0.0</v>
      </c>
      <c r="J24" s="101">
        <v>0.0</v>
      </c>
      <c r="K24" s="101">
        <v>0.0</v>
      </c>
      <c r="L24" s="101">
        <v>0.0</v>
      </c>
      <c r="M24" s="101">
        <v>0.0</v>
      </c>
      <c r="N24" s="101">
        <v>0.0</v>
      </c>
      <c r="O24" s="101">
        <v>0.0</v>
      </c>
      <c r="P24" s="101">
        <v>0.0</v>
      </c>
      <c r="Q24" s="101">
        <v>20.0</v>
      </c>
      <c r="R24" s="101">
        <v>0.0</v>
      </c>
      <c r="S24" s="101">
        <v>0.0</v>
      </c>
      <c r="T24" s="101">
        <v>0.0</v>
      </c>
      <c r="U24" s="101">
        <v>0.0</v>
      </c>
      <c r="V24" s="101">
        <v>0.0</v>
      </c>
      <c r="W24" s="101">
        <v>0.0</v>
      </c>
      <c r="X24" s="101">
        <v>0.0</v>
      </c>
    </row>
    <row r="25" ht="15.75" customHeight="1">
      <c r="A25" s="101">
        <v>3.0</v>
      </c>
      <c r="B25" s="101" t="s">
        <v>122</v>
      </c>
      <c r="C25" s="101">
        <v>10.0</v>
      </c>
      <c r="D25" s="102">
        <v>21.0</v>
      </c>
      <c r="E25" s="129">
        <v>0.0</v>
      </c>
      <c r="F25" s="101">
        <v>0.0</v>
      </c>
      <c r="G25" s="101">
        <v>0.0</v>
      </c>
      <c r="H25" s="101">
        <v>0.0</v>
      </c>
      <c r="I25" s="101">
        <v>0.0</v>
      </c>
      <c r="J25" s="101">
        <v>0.0</v>
      </c>
      <c r="K25" s="101">
        <v>0.0</v>
      </c>
      <c r="L25" s="101">
        <v>1.0</v>
      </c>
      <c r="M25" s="101">
        <v>0.0</v>
      </c>
      <c r="N25" s="101">
        <v>0.0</v>
      </c>
      <c r="O25" s="101">
        <v>0.0</v>
      </c>
      <c r="P25" s="101">
        <v>0.0</v>
      </c>
      <c r="Q25" s="101">
        <v>0.0</v>
      </c>
      <c r="R25" s="101">
        <v>0.0</v>
      </c>
      <c r="S25" s="101">
        <v>0.0</v>
      </c>
      <c r="T25" s="101">
        <v>0.0</v>
      </c>
      <c r="U25" s="101">
        <v>0.0</v>
      </c>
      <c r="V25" s="101">
        <v>0.0</v>
      </c>
      <c r="W25" s="101">
        <v>0.0</v>
      </c>
      <c r="X25" s="101">
        <v>0.0</v>
      </c>
    </row>
    <row r="26" ht="15.75" customHeight="1">
      <c r="A26" s="101">
        <v>3.0</v>
      </c>
      <c r="B26" s="101" t="s">
        <v>123</v>
      </c>
      <c r="C26" s="101">
        <v>10.0</v>
      </c>
      <c r="D26" s="102">
        <v>21.0</v>
      </c>
      <c r="E26" s="129">
        <v>0.0</v>
      </c>
      <c r="F26" s="101">
        <v>0.0</v>
      </c>
      <c r="G26" s="101">
        <v>0.0</v>
      </c>
      <c r="H26" s="101">
        <v>0.0</v>
      </c>
      <c r="I26" s="101">
        <v>0.0</v>
      </c>
      <c r="J26" s="101">
        <v>0.0</v>
      </c>
      <c r="K26" s="101">
        <v>0.0</v>
      </c>
      <c r="L26" s="101">
        <v>0.0</v>
      </c>
      <c r="M26" s="101">
        <v>0.0</v>
      </c>
      <c r="N26" s="101">
        <v>0.0</v>
      </c>
      <c r="O26" s="101">
        <v>0.0</v>
      </c>
      <c r="P26" s="101">
        <v>10.0</v>
      </c>
      <c r="Q26" s="101">
        <v>0.0</v>
      </c>
      <c r="R26" s="101">
        <v>0.0</v>
      </c>
      <c r="S26" s="101">
        <v>0.0</v>
      </c>
      <c r="T26" s="101">
        <v>0.0</v>
      </c>
      <c r="U26" s="101">
        <v>0.0</v>
      </c>
      <c r="V26" s="101">
        <v>0.0</v>
      </c>
      <c r="W26" s="101">
        <v>0.0</v>
      </c>
      <c r="X26" s="101">
        <v>0.0</v>
      </c>
    </row>
    <row r="27" ht="15.75" customHeight="1">
      <c r="A27" s="101">
        <v>3.0</v>
      </c>
      <c r="B27" s="101" t="s">
        <v>124</v>
      </c>
      <c r="C27" s="101">
        <v>10.0</v>
      </c>
      <c r="D27" s="102">
        <v>21.0</v>
      </c>
      <c r="E27" s="129">
        <v>0.0</v>
      </c>
      <c r="F27" s="101">
        <v>0.0</v>
      </c>
      <c r="G27" s="101">
        <v>0.0</v>
      </c>
      <c r="H27" s="101">
        <v>1.0</v>
      </c>
      <c r="I27" s="101">
        <v>0.0</v>
      </c>
      <c r="J27" s="101">
        <v>0.0</v>
      </c>
      <c r="K27" s="101">
        <v>0.0</v>
      </c>
      <c r="L27" s="101">
        <v>0.0</v>
      </c>
      <c r="M27" s="101">
        <v>0.0</v>
      </c>
      <c r="N27" s="101">
        <v>0.0</v>
      </c>
      <c r="O27" s="101">
        <v>0.0</v>
      </c>
      <c r="P27" s="101">
        <v>0.0</v>
      </c>
      <c r="Q27" s="101">
        <v>0.0</v>
      </c>
      <c r="R27" s="101">
        <v>0.0</v>
      </c>
      <c r="S27" s="101">
        <v>0.0</v>
      </c>
      <c r="T27" s="101">
        <v>0.0</v>
      </c>
      <c r="U27" s="101">
        <v>0.0</v>
      </c>
      <c r="V27" s="101">
        <v>0.0</v>
      </c>
      <c r="W27" s="101">
        <v>0.0</v>
      </c>
      <c r="X27" s="101">
        <v>0.0</v>
      </c>
    </row>
    <row r="28" ht="15.75" customHeight="1">
      <c r="A28" s="101">
        <v>3.0</v>
      </c>
      <c r="B28" s="101" t="s">
        <v>125</v>
      </c>
      <c r="C28" s="101">
        <v>10.0</v>
      </c>
      <c r="D28" s="102">
        <v>21.0</v>
      </c>
      <c r="E28" s="129">
        <v>0.0</v>
      </c>
      <c r="F28" s="101">
        <v>20.0</v>
      </c>
      <c r="G28" s="101">
        <v>0.0</v>
      </c>
      <c r="H28" s="101">
        <v>0.0</v>
      </c>
      <c r="I28" s="101">
        <v>0.0</v>
      </c>
      <c r="J28" s="101">
        <v>0.0</v>
      </c>
      <c r="K28" s="101">
        <v>0.0</v>
      </c>
      <c r="L28" s="101">
        <v>0.0</v>
      </c>
      <c r="M28" s="101">
        <v>0.0</v>
      </c>
      <c r="N28" s="101">
        <v>0.0</v>
      </c>
      <c r="O28" s="101">
        <v>0.0</v>
      </c>
      <c r="P28" s="101">
        <v>0.0</v>
      </c>
      <c r="Q28" s="101">
        <v>0.0</v>
      </c>
      <c r="R28" s="101">
        <v>0.0</v>
      </c>
      <c r="S28" s="101">
        <v>0.0</v>
      </c>
      <c r="T28" s="101">
        <v>0.0</v>
      </c>
      <c r="U28" s="101">
        <v>0.0</v>
      </c>
      <c r="V28" s="101">
        <v>0.0</v>
      </c>
      <c r="W28" s="101">
        <v>0.0</v>
      </c>
      <c r="X28" s="101">
        <v>0.0</v>
      </c>
    </row>
    <row r="29" ht="15.75" customHeight="1">
      <c r="A29" s="101">
        <v>4.0</v>
      </c>
      <c r="B29" s="101" t="s">
        <v>121</v>
      </c>
      <c r="C29" s="101">
        <v>15.0</v>
      </c>
      <c r="D29" s="102">
        <v>36.0</v>
      </c>
      <c r="E29" s="129">
        <v>55.0</v>
      </c>
      <c r="F29" s="101">
        <v>0.0</v>
      </c>
      <c r="G29" s="101">
        <v>0.0</v>
      </c>
      <c r="H29" s="101">
        <v>1.0</v>
      </c>
      <c r="I29" s="101">
        <v>0.0</v>
      </c>
      <c r="J29" s="101">
        <v>0.0</v>
      </c>
      <c r="K29" s="101">
        <v>0.0</v>
      </c>
      <c r="L29" s="101">
        <v>0.0</v>
      </c>
      <c r="M29" s="101">
        <v>0.0</v>
      </c>
      <c r="N29" s="101">
        <v>0.0</v>
      </c>
      <c r="O29" s="101">
        <v>0.0</v>
      </c>
      <c r="P29" s="101">
        <v>0.0</v>
      </c>
      <c r="Q29" s="101">
        <v>0.0</v>
      </c>
      <c r="R29" s="101">
        <v>0.0</v>
      </c>
      <c r="S29" s="101">
        <v>0.0</v>
      </c>
      <c r="T29" s="101">
        <v>0.0</v>
      </c>
      <c r="U29" s="101">
        <v>0.0</v>
      </c>
      <c r="V29" s="101">
        <v>0.0</v>
      </c>
      <c r="W29" s="101">
        <v>0.0</v>
      </c>
      <c r="X29" s="101">
        <v>0.0</v>
      </c>
    </row>
    <row r="30" ht="15.75" customHeight="1">
      <c r="A30" s="101">
        <v>4.0</v>
      </c>
      <c r="B30" s="101" t="s">
        <v>122</v>
      </c>
      <c r="C30" s="101">
        <v>15.0</v>
      </c>
      <c r="D30" s="102">
        <v>36.0</v>
      </c>
      <c r="E30" s="129">
        <v>0.0</v>
      </c>
      <c r="F30" s="101">
        <v>0.0</v>
      </c>
      <c r="G30" s="101">
        <v>0.0</v>
      </c>
      <c r="H30" s="101">
        <v>0.0</v>
      </c>
      <c r="I30" s="101">
        <v>0.0</v>
      </c>
      <c r="J30" s="101">
        <v>0.0</v>
      </c>
      <c r="K30" s="101">
        <v>0.0</v>
      </c>
      <c r="L30" s="101">
        <v>0.0</v>
      </c>
      <c r="M30" s="101">
        <v>0.0</v>
      </c>
      <c r="N30" s="101">
        <v>20.0</v>
      </c>
      <c r="O30" s="101">
        <v>0.0</v>
      </c>
      <c r="P30" s="101">
        <v>0.0</v>
      </c>
      <c r="Q30" s="101">
        <v>0.0</v>
      </c>
      <c r="R30" s="101">
        <v>0.0</v>
      </c>
      <c r="S30" s="101">
        <v>0.0</v>
      </c>
      <c r="T30" s="101">
        <v>0.0</v>
      </c>
      <c r="U30" s="101">
        <v>0.0</v>
      </c>
      <c r="V30" s="101">
        <v>0.0</v>
      </c>
      <c r="W30" s="101">
        <v>0.0</v>
      </c>
      <c r="X30" s="101">
        <v>0.0</v>
      </c>
    </row>
    <row r="31" ht="15.75" customHeight="1">
      <c r="A31" s="101">
        <v>4.0</v>
      </c>
      <c r="B31" s="101" t="s">
        <v>123</v>
      </c>
      <c r="C31" s="101">
        <v>15.0</v>
      </c>
      <c r="D31" s="102">
        <v>36.0</v>
      </c>
      <c r="E31" s="129">
        <v>0.0</v>
      </c>
      <c r="F31" s="101">
        <v>0.0</v>
      </c>
      <c r="G31" s="101">
        <v>0.0</v>
      </c>
      <c r="H31" s="101">
        <v>0.0</v>
      </c>
      <c r="I31" s="101">
        <v>0.0</v>
      </c>
      <c r="J31" s="101">
        <v>0.0</v>
      </c>
      <c r="K31" s="101">
        <v>0.0</v>
      </c>
      <c r="L31" s="101">
        <v>0.0</v>
      </c>
      <c r="M31" s="101">
        <v>1.0</v>
      </c>
      <c r="N31" s="101">
        <v>0.0</v>
      </c>
      <c r="O31" s="101">
        <v>0.0</v>
      </c>
      <c r="P31" s="101">
        <v>0.0</v>
      </c>
      <c r="Q31" s="101">
        <v>0.0</v>
      </c>
      <c r="R31" s="101">
        <v>0.0</v>
      </c>
      <c r="S31" s="101">
        <v>0.0</v>
      </c>
      <c r="T31" s="101">
        <v>0.0</v>
      </c>
      <c r="U31" s="101">
        <v>0.0</v>
      </c>
      <c r="V31" s="101">
        <v>0.0</v>
      </c>
      <c r="W31" s="101">
        <v>0.0</v>
      </c>
      <c r="X31" s="101">
        <v>0.0</v>
      </c>
    </row>
    <row r="32" ht="15.75" customHeight="1">
      <c r="A32" s="101">
        <v>4.0</v>
      </c>
      <c r="B32" s="101" t="s">
        <v>124</v>
      </c>
      <c r="C32" s="101">
        <v>15.0</v>
      </c>
      <c r="D32" s="102">
        <v>36.0</v>
      </c>
      <c r="E32" s="129">
        <v>0.0</v>
      </c>
      <c r="F32" s="101">
        <v>0.0</v>
      </c>
      <c r="G32" s="101">
        <v>0.0</v>
      </c>
      <c r="H32" s="101">
        <v>0.0</v>
      </c>
      <c r="I32" s="101">
        <v>1.0</v>
      </c>
      <c r="J32" s="101">
        <v>0.0</v>
      </c>
      <c r="K32" s="101">
        <v>0.0</v>
      </c>
      <c r="L32" s="101">
        <v>0.0</v>
      </c>
      <c r="M32" s="101">
        <v>0.0</v>
      </c>
      <c r="N32" s="101">
        <v>0.0</v>
      </c>
      <c r="O32" s="101">
        <v>0.0</v>
      </c>
      <c r="P32" s="101">
        <v>0.0</v>
      </c>
      <c r="Q32" s="101">
        <v>0.0</v>
      </c>
      <c r="R32" s="101">
        <v>0.0</v>
      </c>
      <c r="S32" s="101">
        <v>0.0</v>
      </c>
      <c r="T32" s="101">
        <v>0.0</v>
      </c>
      <c r="U32" s="101">
        <v>0.0</v>
      </c>
      <c r="V32" s="101">
        <v>0.0</v>
      </c>
      <c r="W32" s="101">
        <v>0.0</v>
      </c>
      <c r="X32" s="101">
        <v>0.0</v>
      </c>
    </row>
    <row r="33" ht="15.75" customHeight="1">
      <c r="A33" s="101">
        <v>4.0</v>
      </c>
      <c r="B33" s="101" t="s">
        <v>125</v>
      </c>
      <c r="C33" s="101">
        <v>15.0</v>
      </c>
      <c r="D33" s="102">
        <v>36.0</v>
      </c>
      <c r="E33" s="129">
        <v>0.0</v>
      </c>
      <c r="F33" s="101">
        <v>0.0</v>
      </c>
      <c r="G33" s="101">
        <v>0.0</v>
      </c>
      <c r="H33" s="101">
        <v>0.0</v>
      </c>
      <c r="I33" s="101">
        <v>0.0</v>
      </c>
      <c r="J33" s="101">
        <v>0.0</v>
      </c>
      <c r="K33" s="101">
        <v>0.0</v>
      </c>
      <c r="L33" s="101">
        <v>0.0</v>
      </c>
      <c r="M33" s="101">
        <v>0.0</v>
      </c>
      <c r="N33" s="101">
        <v>0.0</v>
      </c>
      <c r="O33" s="101">
        <v>15.0</v>
      </c>
      <c r="P33" s="101">
        <v>0.0</v>
      </c>
      <c r="Q33" s="101">
        <v>0.0</v>
      </c>
      <c r="R33" s="101">
        <v>0.0</v>
      </c>
      <c r="S33" s="101">
        <v>0.0</v>
      </c>
      <c r="T33" s="101">
        <v>0.0</v>
      </c>
      <c r="U33" s="101">
        <v>0.0</v>
      </c>
      <c r="V33" s="101">
        <v>0.0</v>
      </c>
      <c r="W33" s="101">
        <v>0.0</v>
      </c>
      <c r="X33" s="101">
        <v>0.0</v>
      </c>
    </row>
    <row r="34" ht="15.75" customHeight="1">
      <c r="A34" s="101">
        <v>5.0</v>
      </c>
      <c r="B34" s="101" t="s">
        <v>121</v>
      </c>
      <c r="C34" s="101">
        <v>8.0</v>
      </c>
      <c r="D34" s="102">
        <v>44.0</v>
      </c>
      <c r="E34" s="129">
        <v>0.0</v>
      </c>
      <c r="F34" s="101">
        <v>0.0</v>
      </c>
      <c r="G34" s="101">
        <v>0.0</v>
      </c>
      <c r="H34" s="101">
        <v>0.0</v>
      </c>
      <c r="I34" s="101">
        <v>0.0</v>
      </c>
      <c r="J34" s="101">
        <v>0.0</v>
      </c>
      <c r="K34" s="101">
        <v>0.0</v>
      </c>
      <c r="L34" s="101">
        <v>1.0</v>
      </c>
      <c r="M34" s="101">
        <v>0.0</v>
      </c>
      <c r="N34" s="101">
        <v>0.0</v>
      </c>
      <c r="O34" s="101">
        <v>0.0</v>
      </c>
      <c r="P34" s="101">
        <v>0.0</v>
      </c>
      <c r="Q34" s="101">
        <v>0.0</v>
      </c>
      <c r="R34" s="101">
        <v>0.0</v>
      </c>
      <c r="S34" s="101">
        <v>0.0</v>
      </c>
      <c r="T34" s="101">
        <v>0.0</v>
      </c>
      <c r="U34" s="101">
        <v>0.0</v>
      </c>
      <c r="V34" s="101">
        <v>0.0</v>
      </c>
      <c r="W34" s="101">
        <v>0.0</v>
      </c>
      <c r="X34" s="101">
        <v>0.0</v>
      </c>
    </row>
    <row r="35" ht="15.75" customHeight="1">
      <c r="A35" s="101">
        <v>5.0</v>
      </c>
      <c r="B35" s="101" t="s">
        <v>122</v>
      </c>
      <c r="C35" s="101">
        <v>8.0</v>
      </c>
      <c r="D35" s="102">
        <v>44.0</v>
      </c>
      <c r="E35" s="129">
        <v>0.0</v>
      </c>
      <c r="F35" s="101">
        <v>0.0</v>
      </c>
      <c r="G35" s="101">
        <v>0.0</v>
      </c>
      <c r="H35" s="101">
        <v>0.0</v>
      </c>
      <c r="I35" s="101">
        <v>0.0</v>
      </c>
      <c r="J35" s="101">
        <v>0.0</v>
      </c>
      <c r="K35" s="101">
        <v>0.0</v>
      </c>
      <c r="L35" s="101">
        <v>0.0</v>
      </c>
      <c r="M35" s="101">
        <v>0.0</v>
      </c>
      <c r="N35" s="101">
        <v>0.0</v>
      </c>
      <c r="O35" s="101">
        <v>0.0</v>
      </c>
      <c r="P35" s="101">
        <v>10.0</v>
      </c>
      <c r="Q35" s="101">
        <v>0.0</v>
      </c>
      <c r="R35" s="101">
        <v>0.0</v>
      </c>
      <c r="S35" s="101">
        <v>0.0</v>
      </c>
      <c r="T35" s="101">
        <v>0.0</v>
      </c>
      <c r="U35" s="101">
        <v>0.0</v>
      </c>
      <c r="V35" s="101">
        <v>0.0</v>
      </c>
      <c r="W35" s="101">
        <v>0.0</v>
      </c>
      <c r="X35" s="101">
        <v>0.0</v>
      </c>
    </row>
    <row r="36" ht="15.75" customHeight="1">
      <c r="A36" s="101">
        <v>5.0</v>
      </c>
      <c r="B36" s="101" t="s">
        <v>123</v>
      </c>
      <c r="C36" s="101">
        <v>8.0</v>
      </c>
      <c r="D36" s="102">
        <v>44.0</v>
      </c>
      <c r="E36" s="129">
        <v>0.0</v>
      </c>
      <c r="F36" s="101">
        <v>0.0</v>
      </c>
      <c r="G36" s="101">
        <v>0.0</v>
      </c>
      <c r="H36" s="101">
        <v>0.0</v>
      </c>
      <c r="I36" s="101">
        <v>1.0</v>
      </c>
      <c r="J36" s="101">
        <v>0.0</v>
      </c>
      <c r="K36" s="101">
        <v>0.0</v>
      </c>
      <c r="L36" s="101">
        <v>0.0</v>
      </c>
      <c r="M36" s="101">
        <v>0.0</v>
      </c>
      <c r="N36" s="101">
        <v>0.0</v>
      </c>
      <c r="O36" s="101">
        <v>0.0</v>
      </c>
      <c r="P36" s="101">
        <v>0.0</v>
      </c>
      <c r="Q36" s="101">
        <v>0.0</v>
      </c>
      <c r="R36" s="101">
        <v>0.0</v>
      </c>
      <c r="S36" s="101">
        <v>0.0</v>
      </c>
      <c r="T36" s="101">
        <v>0.0</v>
      </c>
      <c r="U36" s="101">
        <v>0.0</v>
      </c>
      <c r="V36" s="101">
        <v>0.0</v>
      </c>
      <c r="W36" s="101">
        <v>0.0</v>
      </c>
      <c r="X36" s="101">
        <v>0.0</v>
      </c>
    </row>
    <row r="37" ht="15.75" customHeight="1">
      <c r="A37" s="101">
        <v>5.0</v>
      </c>
      <c r="B37" s="101" t="s">
        <v>124</v>
      </c>
      <c r="C37" s="101">
        <v>8.0</v>
      </c>
      <c r="D37" s="102">
        <v>44.0</v>
      </c>
      <c r="E37" s="129">
        <v>0.0</v>
      </c>
      <c r="F37" s="101">
        <v>0.0</v>
      </c>
      <c r="G37" s="101">
        <v>0.0</v>
      </c>
      <c r="H37" s="101">
        <v>0.0</v>
      </c>
      <c r="I37" s="101">
        <v>0.0</v>
      </c>
      <c r="J37" s="101">
        <v>0.0</v>
      </c>
      <c r="K37" s="101">
        <v>0.0</v>
      </c>
      <c r="L37" s="101">
        <v>0.0</v>
      </c>
      <c r="M37" s="101">
        <v>0.0</v>
      </c>
      <c r="N37" s="101">
        <v>0.0</v>
      </c>
      <c r="O37" s="101">
        <v>10.0</v>
      </c>
      <c r="P37" s="101">
        <v>0.0</v>
      </c>
      <c r="Q37" s="101">
        <v>0.0</v>
      </c>
      <c r="R37" s="101">
        <v>0.0</v>
      </c>
      <c r="S37" s="101">
        <v>0.0</v>
      </c>
      <c r="T37" s="101">
        <v>0.0</v>
      </c>
      <c r="U37" s="101">
        <v>0.0</v>
      </c>
      <c r="V37" s="101">
        <v>0.0</v>
      </c>
      <c r="W37" s="101">
        <v>0.0</v>
      </c>
      <c r="X37" s="101">
        <v>0.0</v>
      </c>
    </row>
    <row r="38" ht="15.75" customHeight="1">
      <c r="A38" s="101">
        <v>5.0</v>
      </c>
      <c r="B38" s="101" t="s">
        <v>125</v>
      </c>
      <c r="C38" s="101">
        <v>8.0</v>
      </c>
      <c r="D38" s="102">
        <v>44.0</v>
      </c>
      <c r="E38" s="129">
        <v>0.0</v>
      </c>
      <c r="F38" s="101">
        <v>0.0</v>
      </c>
      <c r="G38" s="101">
        <v>0.0</v>
      </c>
      <c r="H38" s="101">
        <v>1.0</v>
      </c>
      <c r="I38" s="101">
        <v>0.0</v>
      </c>
      <c r="J38" s="101">
        <v>0.0</v>
      </c>
      <c r="K38" s="101">
        <v>0.0</v>
      </c>
      <c r="L38" s="101">
        <v>0.0</v>
      </c>
      <c r="M38" s="101">
        <v>0.0</v>
      </c>
      <c r="N38" s="101">
        <v>0.0</v>
      </c>
      <c r="O38" s="101">
        <v>0.0</v>
      </c>
      <c r="P38" s="101">
        <v>0.0</v>
      </c>
      <c r="Q38" s="101">
        <v>0.0</v>
      </c>
      <c r="R38" s="101">
        <v>0.0</v>
      </c>
      <c r="S38" s="101">
        <v>0.0</v>
      </c>
      <c r="T38" s="101">
        <v>0.0</v>
      </c>
      <c r="U38" s="101">
        <v>0.0</v>
      </c>
      <c r="V38" s="101">
        <v>0.0</v>
      </c>
      <c r="W38" s="101">
        <v>0.0</v>
      </c>
      <c r="X38" s="101">
        <v>0.0</v>
      </c>
    </row>
    <row r="39" ht="15.75" customHeight="1">
      <c r="A39" s="101">
        <v>6.0</v>
      </c>
      <c r="B39" s="101" t="s">
        <v>121</v>
      </c>
      <c r="C39" s="101">
        <v>10.0</v>
      </c>
      <c r="D39" s="102">
        <v>54.0</v>
      </c>
      <c r="E39" s="129">
        <v>50.0</v>
      </c>
      <c r="F39" s="101">
        <v>0.0</v>
      </c>
      <c r="G39" s="101">
        <v>0.0</v>
      </c>
      <c r="H39" s="101">
        <v>0.0</v>
      </c>
      <c r="I39" s="101">
        <v>0.0</v>
      </c>
      <c r="J39" s="101">
        <v>0.0</v>
      </c>
      <c r="K39" s="101">
        <v>0.0</v>
      </c>
      <c r="L39" s="101">
        <v>0.0</v>
      </c>
      <c r="M39" s="101">
        <v>0.0</v>
      </c>
      <c r="N39" s="101">
        <v>0.0</v>
      </c>
      <c r="O39" s="101">
        <v>0.0</v>
      </c>
      <c r="P39" s="101">
        <v>0.0</v>
      </c>
      <c r="Q39" s="101">
        <v>0.0</v>
      </c>
      <c r="R39" s="101">
        <v>0.0</v>
      </c>
      <c r="S39" s="101">
        <v>0.0</v>
      </c>
      <c r="T39" s="101">
        <v>0.0</v>
      </c>
      <c r="U39" s="101">
        <v>0.0</v>
      </c>
      <c r="V39" s="101">
        <v>0.0</v>
      </c>
      <c r="W39" s="101">
        <v>0.0</v>
      </c>
      <c r="X39" s="101">
        <v>0.0</v>
      </c>
    </row>
    <row r="40" ht="15.75" customHeight="1">
      <c r="A40" s="101">
        <v>6.0</v>
      </c>
      <c r="B40" s="101" t="s">
        <v>122</v>
      </c>
      <c r="C40" s="101">
        <v>10.0</v>
      </c>
      <c r="D40" s="102">
        <v>54.0</v>
      </c>
      <c r="E40" s="129">
        <v>0.0</v>
      </c>
      <c r="F40" s="101">
        <v>0.0</v>
      </c>
      <c r="G40" s="101">
        <v>0.0</v>
      </c>
      <c r="H40" s="101">
        <v>0.0</v>
      </c>
      <c r="I40" s="101">
        <v>0.0</v>
      </c>
      <c r="J40" s="101">
        <v>0.0</v>
      </c>
      <c r="K40" s="101">
        <v>0.0</v>
      </c>
      <c r="L40" s="101">
        <v>0.0</v>
      </c>
      <c r="M40" s="101">
        <v>0.0</v>
      </c>
      <c r="N40" s="101">
        <v>15.0</v>
      </c>
      <c r="O40" s="101">
        <v>0.0</v>
      </c>
      <c r="P40" s="101">
        <v>0.0</v>
      </c>
      <c r="Q40" s="101">
        <v>0.0</v>
      </c>
      <c r="R40" s="101">
        <v>0.0</v>
      </c>
      <c r="S40" s="101">
        <v>0.0</v>
      </c>
      <c r="T40" s="101">
        <v>0.0</v>
      </c>
      <c r="U40" s="101">
        <v>0.0</v>
      </c>
      <c r="V40" s="101">
        <v>0.0</v>
      </c>
      <c r="W40" s="101">
        <v>0.0</v>
      </c>
      <c r="X40" s="101">
        <v>0.0</v>
      </c>
    </row>
    <row r="41" ht="15.75" customHeight="1">
      <c r="A41" s="101">
        <v>6.0</v>
      </c>
      <c r="B41" s="101" t="s">
        <v>123</v>
      </c>
      <c r="C41" s="101">
        <v>10.0</v>
      </c>
      <c r="D41" s="102">
        <v>54.0</v>
      </c>
      <c r="E41" s="129">
        <v>0.0</v>
      </c>
      <c r="F41" s="101">
        <v>0.0</v>
      </c>
      <c r="G41" s="101">
        <v>0.0</v>
      </c>
      <c r="H41" s="101">
        <v>0.0</v>
      </c>
      <c r="I41" s="101">
        <v>0.0</v>
      </c>
      <c r="J41" s="101">
        <v>1.0</v>
      </c>
      <c r="K41" s="101">
        <v>0.0</v>
      </c>
      <c r="L41" s="101">
        <v>0.0</v>
      </c>
      <c r="M41" s="101">
        <v>0.0</v>
      </c>
      <c r="N41" s="101">
        <v>0.0</v>
      </c>
      <c r="O41" s="101">
        <v>0.0</v>
      </c>
      <c r="P41" s="101">
        <v>0.0</v>
      </c>
      <c r="Q41" s="101">
        <v>0.0</v>
      </c>
      <c r="R41" s="101">
        <v>0.0</v>
      </c>
      <c r="S41" s="101">
        <v>0.0</v>
      </c>
      <c r="T41" s="101">
        <v>0.0</v>
      </c>
      <c r="U41" s="101">
        <v>0.0</v>
      </c>
      <c r="V41" s="101">
        <v>0.0</v>
      </c>
      <c r="W41" s="101">
        <v>0.0</v>
      </c>
      <c r="X41" s="101">
        <v>0.0</v>
      </c>
    </row>
    <row r="42" ht="15.75" customHeight="1">
      <c r="A42" s="101">
        <v>6.0</v>
      </c>
      <c r="B42" s="101" t="s">
        <v>124</v>
      </c>
      <c r="C42" s="101">
        <v>10.0</v>
      </c>
      <c r="D42" s="102">
        <v>54.0</v>
      </c>
      <c r="E42" s="129">
        <v>0.0</v>
      </c>
      <c r="F42" s="101">
        <v>0.0</v>
      </c>
      <c r="G42" s="101">
        <v>0.0</v>
      </c>
      <c r="H42" s="101">
        <v>0.0</v>
      </c>
      <c r="I42" s="101">
        <v>0.0</v>
      </c>
      <c r="J42" s="101">
        <v>0.0</v>
      </c>
      <c r="K42" s="101">
        <v>0.0</v>
      </c>
      <c r="L42" s="101">
        <v>1.0</v>
      </c>
      <c r="M42" s="101">
        <v>0.0</v>
      </c>
      <c r="N42" s="101">
        <v>0.0</v>
      </c>
      <c r="O42" s="101">
        <v>0.0</v>
      </c>
      <c r="P42" s="101">
        <v>0.0</v>
      </c>
      <c r="Q42" s="101">
        <v>0.0</v>
      </c>
      <c r="R42" s="101">
        <v>0.0</v>
      </c>
      <c r="S42" s="101">
        <v>0.0</v>
      </c>
      <c r="T42" s="101">
        <v>0.0</v>
      </c>
      <c r="U42" s="101">
        <v>0.0</v>
      </c>
      <c r="V42" s="101">
        <v>0.0</v>
      </c>
      <c r="W42" s="101">
        <v>0.0</v>
      </c>
      <c r="X42" s="101">
        <v>0.0</v>
      </c>
    </row>
    <row r="43" ht="15.75" customHeight="1">
      <c r="A43" s="101">
        <v>6.0</v>
      </c>
      <c r="B43" s="101" t="s">
        <v>125</v>
      </c>
      <c r="C43" s="101">
        <v>10.0</v>
      </c>
      <c r="D43" s="102">
        <v>54.0</v>
      </c>
      <c r="E43" s="129">
        <v>0.0</v>
      </c>
      <c r="F43" s="101">
        <v>0.0</v>
      </c>
      <c r="G43" s="101">
        <v>15.0</v>
      </c>
      <c r="H43" s="101">
        <v>0.0</v>
      </c>
      <c r="I43" s="101">
        <v>0.0</v>
      </c>
      <c r="J43" s="101">
        <v>0.0</v>
      </c>
      <c r="K43" s="101">
        <v>0.0</v>
      </c>
      <c r="L43" s="101">
        <v>0.0</v>
      </c>
      <c r="M43" s="101">
        <v>0.0</v>
      </c>
      <c r="N43" s="101">
        <v>0.0</v>
      </c>
      <c r="O43" s="101">
        <v>0.0</v>
      </c>
      <c r="P43" s="101">
        <v>0.0</v>
      </c>
      <c r="Q43" s="101">
        <v>0.0</v>
      </c>
      <c r="R43" s="101">
        <v>0.0</v>
      </c>
      <c r="S43" s="101">
        <v>0.0</v>
      </c>
      <c r="T43" s="101">
        <v>0.0</v>
      </c>
      <c r="U43" s="101">
        <v>0.0</v>
      </c>
      <c r="V43" s="101">
        <v>0.0</v>
      </c>
      <c r="W43" s="101">
        <v>0.0</v>
      </c>
      <c r="X43" s="101">
        <v>0.0</v>
      </c>
    </row>
    <row r="44" ht="15.75" customHeight="1">
      <c r="A44" s="101">
        <v>7.0</v>
      </c>
      <c r="B44" s="101" t="s">
        <v>121</v>
      </c>
      <c r="C44" s="101">
        <v>12.0</v>
      </c>
      <c r="D44" s="102">
        <v>66.0</v>
      </c>
      <c r="E44" s="129">
        <v>0.0</v>
      </c>
      <c r="F44" s="101">
        <v>0.0</v>
      </c>
      <c r="G44" s="101">
        <v>0.0</v>
      </c>
      <c r="H44" s="101">
        <v>0.0</v>
      </c>
      <c r="I44" s="101">
        <v>0.0</v>
      </c>
      <c r="J44" s="101">
        <v>0.0</v>
      </c>
      <c r="K44" s="101">
        <v>1.0</v>
      </c>
      <c r="L44" s="101">
        <v>0.0</v>
      </c>
      <c r="M44" s="101">
        <v>0.0</v>
      </c>
      <c r="N44" s="101">
        <v>0.0</v>
      </c>
      <c r="O44" s="101">
        <v>0.0</v>
      </c>
      <c r="P44" s="101">
        <v>0.0</v>
      </c>
      <c r="Q44" s="101">
        <v>0.0</v>
      </c>
      <c r="R44" s="101">
        <v>0.0</v>
      </c>
      <c r="S44" s="101">
        <v>0.0</v>
      </c>
      <c r="T44" s="101">
        <v>0.0</v>
      </c>
      <c r="U44" s="101">
        <v>0.0</v>
      </c>
      <c r="V44" s="101">
        <v>0.0</v>
      </c>
      <c r="W44" s="101">
        <v>0.0</v>
      </c>
      <c r="X44" s="101">
        <v>0.0</v>
      </c>
    </row>
    <row r="45" ht="15.75" customHeight="1">
      <c r="A45" s="101">
        <v>7.0</v>
      </c>
      <c r="B45" s="101" t="s">
        <v>122</v>
      </c>
      <c r="C45" s="101">
        <v>12.0</v>
      </c>
      <c r="D45" s="102">
        <v>66.0</v>
      </c>
      <c r="E45" s="129">
        <v>0.0</v>
      </c>
      <c r="F45" s="101">
        <v>0.0</v>
      </c>
      <c r="G45" s="101">
        <v>0.0</v>
      </c>
      <c r="H45" s="101">
        <v>0.0</v>
      </c>
      <c r="I45" s="101">
        <v>0.0</v>
      </c>
      <c r="J45" s="101">
        <v>0.0</v>
      </c>
      <c r="K45" s="101">
        <v>0.0</v>
      </c>
      <c r="L45" s="101">
        <v>0.0</v>
      </c>
      <c r="M45" s="101">
        <v>0.0</v>
      </c>
      <c r="N45" s="101">
        <v>0.0</v>
      </c>
      <c r="O45" s="101">
        <v>15.0</v>
      </c>
      <c r="P45" s="101">
        <v>0.0</v>
      </c>
      <c r="Q45" s="101">
        <v>0.0</v>
      </c>
      <c r="R45" s="101">
        <v>0.0</v>
      </c>
      <c r="S45" s="101">
        <v>0.0</v>
      </c>
      <c r="T45" s="101">
        <v>0.0</v>
      </c>
      <c r="U45" s="101">
        <v>0.0</v>
      </c>
      <c r="V45" s="101">
        <v>0.0</v>
      </c>
      <c r="W45" s="101">
        <v>0.0</v>
      </c>
      <c r="X45" s="101">
        <v>0.0</v>
      </c>
    </row>
    <row r="46" ht="15.75" customHeight="1">
      <c r="A46" s="101">
        <v>7.0</v>
      </c>
      <c r="B46" s="101" t="s">
        <v>123</v>
      </c>
      <c r="C46" s="101">
        <v>12.0</v>
      </c>
      <c r="D46" s="102">
        <v>66.0</v>
      </c>
      <c r="E46" s="129">
        <v>0.0</v>
      </c>
      <c r="F46" s="101">
        <v>0.0</v>
      </c>
      <c r="G46" s="101">
        <v>0.0</v>
      </c>
      <c r="H46" s="101">
        <v>1.0</v>
      </c>
      <c r="I46" s="101">
        <v>0.0</v>
      </c>
      <c r="J46" s="101">
        <v>0.0</v>
      </c>
      <c r="K46" s="101">
        <v>0.0</v>
      </c>
      <c r="L46" s="101">
        <v>0.0</v>
      </c>
      <c r="M46" s="101">
        <v>0.0</v>
      </c>
      <c r="N46" s="101">
        <v>0.0</v>
      </c>
      <c r="O46" s="101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1">
        <v>0.0</v>
      </c>
      <c r="V46" s="101">
        <v>0.0</v>
      </c>
      <c r="W46" s="101">
        <v>0.0</v>
      </c>
      <c r="X46" s="101">
        <v>0.0</v>
      </c>
    </row>
    <row r="47" ht="15.75" customHeight="1">
      <c r="A47" s="101">
        <v>7.0</v>
      </c>
      <c r="B47" s="101" t="s">
        <v>124</v>
      </c>
      <c r="C47" s="101">
        <v>12.0</v>
      </c>
      <c r="D47" s="102">
        <v>66.0</v>
      </c>
      <c r="E47" s="129">
        <v>0.0</v>
      </c>
      <c r="F47" s="101">
        <v>30.0</v>
      </c>
      <c r="G47" s="101">
        <v>0.0</v>
      </c>
      <c r="H47" s="101">
        <v>0.0</v>
      </c>
      <c r="I47" s="101">
        <v>0.0</v>
      </c>
      <c r="J47" s="101">
        <v>0.0</v>
      </c>
      <c r="K47" s="101">
        <v>0.0</v>
      </c>
      <c r="L47" s="101">
        <v>0.0</v>
      </c>
      <c r="M47" s="101">
        <v>0.0</v>
      </c>
      <c r="N47" s="101">
        <v>0.0</v>
      </c>
      <c r="O47" s="101">
        <v>0.0</v>
      </c>
      <c r="P47" s="101">
        <v>0.0</v>
      </c>
      <c r="Q47" s="101">
        <v>0.0</v>
      </c>
      <c r="R47" s="101">
        <v>0.0</v>
      </c>
      <c r="S47" s="101">
        <v>0.0</v>
      </c>
      <c r="T47" s="101">
        <v>0.0</v>
      </c>
      <c r="U47" s="101">
        <v>0.0</v>
      </c>
      <c r="V47" s="101">
        <v>0.0</v>
      </c>
      <c r="W47" s="101">
        <v>0.0</v>
      </c>
      <c r="X47" s="101">
        <v>0.0</v>
      </c>
    </row>
    <row r="48" ht="15.75" customHeight="1">
      <c r="A48" s="101">
        <v>7.0</v>
      </c>
      <c r="B48" s="101" t="s">
        <v>125</v>
      </c>
      <c r="C48" s="101">
        <v>12.0</v>
      </c>
      <c r="D48" s="102">
        <v>66.0</v>
      </c>
      <c r="E48" s="129">
        <v>0.0</v>
      </c>
      <c r="F48" s="101">
        <v>0.0</v>
      </c>
      <c r="G48" s="101">
        <v>15.0</v>
      </c>
      <c r="H48" s="101">
        <v>0.0</v>
      </c>
      <c r="I48" s="101">
        <v>0.0</v>
      </c>
      <c r="J48" s="101">
        <v>0.0</v>
      </c>
      <c r="K48" s="101">
        <v>0.0</v>
      </c>
      <c r="L48" s="101">
        <v>0.0</v>
      </c>
      <c r="M48" s="101">
        <v>0.0</v>
      </c>
      <c r="N48" s="101">
        <v>0.0</v>
      </c>
      <c r="O48" s="101">
        <v>0.0</v>
      </c>
      <c r="P48" s="101">
        <v>0.0</v>
      </c>
      <c r="Q48" s="101">
        <v>0.0</v>
      </c>
      <c r="R48" s="101">
        <v>0.0</v>
      </c>
      <c r="S48" s="101">
        <v>0.0</v>
      </c>
      <c r="T48" s="101">
        <v>0.0</v>
      </c>
      <c r="U48" s="101">
        <v>0.0</v>
      </c>
      <c r="V48" s="101">
        <v>0.0</v>
      </c>
      <c r="W48" s="101">
        <v>0.0</v>
      </c>
      <c r="X48" s="101">
        <v>0.0</v>
      </c>
    </row>
    <row r="49" ht="15.75" customHeight="1">
      <c r="A49" s="101">
        <v>8.0</v>
      </c>
      <c r="B49" s="101" t="s">
        <v>121</v>
      </c>
      <c r="C49" s="101">
        <v>15.0</v>
      </c>
      <c r="D49" s="102">
        <v>81.0</v>
      </c>
      <c r="E49" s="129">
        <v>0.0</v>
      </c>
      <c r="F49" s="101">
        <v>0.0</v>
      </c>
      <c r="G49" s="101">
        <v>0.0</v>
      </c>
      <c r="H49" s="101">
        <v>0.0</v>
      </c>
      <c r="I49" s="101">
        <v>0.0</v>
      </c>
      <c r="J49" s="101">
        <v>1.0</v>
      </c>
      <c r="K49" s="101">
        <v>0.0</v>
      </c>
      <c r="L49" s="101">
        <v>0.0</v>
      </c>
      <c r="M49" s="101">
        <v>0.0</v>
      </c>
      <c r="N49" s="101">
        <v>30.0</v>
      </c>
      <c r="O49" s="101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1">
        <v>0.0</v>
      </c>
      <c r="V49" s="101">
        <v>0.0</v>
      </c>
      <c r="W49" s="101">
        <v>0.0</v>
      </c>
      <c r="X49" s="101">
        <v>0.0</v>
      </c>
    </row>
    <row r="50" ht="15.75" customHeight="1">
      <c r="A50" s="101">
        <v>8.0</v>
      </c>
      <c r="B50" s="101" t="s">
        <v>122</v>
      </c>
      <c r="C50" s="101">
        <v>15.0</v>
      </c>
      <c r="D50" s="102">
        <v>81.0</v>
      </c>
      <c r="E50" s="129">
        <v>0.0</v>
      </c>
      <c r="F50" s="101">
        <v>0.0</v>
      </c>
      <c r="G50" s="101">
        <v>0.0</v>
      </c>
      <c r="H50" s="101">
        <v>0.0</v>
      </c>
      <c r="I50" s="101">
        <v>0.0</v>
      </c>
      <c r="J50" s="101">
        <v>0.0</v>
      </c>
      <c r="K50" s="101">
        <v>0.0</v>
      </c>
      <c r="L50" s="101">
        <v>0.0</v>
      </c>
      <c r="M50" s="101">
        <v>1.0</v>
      </c>
      <c r="N50" s="101">
        <v>0.0</v>
      </c>
      <c r="O50" s="101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  <c r="W50" s="101">
        <v>0.0</v>
      </c>
      <c r="X50" s="101">
        <v>0.0</v>
      </c>
    </row>
    <row r="51" ht="15.75" customHeight="1">
      <c r="A51" s="101">
        <v>8.0</v>
      </c>
      <c r="B51" s="101" t="s">
        <v>123</v>
      </c>
      <c r="C51" s="101">
        <v>15.0</v>
      </c>
      <c r="D51" s="102">
        <v>81.0</v>
      </c>
      <c r="E51" s="129">
        <v>0.0</v>
      </c>
      <c r="F51" s="101">
        <v>0.0</v>
      </c>
      <c r="G51" s="101">
        <v>0.0</v>
      </c>
      <c r="H51" s="101">
        <v>0.0</v>
      </c>
      <c r="I51" s="101">
        <v>0.0</v>
      </c>
      <c r="J51" s="101">
        <v>0.0</v>
      </c>
      <c r="K51" s="101">
        <v>0.0</v>
      </c>
      <c r="L51" s="101">
        <v>0.0</v>
      </c>
      <c r="M51" s="101">
        <v>0.0</v>
      </c>
      <c r="N51" s="101">
        <v>0.0</v>
      </c>
      <c r="O51" s="101">
        <v>0.0</v>
      </c>
      <c r="P51" s="101">
        <v>15.0</v>
      </c>
      <c r="Q51" s="101">
        <v>0.0</v>
      </c>
      <c r="R51" s="101">
        <v>0.0</v>
      </c>
      <c r="S51" s="101">
        <v>0.0</v>
      </c>
      <c r="T51" s="101">
        <v>0.0</v>
      </c>
      <c r="U51" s="101">
        <v>0.0</v>
      </c>
      <c r="V51" s="101">
        <v>0.0</v>
      </c>
      <c r="W51" s="101">
        <v>0.0</v>
      </c>
      <c r="X51" s="101">
        <v>0.0</v>
      </c>
    </row>
    <row r="52" ht="15.75" customHeight="1">
      <c r="A52" s="101">
        <v>8.0</v>
      </c>
      <c r="B52" s="101" t="s">
        <v>124</v>
      </c>
      <c r="C52" s="101">
        <v>15.0</v>
      </c>
      <c r="D52" s="102">
        <v>81.0</v>
      </c>
      <c r="E52" s="129">
        <v>0.0</v>
      </c>
      <c r="F52" s="101">
        <v>0.0</v>
      </c>
      <c r="G52" s="101">
        <v>0.0</v>
      </c>
      <c r="H52" s="101">
        <v>0.0</v>
      </c>
      <c r="I52" s="101">
        <v>1.0</v>
      </c>
      <c r="J52" s="101">
        <v>0.0</v>
      </c>
      <c r="K52" s="101">
        <v>0.0</v>
      </c>
      <c r="L52" s="101">
        <v>0.0</v>
      </c>
      <c r="M52" s="101">
        <v>0.0</v>
      </c>
      <c r="N52" s="101">
        <v>0.0</v>
      </c>
      <c r="O52" s="101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1">
        <v>0.0</v>
      </c>
      <c r="V52" s="101">
        <v>0.0</v>
      </c>
      <c r="W52" s="101">
        <v>0.0</v>
      </c>
      <c r="X52" s="101">
        <v>0.0</v>
      </c>
    </row>
    <row r="53" ht="15.75" customHeight="1">
      <c r="A53" s="101">
        <v>8.0</v>
      </c>
      <c r="B53" s="101" t="s">
        <v>125</v>
      </c>
      <c r="C53" s="101">
        <v>15.0</v>
      </c>
      <c r="D53" s="102">
        <v>81.0</v>
      </c>
      <c r="E53" s="129">
        <v>0.0</v>
      </c>
      <c r="F53" s="101">
        <v>0.0</v>
      </c>
      <c r="G53" s="101">
        <v>0.0</v>
      </c>
      <c r="H53" s="101">
        <v>1.0</v>
      </c>
      <c r="I53" s="101">
        <v>0.0</v>
      </c>
      <c r="J53" s="101">
        <v>0.0</v>
      </c>
      <c r="K53" s="101">
        <v>0.0</v>
      </c>
      <c r="L53" s="101">
        <v>0.0</v>
      </c>
      <c r="M53" s="101">
        <v>0.0</v>
      </c>
      <c r="N53" s="101">
        <v>0.0</v>
      </c>
      <c r="O53" s="101">
        <v>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1">
        <v>0.0</v>
      </c>
      <c r="V53" s="101">
        <v>0.0</v>
      </c>
      <c r="W53" s="101">
        <v>0.0</v>
      </c>
      <c r="X53" s="101">
        <v>0.0</v>
      </c>
    </row>
    <row r="54" ht="15.75" customHeight="1">
      <c r="A54" s="101">
        <v>9.0</v>
      </c>
      <c r="B54" s="101" t="s">
        <v>121</v>
      </c>
      <c r="C54" s="101">
        <v>17.0</v>
      </c>
      <c r="D54" s="102">
        <v>98.0</v>
      </c>
      <c r="E54" s="129">
        <v>70.0</v>
      </c>
      <c r="F54" s="101">
        <v>30.0</v>
      </c>
      <c r="G54" s="101">
        <v>0.0</v>
      </c>
      <c r="H54" s="101">
        <v>1.0</v>
      </c>
      <c r="I54" s="101">
        <v>0.0</v>
      </c>
      <c r="J54" s="101">
        <v>0.0</v>
      </c>
      <c r="K54" s="101">
        <v>0.0</v>
      </c>
      <c r="L54" s="101">
        <v>0.0</v>
      </c>
      <c r="M54" s="101">
        <v>0.0</v>
      </c>
      <c r="N54" s="101">
        <v>0.0</v>
      </c>
      <c r="O54" s="101">
        <v>0.0</v>
      </c>
      <c r="P54" s="101">
        <v>0.0</v>
      </c>
      <c r="Q54" s="101">
        <v>0.0</v>
      </c>
      <c r="R54" s="101">
        <v>0.0</v>
      </c>
      <c r="S54" s="101">
        <v>0.0</v>
      </c>
      <c r="T54" s="101">
        <v>0.0</v>
      </c>
      <c r="U54" s="101">
        <v>0.0</v>
      </c>
      <c r="V54" s="101">
        <v>0.0</v>
      </c>
      <c r="W54" s="101">
        <v>0.0</v>
      </c>
      <c r="X54" s="101">
        <v>0.0</v>
      </c>
    </row>
    <row r="55" ht="15.75" customHeight="1">
      <c r="A55" s="101">
        <v>9.0</v>
      </c>
      <c r="B55" s="101" t="s">
        <v>122</v>
      </c>
      <c r="C55" s="101">
        <v>17.0</v>
      </c>
      <c r="D55" s="102">
        <v>98.0</v>
      </c>
      <c r="E55" s="129">
        <v>0.0</v>
      </c>
      <c r="F55" s="101">
        <v>0.0</v>
      </c>
      <c r="G55" s="101">
        <v>0.0</v>
      </c>
      <c r="H55" s="101">
        <v>0.0</v>
      </c>
      <c r="I55" s="101">
        <v>0.0</v>
      </c>
      <c r="J55" s="101">
        <v>0.0</v>
      </c>
      <c r="K55" s="101">
        <v>1.0</v>
      </c>
      <c r="L55" s="101">
        <v>0.0</v>
      </c>
      <c r="M55" s="101">
        <v>0.0</v>
      </c>
      <c r="N55" s="101">
        <v>0.0</v>
      </c>
      <c r="O55" s="101">
        <v>0.0</v>
      </c>
      <c r="P55" s="101">
        <v>0.0</v>
      </c>
      <c r="Q55" s="101">
        <v>15.0</v>
      </c>
      <c r="R55" s="101">
        <v>0.0</v>
      </c>
      <c r="S55" s="101">
        <v>0.0</v>
      </c>
      <c r="T55" s="101">
        <v>0.0</v>
      </c>
      <c r="U55" s="101">
        <v>0.0</v>
      </c>
      <c r="V55" s="101">
        <v>0.0</v>
      </c>
      <c r="W55" s="101">
        <v>0.0</v>
      </c>
      <c r="X55" s="101">
        <v>0.0</v>
      </c>
    </row>
    <row r="56" ht="15.75" customHeight="1">
      <c r="A56" s="101">
        <v>9.0</v>
      </c>
      <c r="B56" s="101" t="s">
        <v>123</v>
      </c>
      <c r="C56" s="101">
        <v>17.0</v>
      </c>
      <c r="D56" s="102">
        <v>98.0</v>
      </c>
      <c r="E56" s="129">
        <v>0.0</v>
      </c>
      <c r="F56" s="101">
        <v>0.0</v>
      </c>
      <c r="G56" s="101">
        <v>0.0</v>
      </c>
      <c r="H56" s="101">
        <v>0.0</v>
      </c>
      <c r="I56" s="101">
        <v>0.0</v>
      </c>
      <c r="J56" s="101">
        <v>0.0</v>
      </c>
      <c r="K56" s="101">
        <v>0.0</v>
      </c>
      <c r="L56" s="101">
        <v>0.0</v>
      </c>
      <c r="M56" s="101">
        <v>0.0</v>
      </c>
      <c r="N56" s="101">
        <v>0.0</v>
      </c>
      <c r="O56" s="101">
        <v>0.0</v>
      </c>
      <c r="P56" s="101">
        <v>15.0</v>
      </c>
      <c r="Q56" s="101">
        <v>0.0</v>
      </c>
      <c r="R56" s="101">
        <v>0.0</v>
      </c>
      <c r="S56" s="101">
        <v>0.0</v>
      </c>
      <c r="T56" s="101">
        <v>0.0</v>
      </c>
      <c r="U56" s="101">
        <v>0.0</v>
      </c>
      <c r="V56" s="101">
        <v>0.0</v>
      </c>
      <c r="W56" s="101">
        <v>0.0</v>
      </c>
      <c r="X56" s="101">
        <v>0.0</v>
      </c>
    </row>
    <row r="57" ht="15.75" customHeight="1">
      <c r="A57" s="101">
        <v>9.0</v>
      </c>
      <c r="B57" s="101" t="s">
        <v>124</v>
      </c>
      <c r="C57" s="101">
        <v>17.0</v>
      </c>
      <c r="D57" s="102">
        <v>98.0</v>
      </c>
      <c r="E57" s="129">
        <v>0.0</v>
      </c>
      <c r="F57" s="101">
        <v>0.0</v>
      </c>
      <c r="G57" s="101">
        <v>0.0</v>
      </c>
      <c r="H57" s="101">
        <v>0.0</v>
      </c>
      <c r="I57" s="101">
        <v>0.0</v>
      </c>
      <c r="J57" s="101">
        <v>0.0</v>
      </c>
      <c r="K57" s="101">
        <v>0.0</v>
      </c>
      <c r="L57" s="101">
        <v>0.0</v>
      </c>
      <c r="M57" s="101">
        <v>0.0</v>
      </c>
      <c r="N57" s="101">
        <v>0.0</v>
      </c>
      <c r="O57" s="101">
        <v>15.0</v>
      </c>
      <c r="P57" s="101">
        <v>0.0</v>
      </c>
      <c r="Q57" s="101">
        <v>0.0</v>
      </c>
      <c r="R57" s="101">
        <v>0.0</v>
      </c>
      <c r="S57" s="101">
        <v>0.0</v>
      </c>
      <c r="T57" s="101">
        <v>0.0</v>
      </c>
      <c r="U57" s="101">
        <v>0.0</v>
      </c>
      <c r="V57" s="101">
        <v>0.0</v>
      </c>
      <c r="W57" s="101">
        <v>0.0</v>
      </c>
      <c r="X57" s="101">
        <v>0.0</v>
      </c>
    </row>
    <row r="58" ht="15.75" customHeight="1">
      <c r="A58" s="101">
        <v>9.0</v>
      </c>
      <c r="B58" s="101" t="s">
        <v>125</v>
      </c>
      <c r="C58" s="101">
        <v>17.0</v>
      </c>
      <c r="D58" s="102">
        <v>98.0</v>
      </c>
      <c r="E58" s="129">
        <v>0.0</v>
      </c>
      <c r="F58" s="101">
        <v>0.0</v>
      </c>
      <c r="G58" s="101">
        <v>15.0</v>
      </c>
      <c r="H58" s="101">
        <v>0.0</v>
      </c>
      <c r="I58" s="101">
        <v>0.0</v>
      </c>
      <c r="J58" s="101">
        <v>0.0</v>
      </c>
      <c r="K58" s="101">
        <v>0.0</v>
      </c>
      <c r="L58" s="101">
        <v>0.0</v>
      </c>
      <c r="M58" s="101">
        <v>0.0</v>
      </c>
      <c r="N58" s="101">
        <v>0.0</v>
      </c>
      <c r="O58" s="101">
        <v>0.0</v>
      </c>
      <c r="P58" s="101">
        <v>0.0</v>
      </c>
      <c r="Q58" s="101">
        <v>0.0</v>
      </c>
      <c r="R58" s="101">
        <v>0.0</v>
      </c>
      <c r="S58" s="101">
        <v>0.0</v>
      </c>
      <c r="T58" s="101">
        <v>0.0</v>
      </c>
      <c r="U58" s="101">
        <v>0.0</v>
      </c>
      <c r="V58" s="101">
        <v>0.0</v>
      </c>
      <c r="W58" s="101">
        <v>0.0</v>
      </c>
      <c r="X58" s="101">
        <v>0.0</v>
      </c>
    </row>
    <row r="59" ht="15.75" customHeight="1">
      <c r="A59" s="101">
        <v>10.0</v>
      </c>
      <c r="B59" s="101" t="s">
        <v>121</v>
      </c>
      <c r="C59" s="101">
        <v>8.0</v>
      </c>
      <c r="D59" s="102">
        <v>106.0</v>
      </c>
      <c r="E59" s="129">
        <v>0.0</v>
      </c>
      <c r="F59" s="101">
        <v>0.0</v>
      </c>
      <c r="G59" s="101">
        <v>0.0</v>
      </c>
      <c r="H59" s="101">
        <v>0.0</v>
      </c>
      <c r="I59" s="101">
        <v>0.0</v>
      </c>
      <c r="J59" s="101">
        <v>0.0</v>
      </c>
      <c r="K59" s="101">
        <v>0.0</v>
      </c>
      <c r="L59" s="101">
        <v>0.0</v>
      </c>
      <c r="M59" s="101">
        <v>0.0</v>
      </c>
      <c r="N59" s="101">
        <v>0.0</v>
      </c>
      <c r="O59" s="101">
        <v>20.0</v>
      </c>
      <c r="P59" s="101">
        <v>0.0</v>
      </c>
      <c r="Q59" s="101">
        <v>0.0</v>
      </c>
      <c r="R59" s="101">
        <v>0.0</v>
      </c>
      <c r="S59" s="101">
        <v>0.0</v>
      </c>
      <c r="T59" s="101">
        <v>0.0</v>
      </c>
      <c r="U59" s="101">
        <v>0.0</v>
      </c>
      <c r="V59" s="101">
        <v>0.0</v>
      </c>
      <c r="W59" s="101">
        <v>0.0</v>
      </c>
      <c r="X59" s="101">
        <v>0.0</v>
      </c>
    </row>
    <row r="60" ht="15.75" customHeight="1">
      <c r="A60" s="101">
        <v>10.0</v>
      </c>
      <c r="B60" s="101" t="s">
        <v>122</v>
      </c>
      <c r="C60" s="101">
        <v>8.0</v>
      </c>
      <c r="D60" s="102">
        <v>106.0</v>
      </c>
      <c r="E60" s="129">
        <v>0.0</v>
      </c>
      <c r="F60" s="101">
        <v>0.0</v>
      </c>
      <c r="G60" s="101">
        <v>0.0</v>
      </c>
      <c r="H60" s="101">
        <v>0.0</v>
      </c>
      <c r="I60" s="101">
        <v>0.0</v>
      </c>
      <c r="J60" s="101">
        <v>0.0</v>
      </c>
      <c r="K60" s="101">
        <v>0.0</v>
      </c>
      <c r="L60" s="101">
        <v>0.0</v>
      </c>
      <c r="M60" s="101">
        <v>0.0</v>
      </c>
      <c r="N60" s="101">
        <v>15.0</v>
      </c>
      <c r="O60" s="101">
        <v>0.0</v>
      </c>
      <c r="P60" s="101">
        <v>0.0</v>
      </c>
      <c r="Q60" s="101">
        <v>0.0</v>
      </c>
      <c r="R60" s="101">
        <v>0.0</v>
      </c>
      <c r="S60" s="101">
        <v>0.0</v>
      </c>
      <c r="T60" s="101">
        <v>0.0</v>
      </c>
      <c r="U60" s="101">
        <v>0.0</v>
      </c>
      <c r="V60" s="101">
        <v>0.0</v>
      </c>
      <c r="W60" s="101">
        <v>0.0</v>
      </c>
      <c r="X60" s="101">
        <v>0.0</v>
      </c>
    </row>
    <row r="61" ht="15.75" customHeight="1">
      <c r="A61" s="101">
        <v>10.0</v>
      </c>
      <c r="B61" s="101" t="s">
        <v>123</v>
      </c>
      <c r="C61" s="101">
        <v>8.0</v>
      </c>
      <c r="D61" s="102">
        <v>106.0</v>
      </c>
      <c r="E61" s="129">
        <v>0.0</v>
      </c>
      <c r="F61" s="101">
        <v>0.0</v>
      </c>
      <c r="G61" s="101">
        <v>0.0</v>
      </c>
      <c r="H61" s="101">
        <v>0.0</v>
      </c>
      <c r="I61" s="101">
        <v>0.0</v>
      </c>
      <c r="J61" s="101">
        <v>1.0</v>
      </c>
      <c r="K61" s="101">
        <v>0.0</v>
      </c>
      <c r="L61" s="101">
        <v>0.0</v>
      </c>
      <c r="M61" s="101">
        <v>0.0</v>
      </c>
      <c r="N61" s="101">
        <v>0.0</v>
      </c>
      <c r="O61" s="101">
        <v>0.0</v>
      </c>
      <c r="P61" s="101">
        <v>0.0</v>
      </c>
      <c r="Q61" s="101">
        <v>0.0</v>
      </c>
      <c r="R61" s="101">
        <v>0.0</v>
      </c>
      <c r="S61" s="101">
        <v>0.0</v>
      </c>
      <c r="T61" s="101">
        <v>0.0</v>
      </c>
      <c r="U61" s="101">
        <v>0.0</v>
      </c>
      <c r="V61" s="101">
        <v>0.0</v>
      </c>
      <c r="W61" s="101">
        <v>0.0</v>
      </c>
      <c r="X61" s="101">
        <v>0.0</v>
      </c>
    </row>
    <row r="62" ht="15.75" customHeight="1">
      <c r="A62" s="101">
        <v>10.0</v>
      </c>
      <c r="B62" s="101" t="s">
        <v>124</v>
      </c>
      <c r="C62" s="101">
        <v>8.0</v>
      </c>
      <c r="D62" s="102">
        <v>106.0</v>
      </c>
      <c r="E62" s="129">
        <v>0.0</v>
      </c>
      <c r="F62" s="101">
        <v>0.0</v>
      </c>
      <c r="G62" s="101">
        <v>0.0</v>
      </c>
      <c r="H62" s="101">
        <v>0.0</v>
      </c>
      <c r="I62" s="101">
        <v>1.0</v>
      </c>
      <c r="J62" s="101">
        <v>0.0</v>
      </c>
      <c r="K62" s="101">
        <v>0.0</v>
      </c>
      <c r="L62" s="101">
        <v>0.0</v>
      </c>
      <c r="M62" s="101">
        <v>0.0</v>
      </c>
      <c r="N62" s="101">
        <v>0.0</v>
      </c>
      <c r="O62" s="101">
        <v>0.0</v>
      </c>
      <c r="P62" s="101">
        <v>0.0</v>
      </c>
      <c r="Q62" s="101">
        <v>0.0</v>
      </c>
      <c r="R62" s="101">
        <v>0.0</v>
      </c>
      <c r="S62" s="101">
        <v>0.0</v>
      </c>
      <c r="T62" s="101">
        <v>0.0</v>
      </c>
      <c r="U62" s="101">
        <v>0.0</v>
      </c>
      <c r="V62" s="101">
        <v>0.0</v>
      </c>
      <c r="W62" s="101">
        <v>0.0</v>
      </c>
      <c r="X62" s="101">
        <v>0.0</v>
      </c>
    </row>
    <row r="63" ht="15.75" customHeight="1">
      <c r="A63" s="101">
        <v>10.0</v>
      </c>
      <c r="B63" s="101" t="s">
        <v>125</v>
      </c>
      <c r="C63" s="101">
        <v>8.0</v>
      </c>
      <c r="D63" s="102">
        <v>106.0</v>
      </c>
      <c r="E63" s="129">
        <v>0.0</v>
      </c>
      <c r="F63" s="101">
        <v>0.0</v>
      </c>
      <c r="G63" s="101">
        <v>0.0</v>
      </c>
      <c r="H63" s="101">
        <v>1.0</v>
      </c>
      <c r="I63" s="101">
        <v>0.0</v>
      </c>
      <c r="J63" s="101">
        <v>0.0</v>
      </c>
      <c r="K63" s="101">
        <v>0.0</v>
      </c>
      <c r="L63" s="101">
        <v>0.0</v>
      </c>
      <c r="M63" s="101">
        <v>0.0</v>
      </c>
      <c r="N63" s="101">
        <v>0.0</v>
      </c>
      <c r="O63" s="101">
        <v>0.0</v>
      </c>
      <c r="P63" s="101">
        <v>0.0</v>
      </c>
      <c r="Q63" s="101">
        <v>0.0</v>
      </c>
      <c r="R63" s="101">
        <v>0.0</v>
      </c>
      <c r="S63" s="101">
        <v>0.0</v>
      </c>
      <c r="T63" s="101">
        <v>0.0</v>
      </c>
      <c r="U63" s="101">
        <v>0.0</v>
      </c>
      <c r="V63" s="101">
        <v>0.0</v>
      </c>
      <c r="W63" s="101">
        <v>0.0</v>
      </c>
      <c r="X63" s="101">
        <v>0.0</v>
      </c>
    </row>
    <row r="64" ht="15.75" customHeight="1">
      <c r="A64" s="101">
        <v>11.0</v>
      </c>
      <c r="B64" s="101" t="s">
        <v>121</v>
      </c>
      <c r="C64" s="101">
        <v>10.0</v>
      </c>
      <c r="D64" s="102">
        <v>116.0</v>
      </c>
      <c r="E64" s="129">
        <v>0.0</v>
      </c>
      <c r="F64" s="101">
        <v>0.0</v>
      </c>
      <c r="G64" s="101">
        <v>0.0</v>
      </c>
      <c r="H64" s="101">
        <v>0.0</v>
      </c>
      <c r="I64" s="101">
        <v>0.0</v>
      </c>
      <c r="J64" s="101">
        <v>0.0</v>
      </c>
      <c r="K64" s="101">
        <v>0.0</v>
      </c>
      <c r="L64" s="101">
        <v>0.0</v>
      </c>
      <c r="M64" s="101">
        <v>0.0</v>
      </c>
      <c r="N64" s="101">
        <v>15.0</v>
      </c>
      <c r="O64" s="101">
        <v>0.0</v>
      </c>
      <c r="P64" s="101">
        <v>0.0</v>
      </c>
      <c r="Q64" s="101">
        <v>0.0</v>
      </c>
      <c r="R64" s="101">
        <v>0.0</v>
      </c>
      <c r="S64" s="101">
        <v>0.0</v>
      </c>
      <c r="T64" s="101">
        <v>0.0</v>
      </c>
      <c r="U64" s="101">
        <v>0.0</v>
      </c>
      <c r="V64" s="101">
        <v>0.0</v>
      </c>
      <c r="W64" s="101">
        <v>0.0</v>
      </c>
      <c r="X64" s="101">
        <v>0.0</v>
      </c>
    </row>
    <row r="65" ht="15.75" customHeight="1">
      <c r="A65" s="101">
        <v>11.0</v>
      </c>
      <c r="B65" s="101" t="s">
        <v>122</v>
      </c>
      <c r="C65" s="101">
        <v>10.0</v>
      </c>
      <c r="D65" s="102">
        <v>116.0</v>
      </c>
      <c r="E65" s="129">
        <v>0.0</v>
      </c>
      <c r="F65" s="101">
        <v>0.0</v>
      </c>
      <c r="G65" s="101">
        <v>0.0</v>
      </c>
      <c r="H65" s="101">
        <v>0.0</v>
      </c>
      <c r="I65" s="101">
        <v>0.0</v>
      </c>
      <c r="J65" s="101">
        <v>0.0</v>
      </c>
      <c r="K65" s="101">
        <v>0.0</v>
      </c>
      <c r="L65" s="101">
        <v>0.0</v>
      </c>
      <c r="M65" s="101">
        <v>0.0</v>
      </c>
      <c r="N65" s="101">
        <v>0.0</v>
      </c>
      <c r="O65" s="101">
        <v>0.0</v>
      </c>
      <c r="P65" s="101">
        <v>10.0</v>
      </c>
      <c r="Q65" s="101">
        <v>0.0</v>
      </c>
      <c r="R65" s="101">
        <v>0.0</v>
      </c>
      <c r="S65" s="101">
        <v>0.0</v>
      </c>
      <c r="T65" s="101">
        <v>0.0</v>
      </c>
      <c r="U65" s="101">
        <v>0.0</v>
      </c>
      <c r="V65" s="101">
        <v>0.0</v>
      </c>
      <c r="W65" s="101">
        <v>0.0</v>
      </c>
      <c r="X65" s="101">
        <v>0.0</v>
      </c>
    </row>
    <row r="66" ht="15.75" customHeight="1">
      <c r="A66" s="101">
        <v>11.0</v>
      </c>
      <c r="B66" s="101" t="s">
        <v>123</v>
      </c>
      <c r="C66" s="101">
        <v>10.0</v>
      </c>
      <c r="D66" s="102">
        <v>116.0</v>
      </c>
      <c r="E66" s="129">
        <v>0.0</v>
      </c>
      <c r="F66" s="101">
        <v>0.0</v>
      </c>
      <c r="G66" s="101">
        <v>0.0</v>
      </c>
      <c r="H66" s="101">
        <v>0.0</v>
      </c>
      <c r="I66" s="101">
        <v>0.0</v>
      </c>
      <c r="J66" s="101">
        <v>0.0</v>
      </c>
      <c r="K66" s="101">
        <v>1.0</v>
      </c>
      <c r="L66" s="101">
        <v>0.0</v>
      </c>
      <c r="M66" s="101">
        <v>0.0</v>
      </c>
      <c r="N66" s="101">
        <v>0.0</v>
      </c>
      <c r="O66" s="101">
        <v>0.0</v>
      </c>
      <c r="P66" s="101">
        <v>0.0</v>
      </c>
      <c r="Q66" s="101">
        <v>0.0</v>
      </c>
      <c r="R66" s="101">
        <v>0.0</v>
      </c>
      <c r="S66" s="101">
        <v>0.0</v>
      </c>
      <c r="T66" s="101">
        <v>0.0</v>
      </c>
      <c r="U66" s="101">
        <v>0.0</v>
      </c>
      <c r="V66" s="101">
        <v>0.0</v>
      </c>
      <c r="W66" s="101">
        <v>0.0</v>
      </c>
      <c r="X66" s="101">
        <v>0.0</v>
      </c>
    </row>
    <row r="67" ht="15.75" customHeight="1">
      <c r="A67" s="101">
        <v>11.0</v>
      </c>
      <c r="B67" s="101" t="s">
        <v>124</v>
      </c>
      <c r="C67" s="101">
        <v>10.0</v>
      </c>
      <c r="D67" s="102">
        <v>116.0</v>
      </c>
      <c r="E67" s="129">
        <v>0.0</v>
      </c>
      <c r="F67" s="101">
        <v>0.0</v>
      </c>
      <c r="G67" s="101">
        <v>0.0</v>
      </c>
      <c r="H67" s="101">
        <v>0.0</v>
      </c>
      <c r="I67" s="101">
        <v>0.0</v>
      </c>
      <c r="J67" s="101">
        <v>0.0</v>
      </c>
      <c r="K67" s="101">
        <v>0.0</v>
      </c>
      <c r="L67" s="101">
        <v>0.0</v>
      </c>
      <c r="M67" s="101">
        <v>0.0</v>
      </c>
      <c r="N67" s="101">
        <v>0.0</v>
      </c>
      <c r="O67" s="101">
        <v>10.0</v>
      </c>
      <c r="P67" s="101">
        <v>0.0</v>
      </c>
      <c r="Q67" s="101">
        <v>0.0</v>
      </c>
      <c r="R67" s="101">
        <v>0.0</v>
      </c>
      <c r="S67" s="101">
        <v>0.0</v>
      </c>
      <c r="T67" s="101">
        <v>0.0</v>
      </c>
      <c r="U67" s="101">
        <v>0.0</v>
      </c>
      <c r="V67" s="101">
        <v>0.0</v>
      </c>
      <c r="W67" s="101">
        <v>0.0</v>
      </c>
      <c r="X67" s="101">
        <v>0.0</v>
      </c>
    </row>
    <row r="68" ht="15.75" customHeight="1">
      <c r="A68" s="101">
        <v>11.0</v>
      </c>
      <c r="B68" s="101" t="s">
        <v>125</v>
      </c>
      <c r="C68" s="101">
        <v>10.0</v>
      </c>
      <c r="D68" s="102">
        <v>116.0</v>
      </c>
      <c r="E68" s="129">
        <v>0.0</v>
      </c>
      <c r="F68" s="101">
        <v>30.0</v>
      </c>
      <c r="G68" s="101">
        <v>0.0</v>
      </c>
      <c r="H68" s="101">
        <v>0.0</v>
      </c>
      <c r="I68" s="101">
        <v>0.0</v>
      </c>
      <c r="J68" s="101">
        <v>0.0</v>
      </c>
      <c r="K68" s="101">
        <v>0.0</v>
      </c>
      <c r="L68" s="101">
        <v>0.0</v>
      </c>
      <c r="M68" s="101">
        <v>0.0</v>
      </c>
      <c r="N68" s="101">
        <v>0.0</v>
      </c>
      <c r="O68" s="101">
        <v>0.0</v>
      </c>
      <c r="P68" s="101">
        <v>0.0</v>
      </c>
      <c r="Q68" s="101">
        <v>0.0</v>
      </c>
      <c r="R68" s="101">
        <v>0.0</v>
      </c>
      <c r="S68" s="101">
        <v>0.0</v>
      </c>
      <c r="T68" s="101">
        <v>0.0</v>
      </c>
      <c r="U68" s="101">
        <v>0.0</v>
      </c>
      <c r="V68" s="101">
        <v>0.0</v>
      </c>
      <c r="W68" s="101">
        <v>0.0</v>
      </c>
      <c r="X68" s="101">
        <v>0.0</v>
      </c>
    </row>
    <row r="69" ht="15.75" customHeight="1">
      <c r="A69" s="101">
        <v>12.0</v>
      </c>
      <c r="B69" s="101" t="s">
        <v>121</v>
      </c>
      <c r="C69" s="101">
        <v>12.0</v>
      </c>
      <c r="D69" s="102">
        <v>128.0</v>
      </c>
      <c r="E69" s="129">
        <v>0.0</v>
      </c>
      <c r="F69" s="101">
        <v>0.0</v>
      </c>
      <c r="G69" s="101">
        <v>0.0</v>
      </c>
      <c r="H69" s="101">
        <v>0.0</v>
      </c>
      <c r="I69" s="101">
        <v>0.0</v>
      </c>
      <c r="J69" s="101">
        <v>0.0</v>
      </c>
      <c r="K69" s="101">
        <v>0.0</v>
      </c>
      <c r="L69" s="101">
        <v>0.0</v>
      </c>
      <c r="M69" s="101">
        <v>1.0</v>
      </c>
      <c r="N69" s="101">
        <v>0.0</v>
      </c>
      <c r="O69" s="101">
        <v>0.0</v>
      </c>
      <c r="P69" s="101">
        <v>0.0</v>
      </c>
      <c r="Q69" s="101">
        <v>0.0</v>
      </c>
      <c r="R69" s="101">
        <v>0.0</v>
      </c>
      <c r="S69" s="101">
        <v>0.0</v>
      </c>
      <c r="T69" s="101">
        <v>0.0</v>
      </c>
      <c r="U69" s="101">
        <v>0.0</v>
      </c>
      <c r="V69" s="101">
        <v>0.0</v>
      </c>
      <c r="W69" s="101">
        <v>0.0</v>
      </c>
      <c r="X69" s="101">
        <v>0.0</v>
      </c>
    </row>
    <row r="70" ht="15.75" customHeight="1">
      <c r="A70" s="101">
        <v>12.0</v>
      </c>
      <c r="B70" s="101" t="s">
        <v>122</v>
      </c>
      <c r="C70" s="101">
        <v>12.0</v>
      </c>
      <c r="D70" s="102">
        <v>128.0</v>
      </c>
      <c r="E70" s="129">
        <v>0.0</v>
      </c>
      <c r="F70" s="101">
        <v>0.0</v>
      </c>
      <c r="G70" s="101">
        <v>0.0</v>
      </c>
      <c r="H70" s="101">
        <v>0.0</v>
      </c>
      <c r="I70" s="101">
        <v>0.0</v>
      </c>
      <c r="J70" s="101">
        <v>0.0</v>
      </c>
      <c r="K70" s="101">
        <v>0.0</v>
      </c>
      <c r="L70" s="101">
        <v>1.0</v>
      </c>
      <c r="M70" s="101">
        <v>0.0</v>
      </c>
      <c r="N70" s="101">
        <v>0.0</v>
      </c>
      <c r="O70" s="101">
        <v>0.0</v>
      </c>
      <c r="P70" s="101">
        <v>0.0</v>
      </c>
      <c r="Q70" s="101">
        <v>0.0</v>
      </c>
      <c r="R70" s="101">
        <v>0.0</v>
      </c>
      <c r="S70" s="101">
        <v>0.0</v>
      </c>
      <c r="T70" s="101">
        <v>0.0</v>
      </c>
      <c r="U70" s="101">
        <v>0.0</v>
      </c>
      <c r="V70" s="101">
        <v>0.0</v>
      </c>
      <c r="W70" s="101">
        <v>0.0</v>
      </c>
      <c r="X70" s="101">
        <v>0.0</v>
      </c>
    </row>
    <row r="71" ht="15.75" customHeight="1">
      <c r="A71" s="101">
        <v>12.0</v>
      </c>
      <c r="B71" s="101" t="s">
        <v>123</v>
      </c>
      <c r="C71" s="101">
        <v>12.0</v>
      </c>
      <c r="D71" s="102">
        <v>128.0</v>
      </c>
      <c r="E71" s="129">
        <v>0.0</v>
      </c>
      <c r="F71" s="101">
        <v>0.0</v>
      </c>
      <c r="G71" s="101">
        <v>0.0</v>
      </c>
      <c r="H71" s="101">
        <v>1.0</v>
      </c>
      <c r="I71" s="101">
        <v>0.0</v>
      </c>
      <c r="J71" s="101">
        <v>0.0</v>
      </c>
      <c r="K71" s="101">
        <v>0.0</v>
      </c>
      <c r="L71" s="101">
        <v>0.0</v>
      </c>
      <c r="M71" s="101">
        <v>0.0</v>
      </c>
      <c r="N71" s="101">
        <v>0.0</v>
      </c>
      <c r="O71" s="101">
        <v>0.0</v>
      </c>
      <c r="P71" s="101">
        <v>0.0</v>
      </c>
      <c r="Q71" s="101">
        <v>0.0</v>
      </c>
      <c r="R71" s="101">
        <v>0.0</v>
      </c>
      <c r="S71" s="101">
        <v>0.0</v>
      </c>
      <c r="T71" s="101">
        <v>0.0</v>
      </c>
      <c r="U71" s="101">
        <v>0.0</v>
      </c>
      <c r="V71" s="101">
        <v>0.0</v>
      </c>
      <c r="W71" s="101">
        <v>0.0</v>
      </c>
      <c r="X71" s="101">
        <v>0.0</v>
      </c>
    </row>
    <row r="72" ht="15.75" customHeight="1">
      <c r="A72" s="101">
        <v>12.0</v>
      </c>
      <c r="B72" s="101" t="s">
        <v>124</v>
      </c>
      <c r="C72" s="101">
        <v>12.0</v>
      </c>
      <c r="D72" s="102">
        <v>128.0</v>
      </c>
      <c r="E72" s="129">
        <v>0.0</v>
      </c>
      <c r="F72" s="101">
        <v>30.0</v>
      </c>
      <c r="G72" s="101">
        <v>0.0</v>
      </c>
      <c r="H72" s="101">
        <v>0.0</v>
      </c>
      <c r="I72" s="101">
        <v>0.0</v>
      </c>
      <c r="J72" s="101">
        <v>0.0</v>
      </c>
      <c r="K72" s="101">
        <v>0.0</v>
      </c>
      <c r="L72" s="101">
        <v>0.0</v>
      </c>
      <c r="M72" s="101">
        <v>0.0</v>
      </c>
      <c r="N72" s="101">
        <v>0.0</v>
      </c>
      <c r="O72" s="101">
        <v>0.0</v>
      </c>
      <c r="P72" s="101">
        <v>0.0</v>
      </c>
      <c r="Q72" s="101">
        <v>0.0</v>
      </c>
      <c r="R72" s="101">
        <v>0.0</v>
      </c>
      <c r="S72" s="101">
        <v>0.0</v>
      </c>
      <c r="T72" s="101">
        <v>0.0</v>
      </c>
      <c r="U72" s="101">
        <v>0.0</v>
      </c>
      <c r="V72" s="101">
        <v>0.0</v>
      </c>
      <c r="W72" s="101">
        <v>0.0</v>
      </c>
      <c r="X72" s="101">
        <v>0.0</v>
      </c>
    </row>
    <row r="73" ht="15.75" customHeight="1">
      <c r="A73" s="101">
        <v>12.0</v>
      </c>
      <c r="B73" s="101" t="s">
        <v>125</v>
      </c>
      <c r="C73" s="101">
        <v>12.0</v>
      </c>
      <c r="D73" s="102">
        <v>128.0</v>
      </c>
      <c r="E73" s="129">
        <v>0.0</v>
      </c>
      <c r="F73" s="101">
        <v>0.0</v>
      </c>
      <c r="G73" s="101">
        <v>15.0</v>
      </c>
      <c r="H73" s="101">
        <v>0.0</v>
      </c>
      <c r="I73" s="101">
        <v>0.0</v>
      </c>
      <c r="J73" s="101">
        <v>0.0</v>
      </c>
      <c r="K73" s="101">
        <v>0.0</v>
      </c>
      <c r="L73" s="101">
        <v>0.0</v>
      </c>
      <c r="M73" s="101">
        <v>0.0</v>
      </c>
      <c r="N73" s="101">
        <v>0.0</v>
      </c>
      <c r="O73" s="101">
        <v>0.0</v>
      </c>
      <c r="P73" s="101">
        <v>0.0</v>
      </c>
      <c r="Q73" s="101">
        <v>0.0</v>
      </c>
      <c r="R73" s="101">
        <v>0.0</v>
      </c>
      <c r="S73" s="101">
        <v>0.0</v>
      </c>
      <c r="T73" s="101">
        <v>0.0</v>
      </c>
      <c r="U73" s="101">
        <v>0.0</v>
      </c>
      <c r="V73" s="101">
        <v>0.0</v>
      </c>
      <c r="W73" s="101">
        <v>0.0</v>
      </c>
      <c r="X73" s="101">
        <v>0.0</v>
      </c>
    </row>
    <row r="74" ht="15.75" customHeight="1">
      <c r="A74" s="101">
        <v>13.0</v>
      </c>
      <c r="B74" s="101" t="s">
        <v>121</v>
      </c>
      <c r="C74" s="101">
        <v>15.0</v>
      </c>
      <c r="D74" s="102">
        <v>143.0</v>
      </c>
      <c r="E74" s="129">
        <v>65.0</v>
      </c>
      <c r="F74" s="101">
        <v>0.0</v>
      </c>
      <c r="G74" s="101">
        <v>0.0</v>
      </c>
      <c r="H74" s="101">
        <v>0.0</v>
      </c>
      <c r="I74" s="101">
        <v>0.0</v>
      </c>
      <c r="J74" s="101">
        <v>0.0</v>
      </c>
      <c r="K74" s="101">
        <v>0.0</v>
      </c>
      <c r="L74" s="101">
        <v>0.0</v>
      </c>
      <c r="M74" s="101">
        <v>0.0</v>
      </c>
      <c r="N74" s="101">
        <v>0.0</v>
      </c>
      <c r="O74" s="101">
        <v>0.0</v>
      </c>
      <c r="P74" s="101">
        <v>0.0</v>
      </c>
      <c r="Q74" s="101">
        <v>0.0</v>
      </c>
      <c r="R74" s="101">
        <v>0.0</v>
      </c>
      <c r="S74" s="101">
        <v>0.0</v>
      </c>
      <c r="T74" s="101">
        <v>0.0</v>
      </c>
      <c r="U74" s="101">
        <v>0.0</v>
      </c>
      <c r="V74" s="101">
        <v>0.0</v>
      </c>
      <c r="W74" s="101">
        <v>0.0</v>
      </c>
      <c r="X74" s="101">
        <v>0.0</v>
      </c>
    </row>
    <row r="75" ht="15.75" customHeight="1">
      <c r="A75" s="101">
        <v>13.0</v>
      </c>
      <c r="B75" s="101" t="s">
        <v>122</v>
      </c>
      <c r="C75" s="101">
        <v>15.0</v>
      </c>
      <c r="D75" s="102">
        <v>143.0</v>
      </c>
      <c r="E75" s="129">
        <v>0.0</v>
      </c>
      <c r="F75" s="101">
        <v>0.0</v>
      </c>
      <c r="G75" s="101">
        <v>0.0</v>
      </c>
      <c r="H75" s="101">
        <v>0.0</v>
      </c>
      <c r="I75" s="101">
        <v>0.0</v>
      </c>
      <c r="J75" s="101">
        <v>1.0</v>
      </c>
      <c r="K75" s="101">
        <v>0.0</v>
      </c>
      <c r="L75" s="101">
        <v>0.0</v>
      </c>
      <c r="M75" s="101">
        <v>0.0</v>
      </c>
      <c r="N75" s="101">
        <v>0.0</v>
      </c>
      <c r="O75" s="101">
        <v>0.0</v>
      </c>
      <c r="P75" s="101">
        <v>0.0</v>
      </c>
      <c r="Q75" s="101">
        <v>0.0</v>
      </c>
      <c r="R75" s="101">
        <v>0.0</v>
      </c>
      <c r="S75" s="101">
        <v>0.0</v>
      </c>
      <c r="T75" s="101">
        <v>0.0</v>
      </c>
      <c r="U75" s="101">
        <v>0.0</v>
      </c>
      <c r="V75" s="101">
        <v>0.0</v>
      </c>
      <c r="W75" s="101">
        <v>0.0</v>
      </c>
      <c r="X75" s="101">
        <v>0.0</v>
      </c>
    </row>
    <row r="76" ht="15.75" customHeight="1">
      <c r="A76" s="101">
        <v>13.0</v>
      </c>
      <c r="B76" s="101" t="s">
        <v>123</v>
      </c>
      <c r="C76" s="101">
        <v>15.0</v>
      </c>
      <c r="D76" s="102">
        <v>143.0</v>
      </c>
      <c r="E76" s="129">
        <v>0.0</v>
      </c>
      <c r="F76" s="101">
        <v>0.0</v>
      </c>
      <c r="G76" s="101">
        <v>0.0</v>
      </c>
      <c r="H76" s="101">
        <v>0.0</v>
      </c>
      <c r="I76" s="101">
        <v>0.0</v>
      </c>
      <c r="J76" s="101">
        <v>0.0</v>
      </c>
      <c r="K76" s="101">
        <v>0.0</v>
      </c>
      <c r="L76" s="101">
        <v>0.0</v>
      </c>
      <c r="M76" s="101">
        <v>0.0</v>
      </c>
      <c r="N76" s="101">
        <v>0.0</v>
      </c>
      <c r="O76" s="101">
        <v>0.0</v>
      </c>
      <c r="P76" s="101">
        <v>15.0</v>
      </c>
      <c r="Q76" s="101">
        <v>0.0</v>
      </c>
      <c r="R76" s="101">
        <v>0.0</v>
      </c>
      <c r="S76" s="101">
        <v>0.0</v>
      </c>
      <c r="T76" s="101">
        <v>0.0</v>
      </c>
      <c r="U76" s="101">
        <v>0.0</v>
      </c>
      <c r="V76" s="101">
        <v>0.0</v>
      </c>
      <c r="W76" s="101">
        <v>0.0</v>
      </c>
      <c r="X76" s="101">
        <v>0.0</v>
      </c>
    </row>
    <row r="77" ht="15.75" customHeight="1">
      <c r="A77" s="101">
        <v>13.0</v>
      </c>
      <c r="B77" s="101" t="s">
        <v>124</v>
      </c>
      <c r="C77" s="101">
        <v>15.0</v>
      </c>
      <c r="D77" s="102">
        <v>143.0</v>
      </c>
      <c r="E77" s="129">
        <v>0.0</v>
      </c>
      <c r="F77" s="101">
        <v>0.0</v>
      </c>
      <c r="G77" s="101">
        <v>0.0</v>
      </c>
      <c r="H77" s="101">
        <v>0.0</v>
      </c>
      <c r="I77" s="101">
        <v>0.0</v>
      </c>
      <c r="J77" s="101">
        <v>0.0</v>
      </c>
      <c r="K77" s="101">
        <v>1.0</v>
      </c>
      <c r="L77" s="101">
        <v>0.0</v>
      </c>
      <c r="M77" s="101">
        <v>0.0</v>
      </c>
      <c r="N77" s="101">
        <v>0.0</v>
      </c>
      <c r="O77" s="101">
        <v>0.0</v>
      </c>
      <c r="P77" s="101">
        <v>0.0</v>
      </c>
      <c r="Q77" s="101">
        <v>0.0</v>
      </c>
      <c r="R77" s="101">
        <v>0.0</v>
      </c>
      <c r="S77" s="101">
        <v>0.0</v>
      </c>
      <c r="T77" s="101">
        <v>0.0</v>
      </c>
      <c r="U77" s="101">
        <v>0.0</v>
      </c>
      <c r="V77" s="101">
        <v>0.0</v>
      </c>
      <c r="W77" s="101">
        <v>0.0</v>
      </c>
      <c r="X77" s="101">
        <v>0.0</v>
      </c>
    </row>
    <row r="78" ht="15.75" customHeight="1">
      <c r="A78" s="101">
        <v>13.0</v>
      </c>
      <c r="B78" s="101" t="s">
        <v>125</v>
      </c>
      <c r="C78" s="101">
        <v>15.0</v>
      </c>
      <c r="D78" s="102">
        <v>143.0</v>
      </c>
      <c r="E78" s="129">
        <v>0.0</v>
      </c>
      <c r="F78" s="101">
        <v>0.0</v>
      </c>
      <c r="G78" s="101">
        <v>0.0</v>
      </c>
      <c r="H78" s="101">
        <v>0.0</v>
      </c>
      <c r="I78" s="101">
        <v>0.0</v>
      </c>
      <c r="J78" s="101">
        <v>0.0</v>
      </c>
      <c r="K78" s="101">
        <v>0.0</v>
      </c>
      <c r="L78" s="101">
        <v>0.0</v>
      </c>
      <c r="M78" s="101">
        <v>0.0</v>
      </c>
      <c r="N78" s="101">
        <v>0.0</v>
      </c>
      <c r="O78" s="101">
        <v>15.0</v>
      </c>
      <c r="P78" s="101">
        <v>0.0</v>
      </c>
      <c r="Q78" s="101">
        <v>0.0</v>
      </c>
      <c r="R78" s="101">
        <v>0.0</v>
      </c>
      <c r="S78" s="101">
        <v>0.0</v>
      </c>
      <c r="T78" s="101">
        <v>0.0</v>
      </c>
      <c r="U78" s="101">
        <v>0.0</v>
      </c>
      <c r="V78" s="101">
        <v>0.0</v>
      </c>
      <c r="W78" s="101">
        <v>0.0</v>
      </c>
      <c r="X78" s="101">
        <v>0.0</v>
      </c>
    </row>
    <row r="79" ht="15.75" customHeight="1">
      <c r="A79" s="101">
        <v>14.0</v>
      </c>
      <c r="B79" s="101" t="s">
        <v>121</v>
      </c>
      <c r="C79" s="101">
        <v>17.0</v>
      </c>
      <c r="D79" s="102">
        <v>160.0</v>
      </c>
      <c r="E79" s="129">
        <v>0.0</v>
      </c>
      <c r="F79" s="101">
        <v>0.0</v>
      </c>
      <c r="G79" s="101">
        <v>0.0</v>
      </c>
      <c r="H79" s="101">
        <v>0.0</v>
      </c>
      <c r="I79" s="101">
        <v>0.0</v>
      </c>
      <c r="J79" s="101">
        <v>0.0</v>
      </c>
      <c r="K79" s="101">
        <v>0.0</v>
      </c>
      <c r="L79" s="101">
        <v>0.0</v>
      </c>
      <c r="M79" s="101">
        <v>0.0</v>
      </c>
      <c r="N79" s="101">
        <v>20.0</v>
      </c>
      <c r="O79" s="101">
        <v>0.0</v>
      </c>
      <c r="P79" s="101">
        <v>0.0</v>
      </c>
      <c r="Q79" s="101">
        <v>0.0</v>
      </c>
      <c r="R79" s="101">
        <v>0.0</v>
      </c>
      <c r="S79" s="101">
        <v>0.0</v>
      </c>
      <c r="T79" s="101">
        <v>0.0</v>
      </c>
      <c r="U79" s="101">
        <v>0.0</v>
      </c>
      <c r="V79" s="101">
        <v>0.0</v>
      </c>
      <c r="W79" s="101">
        <v>0.0</v>
      </c>
      <c r="X79" s="101">
        <v>0.0</v>
      </c>
    </row>
    <row r="80" ht="15.75" customHeight="1">
      <c r="A80" s="101">
        <v>14.0</v>
      </c>
      <c r="B80" s="101" t="s">
        <v>122</v>
      </c>
      <c r="C80" s="101">
        <v>17.0</v>
      </c>
      <c r="D80" s="102">
        <v>160.0</v>
      </c>
      <c r="E80" s="129">
        <v>0.0</v>
      </c>
      <c r="F80" s="101">
        <v>0.0</v>
      </c>
      <c r="G80" s="101">
        <v>0.0</v>
      </c>
      <c r="H80" s="101">
        <v>0.0</v>
      </c>
      <c r="I80" s="101">
        <v>0.0</v>
      </c>
      <c r="J80" s="101">
        <v>0.0</v>
      </c>
      <c r="K80" s="101">
        <v>0.0</v>
      </c>
      <c r="L80" s="101">
        <v>0.0</v>
      </c>
      <c r="M80" s="101">
        <v>1.0</v>
      </c>
      <c r="N80" s="101">
        <v>0.0</v>
      </c>
      <c r="O80" s="101">
        <v>0.0</v>
      </c>
      <c r="P80" s="101">
        <v>0.0</v>
      </c>
      <c r="Q80" s="101">
        <v>0.0</v>
      </c>
      <c r="R80" s="101">
        <v>0.0</v>
      </c>
      <c r="S80" s="101">
        <v>0.0</v>
      </c>
      <c r="T80" s="101">
        <v>0.0</v>
      </c>
      <c r="U80" s="101">
        <v>0.0</v>
      </c>
      <c r="V80" s="101">
        <v>0.0</v>
      </c>
      <c r="W80" s="101">
        <v>0.0</v>
      </c>
      <c r="X80" s="101">
        <v>0.0</v>
      </c>
    </row>
    <row r="81" ht="15.75" customHeight="1">
      <c r="A81" s="101">
        <v>14.0</v>
      </c>
      <c r="B81" s="101" t="s">
        <v>123</v>
      </c>
      <c r="C81" s="101">
        <v>17.0</v>
      </c>
      <c r="D81" s="102">
        <v>160.0</v>
      </c>
      <c r="E81" s="129">
        <v>0.0</v>
      </c>
      <c r="F81" s="101">
        <v>0.0</v>
      </c>
      <c r="G81" s="101">
        <v>0.0</v>
      </c>
      <c r="H81" s="101">
        <v>0.0</v>
      </c>
      <c r="I81" s="101">
        <v>0.0</v>
      </c>
      <c r="J81" s="101">
        <v>0.0</v>
      </c>
      <c r="K81" s="101">
        <v>0.0</v>
      </c>
      <c r="L81" s="101">
        <v>1.0</v>
      </c>
      <c r="M81" s="101">
        <v>0.0</v>
      </c>
      <c r="N81" s="101">
        <v>0.0</v>
      </c>
      <c r="O81" s="101">
        <v>0.0</v>
      </c>
      <c r="P81" s="101">
        <v>0.0</v>
      </c>
      <c r="Q81" s="101">
        <v>0.0</v>
      </c>
      <c r="R81" s="101">
        <v>0.0</v>
      </c>
      <c r="S81" s="101">
        <v>0.0</v>
      </c>
      <c r="T81" s="101">
        <v>0.0</v>
      </c>
      <c r="U81" s="101">
        <v>0.0</v>
      </c>
      <c r="V81" s="101">
        <v>0.0</v>
      </c>
      <c r="W81" s="101">
        <v>0.0</v>
      </c>
      <c r="X81" s="101">
        <v>0.0</v>
      </c>
    </row>
    <row r="82" ht="15.75" customHeight="1">
      <c r="A82" s="101">
        <v>14.0</v>
      </c>
      <c r="B82" s="101" t="s">
        <v>124</v>
      </c>
      <c r="C82" s="101">
        <v>17.0</v>
      </c>
      <c r="D82" s="102">
        <v>160.0</v>
      </c>
      <c r="E82" s="129">
        <v>0.0</v>
      </c>
      <c r="F82" s="101">
        <v>0.0</v>
      </c>
      <c r="G82" s="101">
        <v>0.0</v>
      </c>
      <c r="H82" s="101">
        <v>0.0</v>
      </c>
      <c r="I82" s="101">
        <v>0.0</v>
      </c>
      <c r="J82" s="101">
        <v>0.0</v>
      </c>
      <c r="K82" s="101">
        <v>1.0</v>
      </c>
      <c r="L82" s="101">
        <v>0.0</v>
      </c>
      <c r="M82" s="101">
        <v>0.0</v>
      </c>
      <c r="N82" s="101">
        <v>0.0</v>
      </c>
      <c r="O82" s="101">
        <v>0.0</v>
      </c>
      <c r="P82" s="101">
        <v>0.0</v>
      </c>
      <c r="Q82" s="101">
        <v>0.0</v>
      </c>
      <c r="R82" s="101">
        <v>0.0</v>
      </c>
      <c r="S82" s="101">
        <v>0.0</v>
      </c>
      <c r="T82" s="101">
        <v>0.0</v>
      </c>
      <c r="U82" s="101">
        <v>0.0</v>
      </c>
      <c r="V82" s="101">
        <v>0.0</v>
      </c>
      <c r="W82" s="101">
        <v>0.0</v>
      </c>
      <c r="X82" s="101">
        <v>0.0</v>
      </c>
    </row>
    <row r="83" ht="15.75" customHeight="1">
      <c r="A83" s="101">
        <v>14.0</v>
      </c>
      <c r="B83" s="101" t="s">
        <v>125</v>
      </c>
      <c r="C83" s="101">
        <v>17.0</v>
      </c>
      <c r="D83" s="102">
        <v>160.0</v>
      </c>
      <c r="E83" s="129">
        <v>0.0</v>
      </c>
      <c r="F83" s="101">
        <v>30.0</v>
      </c>
      <c r="G83" s="101">
        <v>0.0</v>
      </c>
      <c r="H83" s="101">
        <v>0.0</v>
      </c>
      <c r="I83" s="101">
        <v>0.0</v>
      </c>
      <c r="J83" s="101">
        <v>0.0</v>
      </c>
      <c r="K83" s="101">
        <v>0.0</v>
      </c>
      <c r="L83" s="101">
        <v>0.0</v>
      </c>
      <c r="M83" s="101">
        <v>0.0</v>
      </c>
      <c r="N83" s="101">
        <v>0.0</v>
      </c>
      <c r="O83" s="101">
        <v>0.0</v>
      </c>
      <c r="P83" s="101">
        <v>0.0</v>
      </c>
      <c r="Q83" s="101">
        <v>0.0</v>
      </c>
      <c r="R83" s="101">
        <v>0.0</v>
      </c>
      <c r="S83" s="101">
        <v>0.0</v>
      </c>
      <c r="T83" s="101">
        <v>0.0</v>
      </c>
      <c r="U83" s="101">
        <v>0.0</v>
      </c>
      <c r="V83" s="101">
        <v>0.0</v>
      </c>
      <c r="W83" s="101">
        <v>0.0</v>
      </c>
      <c r="X83" s="101">
        <v>0.0</v>
      </c>
    </row>
    <row r="84" ht="15.75" customHeight="1">
      <c r="A84" s="101">
        <v>15.0</v>
      </c>
      <c r="B84" s="101" t="s">
        <v>121</v>
      </c>
      <c r="C84" s="101">
        <v>25.0</v>
      </c>
      <c r="D84" s="102">
        <v>185.0</v>
      </c>
      <c r="E84" s="129">
        <v>150.0</v>
      </c>
      <c r="F84" s="101">
        <v>0.0</v>
      </c>
      <c r="G84" s="101">
        <v>0.0</v>
      </c>
      <c r="H84" s="101">
        <v>0.0</v>
      </c>
      <c r="I84" s="101">
        <v>0.0</v>
      </c>
      <c r="J84" s="101">
        <v>0.0</v>
      </c>
      <c r="K84" s="101">
        <v>1.0</v>
      </c>
      <c r="L84" s="101">
        <v>0.0</v>
      </c>
      <c r="M84" s="101">
        <v>0.0</v>
      </c>
      <c r="N84" s="101">
        <v>0.0</v>
      </c>
      <c r="O84" s="101">
        <v>30.0</v>
      </c>
      <c r="P84" s="101">
        <v>0.0</v>
      </c>
      <c r="Q84" s="101">
        <v>0.0</v>
      </c>
      <c r="R84" s="101">
        <v>0.0</v>
      </c>
      <c r="S84" s="101">
        <v>0.0</v>
      </c>
      <c r="T84" s="101">
        <v>0.0</v>
      </c>
      <c r="U84" s="101">
        <v>0.0</v>
      </c>
      <c r="V84" s="101">
        <v>0.0</v>
      </c>
      <c r="W84" s="101">
        <v>0.0</v>
      </c>
      <c r="X84" s="101">
        <v>0.0</v>
      </c>
    </row>
    <row r="85" ht="15.75" customHeight="1">
      <c r="A85" s="101">
        <v>15.0</v>
      </c>
      <c r="B85" s="101" t="s">
        <v>122</v>
      </c>
      <c r="C85" s="101">
        <v>25.0</v>
      </c>
      <c r="D85" s="102">
        <v>185.0</v>
      </c>
      <c r="E85" s="129">
        <v>0.0</v>
      </c>
      <c r="F85" s="101">
        <v>50.0</v>
      </c>
      <c r="G85" s="101">
        <v>0.0</v>
      </c>
      <c r="H85" s="101">
        <v>0.0</v>
      </c>
      <c r="I85" s="101">
        <v>0.0</v>
      </c>
      <c r="J85" s="101">
        <v>0.0</v>
      </c>
      <c r="K85" s="101">
        <v>0.0</v>
      </c>
      <c r="L85" s="101">
        <v>0.0</v>
      </c>
      <c r="M85" s="101">
        <v>0.0</v>
      </c>
      <c r="N85" s="101">
        <v>60.0</v>
      </c>
      <c r="O85" s="101">
        <v>0.0</v>
      </c>
      <c r="P85" s="101">
        <v>0.0</v>
      </c>
      <c r="Q85" s="101">
        <v>0.0</v>
      </c>
      <c r="R85" s="101">
        <v>0.0</v>
      </c>
      <c r="S85" s="101">
        <v>0.0</v>
      </c>
      <c r="T85" s="101">
        <v>0.0</v>
      </c>
      <c r="U85" s="101">
        <v>0.0</v>
      </c>
      <c r="V85" s="101">
        <v>0.0</v>
      </c>
      <c r="W85" s="101">
        <v>0.0</v>
      </c>
      <c r="X85" s="101">
        <v>0.0</v>
      </c>
    </row>
    <row r="86" ht="15.75" customHeight="1">
      <c r="A86" s="101">
        <v>15.0</v>
      </c>
      <c r="B86" s="101" t="s">
        <v>123</v>
      </c>
      <c r="C86" s="101">
        <v>25.0</v>
      </c>
      <c r="D86" s="102">
        <v>185.0</v>
      </c>
      <c r="E86" s="129">
        <v>0.0</v>
      </c>
      <c r="F86" s="101">
        <v>0.0</v>
      </c>
      <c r="G86" s="101">
        <v>0.0</v>
      </c>
      <c r="H86" s="101">
        <v>0.0</v>
      </c>
      <c r="I86" s="101">
        <v>0.0</v>
      </c>
      <c r="J86" s="101">
        <v>0.0</v>
      </c>
      <c r="K86" s="101">
        <v>0.0</v>
      </c>
      <c r="L86" s="101">
        <v>0.0</v>
      </c>
      <c r="M86" s="101">
        <v>0.0</v>
      </c>
      <c r="N86" s="101">
        <v>0.0</v>
      </c>
      <c r="O86" s="101">
        <v>0.0</v>
      </c>
      <c r="P86" s="101">
        <v>30.0</v>
      </c>
      <c r="Q86" s="101">
        <v>0.0</v>
      </c>
      <c r="R86" s="101">
        <v>0.0</v>
      </c>
      <c r="S86" s="101">
        <v>0.0</v>
      </c>
      <c r="T86" s="101">
        <v>0.0</v>
      </c>
      <c r="U86" s="101">
        <v>0.0</v>
      </c>
      <c r="V86" s="101">
        <v>0.0</v>
      </c>
      <c r="W86" s="101">
        <v>0.0</v>
      </c>
      <c r="X86" s="101">
        <v>0.0</v>
      </c>
    </row>
    <row r="87" ht="15.75" customHeight="1">
      <c r="A87" s="101">
        <v>15.0</v>
      </c>
      <c r="B87" s="101" t="s">
        <v>124</v>
      </c>
      <c r="C87" s="101">
        <v>25.0</v>
      </c>
      <c r="D87" s="102">
        <v>185.0</v>
      </c>
      <c r="E87" s="129">
        <v>0.0</v>
      </c>
      <c r="F87" s="101">
        <v>0.0</v>
      </c>
      <c r="G87" s="101">
        <v>0.0</v>
      </c>
      <c r="H87" s="101">
        <v>0.0</v>
      </c>
      <c r="I87" s="101">
        <v>0.0</v>
      </c>
      <c r="J87" s="101">
        <v>0.0</v>
      </c>
      <c r="K87" s="101">
        <v>0.0</v>
      </c>
      <c r="L87" s="101">
        <v>1.0</v>
      </c>
      <c r="M87" s="101">
        <v>0.0</v>
      </c>
      <c r="N87" s="101">
        <v>0.0</v>
      </c>
      <c r="O87" s="101">
        <v>0.0</v>
      </c>
      <c r="P87" s="101">
        <v>0.0</v>
      </c>
      <c r="Q87" s="101">
        <v>0.0</v>
      </c>
      <c r="R87" s="101">
        <v>0.0</v>
      </c>
      <c r="S87" s="101">
        <v>0.0</v>
      </c>
      <c r="T87" s="101">
        <v>0.0</v>
      </c>
      <c r="U87" s="101">
        <v>0.0</v>
      </c>
      <c r="V87" s="101">
        <v>0.0</v>
      </c>
      <c r="W87" s="101">
        <v>0.0</v>
      </c>
      <c r="X87" s="101">
        <v>0.0</v>
      </c>
    </row>
    <row r="88" ht="15.75" customHeight="1">
      <c r="A88" s="101">
        <v>15.0</v>
      </c>
      <c r="B88" s="101" t="s">
        <v>125</v>
      </c>
      <c r="C88" s="101">
        <v>25.0</v>
      </c>
      <c r="D88" s="102">
        <v>185.0</v>
      </c>
      <c r="E88" s="129">
        <v>0.0</v>
      </c>
      <c r="F88" s="101">
        <v>0.0</v>
      </c>
      <c r="G88" s="101">
        <v>30.0</v>
      </c>
      <c r="H88" s="101">
        <v>0.0</v>
      </c>
      <c r="I88" s="101">
        <v>0.0</v>
      </c>
      <c r="J88" s="101">
        <v>0.0</v>
      </c>
      <c r="K88" s="101">
        <v>0.0</v>
      </c>
      <c r="L88" s="101">
        <v>0.0</v>
      </c>
      <c r="M88" s="101">
        <v>0.0</v>
      </c>
      <c r="N88" s="101">
        <v>0.0</v>
      </c>
      <c r="O88" s="101">
        <v>0.0</v>
      </c>
      <c r="P88" s="101">
        <v>0.0</v>
      </c>
      <c r="Q88" s="101">
        <v>0.0</v>
      </c>
      <c r="R88" s="101">
        <v>0.0</v>
      </c>
      <c r="S88" s="101">
        <v>0.0</v>
      </c>
      <c r="T88" s="101">
        <v>0.0</v>
      </c>
      <c r="U88" s="101">
        <v>0.0</v>
      </c>
      <c r="V88" s="101">
        <v>0.0</v>
      </c>
      <c r="W88" s="101">
        <v>0.0</v>
      </c>
      <c r="X88" s="101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1" priority="1" operator="greaterThan">
      <formula>0</formula>
    </cfRule>
  </conditionalFormatting>
  <conditionalFormatting sqref="A14:X88">
    <cfRule type="expression" dxfId="2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" t="s">
        <v>108</v>
      </c>
    </row>
    <row r="2" ht="19.5" customHeight="1">
      <c r="A2" s="92" t="s">
        <v>88</v>
      </c>
      <c r="B2" s="92"/>
    </row>
    <row r="3">
      <c r="A3" s="125" t="s">
        <v>109</v>
      </c>
      <c r="B3" s="126">
        <v>15.0</v>
      </c>
    </row>
    <row r="4">
      <c r="A4" s="125" t="s">
        <v>110</v>
      </c>
      <c r="B4" s="126">
        <v>5.0</v>
      </c>
    </row>
    <row r="5">
      <c r="A5" s="125" t="s">
        <v>111</v>
      </c>
      <c r="B5" s="126" t="b">
        <f>TRUE()</f>
        <v>1</v>
      </c>
    </row>
    <row r="6">
      <c r="A6" s="125" t="s">
        <v>112</v>
      </c>
      <c r="B6" s="126">
        <v>10.0</v>
      </c>
    </row>
    <row r="7">
      <c r="A7" s="125" t="s">
        <v>113</v>
      </c>
      <c r="B7" s="126">
        <v>4.0</v>
      </c>
    </row>
    <row r="8">
      <c r="A8" s="125" t="s">
        <v>114</v>
      </c>
      <c r="B8" s="126">
        <f>SUMIFS($C$14:$C$88,$B$14:$B$88,"1st")</f>
        <v>185</v>
      </c>
    </row>
    <row r="9">
      <c r="A9" s="125" t="s">
        <v>115</v>
      </c>
      <c r="B9" s="126">
        <f>SUMIFS($C$14:$C$88,$B$14:$B$88,"1st",$A$14:$A$88,"&gt;="&amp;$B$6)</f>
        <v>87</v>
      </c>
    </row>
    <row r="10">
      <c r="A10" s="125" t="s">
        <v>116</v>
      </c>
      <c r="B10" s="126">
        <f>SUMIFS($C$14:$C$88,$B$14:$B$88,"1st",$A$14:$A$88,"&lt;="&amp;$B$7)</f>
        <v>36</v>
      </c>
    </row>
    <row r="12" ht="19.5" customHeight="1">
      <c r="A12" s="92" t="s">
        <v>90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</row>
    <row r="13">
      <c r="A13" s="127" t="s">
        <v>117</v>
      </c>
      <c r="B13" s="127" t="s">
        <v>118</v>
      </c>
      <c r="C13" s="127" t="s">
        <v>119</v>
      </c>
      <c r="D13" s="97" t="s">
        <v>120</v>
      </c>
      <c r="E13" s="98" t="s">
        <v>19</v>
      </c>
      <c r="F13" s="99" t="s">
        <v>5</v>
      </c>
      <c r="G13" s="99" t="s">
        <v>77</v>
      </c>
      <c r="H13" s="99" t="s">
        <v>6</v>
      </c>
      <c r="I13" s="99" t="s">
        <v>7</v>
      </c>
      <c r="J13" s="99" t="s">
        <v>8</v>
      </c>
      <c r="K13" s="99" t="s">
        <v>9</v>
      </c>
      <c r="L13" s="99" t="s">
        <v>10</v>
      </c>
      <c r="M13" s="99" t="s">
        <v>11</v>
      </c>
      <c r="N13" s="99" t="s">
        <v>12</v>
      </c>
      <c r="O13" s="99" t="s">
        <v>13</v>
      </c>
      <c r="P13" s="99" t="s">
        <v>14</v>
      </c>
      <c r="Q13" s="99" t="s">
        <v>15</v>
      </c>
      <c r="R13" s="99" t="s">
        <v>78</v>
      </c>
      <c r="S13" s="99" t="s">
        <v>79</v>
      </c>
      <c r="T13" s="99" t="s">
        <v>80</v>
      </c>
      <c r="U13" s="99" t="s">
        <v>81</v>
      </c>
      <c r="V13" s="99" t="s">
        <v>82</v>
      </c>
      <c r="W13" s="99" t="s">
        <v>83</v>
      </c>
      <c r="X13" s="99" t="s">
        <v>84</v>
      </c>
      <c r="Y13" s="128"/>
      <c r="Z13" s="128"/>
    </row>
    <row r="14">
      <c r="A14" s="101">
        <v>1.0</v>
      </c>
      <c r="B14" s="101" t="s">
        <v>121</v>
      </c>
      <c r="C14" s="101">
        <v>5.0</v>
      </c>
      <c r="D14" s="102">
        <v>5.0</v>
      </c>
      <c r="E14" s="129">
        <v>30.0</v>
      </c>
      <c r="F14" s="101">
        <v>0.0</v>
      </c>
      <c r="G14" s="101">
        <v>0.0</v>
      </c>
      <c r="H14" s="101">
        <v>0.0</v>
      </c>
      <c r="I14" s="101">
        <v>0.0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  <c r="W14" s="101">
        <v>0.0</v>
      </c>
      <c r="X14" s="101">
        <v>0.0</v>
      </c>
    </row>
    <row r="15">
      <c r="A15" s="101">
        <v>1.0</v>
      </c>
      <c r="B15" s="101" t="s">
        <v>122</v>
      </c>
      <c r="C15" s="101">
        <v>5.0</v>
      </c>
      <c r="D15" s="102">
        <v>5.0</v>
      </c>
      <c r="E15" s="129">
        <v>0.0</v>
      </c>
      <c r="F15" s="101">
        <v>0.0</v>
      </c>
      <c r="G15" s="101">
        <v>0.0</v>
      </c>
      <c r="H15" s="101">
        <v>0.0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15.0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  <c r="W15" s="101">
        <v>0.0</v>
      </c>
      <c r="X15" s="101">
        <v>0.0</v>
      </c>
    </row>
    <row r="16">
      <c r="A16" s="101">
        <v>1.0</v>
      </c>
      <c r="B16" s="101" t="s">
        <v>123</v>
      </c>
      <c r="C16" s="101">
        <v>5.0</v>
      </c>
      <c r="D16" s="102">
        <v>5.0</v>
      </c>
      <c r="E16" s="129">
        <v>0.0</v>
      </c>
      <c r="F16" s="101">
        <v>0.0</v>
      </c>
      <c r="G16" s="101">
        <v>0.0</v>
      </c>
      <c r="H16" s="101">
        <v>0.0</v>
      </c>
      <c r="I16" s="101">
        <v>0.0</v>
      </c>
      <c r="J16" s="101">
        <v>1.0</v>
      </c>
      <c r="K16" s="101">
        <v>0.0</v>
      </c>
      <c r="L16" s="101">
        <v>0.0</v>
      </c>
      <c r="M16" s="101">
        <v>0.0</v>
      </c>
      <c r="N16" s="101">
        <v>0.0</v>
      </c>
      <c r="O16" s="101">
        <v>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  <c r="W16" s="101">
        <v>0.0</v>
      </c>
      <c r="X16" s="101">
        <v>0.0</v>
      </c>
    </row>
    <row r="17">
      <c r="A17" s="101">
        <v>1.0</v>
      </c>
      <c r="B17" s="101" t="s">
        <v>124</v>
      </c>
      <c r="C17" s="101">
        <v>5.0</v>
      </c>
      <c r="D17" s="102">
        <v>5.0</v>
      </c>
      <c r="E17" s="129">
        <v>0.0</v>
      </c>
      <c r="F17" s="101">
        <v>0.0</v>
      </c>
      <c r="G17" s="101">
        <v>0.0</v>
      </c>
      <c r="H17" s="101">
        <v>0.0</v>
      </c>
      <c r="I17" s="101">
        <v>0.0</v>
      </c>
      <c r="J17" s="101">
        <v>0.0</v>
      </c>
      <c r="K17" s="101">
        <v>0.0</v>
      </c>
      <c r="L17" s="101">
        <v>1.0</v>
      </c>
      <c r="M17" s="101">
        <v>0.0</v>
      </c>
      <c r="N17" s="101">
        <v>0.0</v>
      </c>
      <c r="O17" s="101">
        <v>0.0</v>
      </c>
      <c r="P17" s="101">
        <v>0.0</v>
      </c>
      <c r="Q17" s="101">
        <v>0.0</v>
      </c>
      <c r="R17" s="101">
        <v>0.0</v>
      </c>
      <c r="S17" s="101">
        <v>0.0</v>
      </c>
      <c r="T17" s="101">
        <v>0.0</v>
      </c>
      <c r="U17" s="101">
        <v>0.0</v>
      </c>
      <c r="V17" s="101">
        <v>0.0</v>
      </c>
      <c r="W17" s="101">
        <v>0.0</v>
      </c>
      <c r="X17" s="101">
        <v>0.0</v>
      </c>
    </row>
    <row r="18">
      <c r="A18" s="101">
        <v>1.0</v>
      </c>
      <c r="B18" s="101" t="s">
        <v>125</v>
      </c>
      <c r="C18" s="101">
        <v>5.0</v>
      </c>
      <c r="D18" s="102">
        <v>5.0</v>
      </c>
      <c r="E18" s="129">
        <v>0.0</v>
      </c>
      <c r="F18" s="101">
        <v>0.0</v>
      </c>
      <c r="G18" s="101">
        <v>0.0</v>
      </c>
      <c r="H18" s="101">
        <v>0.0</v>
      </c>
      <c r="I18" s="101">
        <v>0.0</v>
      </c>
      <c r="J18" s="101">
        <v>0.0</v>
      </c>
      <c r="K18" s="101">
        <v>0.0</v>
      </c>
      <c r="L18" s="101">
        <v>0.0</v>
      </c>
      <c r="M18" s="101">
        <v>0.0</v>
      </c>
      <c r="N18" s="101">
        <v>0.0</v>
      </c>
      <c r="O18" s="101">
        <v>0.0</v>
      </c>
      <c r="P18" s="101">
        <v>10.0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  <c r="W18" s="101">
        <v>0.0</v>
      </c>
      <c r="X18" s="101">
        <v>0.0</v>
      </c>
    </row>
    <row r="19">
      <c r="A19" s="101">
        <v>2.0</v>
      </c>
      <c r="B19" s="101" t="s">
        <v>121</v>
      </c>
      <c r="C19" s="101">
        <v>6.0</v>
      </c>
      <c r="D19" s="102">
        <v>11.0</v>
      </c>
      <c r="E19" s="129">
        <v>0.0</v>
      </c>
      <c r="F19" s="101">
        <v>0.0</v>
      </c>
      <c r="G19" s="101">
        <v>0.0</v>
      </c>
      <c r="H19" s="101">
        <v>0.0</v>
      </c>
      <c r="I19" s="101">
        <v>0.0</v>
      </c>
      <c r="J19" s="101">
        <v>0.0</v>
      </c>
      <c r="K19" s="101">
        <v>0.0</v>
      </c>
      <c r="L19" s="101">
        <v>0.0</v>
      </c>
      <c r="M19" s="101">
        <v>0.0</v>
      </c>
      <c r="N19" s="101">
        <v>15.0</v>
      </c>
      <c r="O19" s="101">
        <v>0.0</v>
      </c>
      <c r="P19" s="101">
        <v>0.0</v>
      </c>
      <c r="Q19" s="101">
        <v>0.0</v>
      </c>
      <c r="R19" s="101">
        <v>0.0</v>
      </c>
      <c r="S19" s="101">
        <v>0.0</v>
      </c>
      <c r="T19" s="101">
        <v>0.0</v>
      </c>
      <c r="U19" s="101">
        <v>0.0</v>
      </c>
      <c r="V19" s="101">
        <v>0.0</v>
      </c>
      <c r="W19" s="101">
        <v>0.0</v>
      </c>
      <c r="X19" s="101">
        <v>0.0</v>
      </c>
    </row>
    <row r="20">
      <c r="A20" s="101">
        <v>2.0</v>
      </c>
      <c r="B20" s="101" t="s">
        <v>122</v>
      </c>
      <c r="C20" s="101">
        <v>6.0</v>
      </c>
      <c r="D20" s="102">
        <v>11.0</v>
      </c>
      <c r="E20" s="129">
        <v>0.0</v>
      </c>
      <c r="F20" s="101">
        <v>0.0</v>
      </c>
      <c r="G20" s="101">
        <v>0.0</v>
      </c>
      <c r="H20" s="101">
        <v>0.0</v>
      </c>
      <c r="I20" s="101">
        <v>0.0</v>
      </c>
      <c r="J20" s="101">
        <v>0.0</v>
      </c>
      <c r="K20" s="101">
        <v>0.0</v>
      </c>
      <c r="L20" s="101">
        <v>0.0</v>
      </c>
      <c r="M20" s="101">
        <v>1.0</v>
      </c>
      <c r="N20" s="101">
        <v>0.0</v>
      </c>
      <c r="O20" s="101">
        <v>0.0</v>
      </c>
      <c r="P20" s="101">
        <v>0.0</v>
      </c>
      <c r="Q20" s="101">
        <v>0.0</v>
      </c>
      <c r="R20" s="101">
        <v>0.0</v>
      </c>
      <c r="S20" s="101">
        <v>0.0</v>
      </c>
      <c r="T20" s="101">
        <v>0.0</v>
      </c>
      <c r="U20" s="101">
        <v>0.0</v>
      </c>
      <c r="V20" s="101">
        <v>0.0</v>
      </c>
      <c r="W20" s="101">
        <v>0.0</v>
      </c>
      <c r="X20" s="101">
        <v>0.0</v>
      </c>
    </row>
    <row r="21" ht="15.75" customHeight="1">
      <c r="A21" s="101">
        <v>2.0</v>
      </c>
      <c r="B21" s="101" t="s">
        <v>123</v>
      </c>
      <c r="C21" s="101">
        <v>6.0</v>
      </c>
      <c r="D21" s="102">
        <v>11.0</v>
      </c>
      <c r="E21" s="129">
        <v>0.0</v>
      </c>
      <c r="F21" s="101">
        <v>0.0</v>
      </c>
      <c r="G21" s="101">
        <v>0.0</v>
      </c>
      <c r="H21" s="101">
        <v>0.0</v>
      </c>
      <c r="I21" s="101">
        <v>1.0</v>
      </c>
      <c r="J21" s="101">
        <v>0.0</v>
      </c>
      <c r="K21" s="101">
        <v>0.0</v>
      </c>
      <c r="L21" s="101">
        <v>0.0</v>
      </c>
      <c r="M21" s="101">
        <v>0.0</v>
      </c>
      <c r="N21" s="101">
        <v>0.0</v>
      </c>
      <c r="O21" s="101">
        <v>0.0</v>
      </c>
      <c r="P21" s="101">
        <v>0.0</v>
      </c>
      <c r="Q21" s="101">
        <v>0.0</v>
      </c>
      <c r="R21" s="101">
        <v>0.0</v>
      </c>
      <c r="S21" s="101">
        <v>0.0</v>
      </c>
      <c r="T21" s="101">
        <v>0.0</v>
      </c>
      <c r="U21" s="101">
        <v>0.0</v>
      </c>
      <c r="V21" s="101">
        <v>0.0</v>
      </c>
      <c r="W21" s="101">
        <v>0.0</v>
      </c>
      <c r="X21" s="101">
        <v>0.0</v>
      </c>
    </row>
    <row r="22" ht="15.75" customHeight="1">
      <c r="A22" s="101">
        <v>2.0</v>
      </c>
      <c r="B22" s="101" t="s">
        <v>124</v>
      </c>
      <c r="C22" s="101">
        <v>6.0</v>
      </c>
      <c r="D22" s="102">
        <v>11.0</v>
      </c>
      <c r="E22" s="129">
        <v>0.0</v>
      </c>
      <c r="F22" s="101">
        <v>0.0</v>
      </c>
      <c r="G22" s="101">
        <v>0.0</v>
      </c>
      <c r="H22" s="101">
        <v>0.0</v>
      </c>
      <c r="I22" s="101">
        <v>0.0</v>
      </c>
      <c r="J22" s="101">
        <v>0.0</v>
      </c>
      <c r="K22" s="101">
        <v>0.0</v>
      </c>
      <c r="L22" s="101">
        <v>0.0</v>
      </c>
      <c r="M22" s="101">
        <v>0.0</v>
      </c>
      <c r="N22" s="101">
        <v>0.0</v>
      </c>
      <c r="O22" s="101">
        <v>10.0</v>
      </c>
      <c r="P22" s="101">
        <v>0.0</v>
      </c>
      <c r="Q22" s="101">
        <v>0.0</v>
      </c>
      <c r="R22" s="101">
        <v>0.0</v>
      </c>
      <c r="S22" s="101">
        <v>0.0</v>
      </c>
      <c r="T22" s="101">
        <v>0.0</v>
      </c>
      <c r="U22" s="101">
        <v>0.0</v>
      </c>
      <c r="V22" s="101">
        <v>0.0</v>
      </c>
      <c r="W22" s="101">
        <v>0.0</v>
      </c>
      <c r="X22" s="101">
        <v>0.0</v>
      </c>
    </row>
    <row r="23" ht="15.75" customHeight="1">
      <c r="A23" s="101">
        <v>2.0</v>
      </c>
      <c r="B23" s="101" t="s">
        <v>125</v>
      </c>
      <c r="C23" s="101">
        <v>6.0</v>
      </c>
      <c r="D23" s="102">
        <v>11.0</v>
      </c>
      <c r="E23" s="129">
        <v>0.0</v>
      </c>
      <c r="F23" s="101">
        <v>0.0</v>
      </c>
      <c r="G23" s="101">
        <v>10.0</v>
      </c>
      <c r="H23" s="101">
        <v>0.0</v>
      </c>
      <c r="I23" s="101">
        <v>0.0</v>
      </c>
      <c r="J23" s="101">
        <v>0.0</v>
      </c>
      <c r="K23" s="101">
        <v>0.0</v>
      </c>
      <c r="L23" s="101">
        <v>0.0</v>
      </c>
      <c r="M23" s="101">
        <v>0.0</v>
      </c>
      <c r="N23" s="101">
        <v>0.0</v>
      </c>
      <c r="O23" s="101">
        <v>0.0</v>
      </c>
      <c r="P23" s="101">
        <v>0.0</v>
      </c>
      <c r="Q23" s="101">
        <v>0.0</v>
      </c>
      <c r="R23" s="101">
        <v>0.0</v>
      </c>
      <c r="S23" s="101">
        <v>0.0</v>
      </c>
      <c r="T23" s="101">
        <v>0.0</v>
      </c>
      <c r="U23" s="101">
        <v>0.0</v>
      </c>
      <c r="V23" s="101">
        <v>0.0</v>
      </c>
      <c r="W23" s="101">
        <v>0.0</v>
      </c>
      <c r="X23" s="101">
        <v>0.0</v>
      </c>
    </row>
    <row r="24" ht="15.75" customHeight="1">
      <c r="A24" s="101">
        <v>3.0</v>
      </c>
      <c r="B24" s="101" t="s">
        <v>121</v>
      </c>
      <c r="C24" s="101">
        <v>10.0</v>
      </c>
      <c r="D24" s="102">
        <v>21.0</v>
      </c>
      <c r="E24" s="129">
        <v>0.0</v>
      </c>
      <c r="F24" s="101">
        <v>0.0</v>
      </c>
      <c r="G24" s="101">
        <v>0.0</v>
      </c>
      <c r="H24" s="101">
        <v>0.0</v>
      </c>
      <c r="I24" s="101">
        <v>0.0</v>
      </c>
      <c r="J24" s="101">
        <v>0.0</v>
      </c>
      <c r="K24" s="101">
        <v>0.0</v>
      </c>
      <c r="L24" s="101">
        <v>0.0</v>
      </c>
      <c r="M24" s="101">
        <v>0.0</v>
      </c>
      <c r="N24" s="101">
        <v>0.0</v>
      </c>
      <c r="O24" s="101">
        <v>0.0</v>
      </c>
      <c r="P24" s="101">
        <v>0.0</v>
      </c>
      <c r="Q24" s="101">
        <v>20.0</v>
      </c>
      <c r="R24" s="101">
        <v>0.0</v>
      </c>
      <c r="S24" s="101">
        <v>0.0</v>
      </c>
      <c r="T24" s="101">
        <v>0.0</v>
      </c>
      <c r="U24" s="101">
        <v>0.0</v>
      </c>
      <c r="V24" s="101">
        <v>0.0</v>
      </c>
      <c r="W24" s="101">
        <v>0.0</v>
      </c>
      <c r="X24" s="101">
        <v>0.0</v>
      </c>
    </row>
    <row r="25" ht="15.75" customHeight="1">
      <c r="A25" s="101">
        <v>3.0</v>
      </c>
      <c r="B25" s="101" t="s">
        <v>122</v>
      </c>
      <c r="C25" s="101">
        <v>10.0</v>
      </c>
      <c r="D25" s="102">
        <v>21.0</v>
      </c>
      <c r="E25" s="129">
        <v>0.0</v>
      </c>
      <c r="F25" s="101">
        <v>0.0</v>
      </c>
      <c r="G25" s="101">
        <v>0.0</v>
      </c>
      <c r="H25" s="101">
        <v>0.0</v>
      </c>
      <c r="I25" s="101">
        <v>0.0</v>
      </c>
      <c r="J25" s="101">
        <v>0.0</v>
      </c>
      <c r="K25" s="101">
        <v>0.0</v>
      </c>
      <c r="L25" s="101">
        <v>1.0</v>
      </c>
      <c r="M25" s="101">
        <v>0.0</v>
      </c>
      <c r="N25" s="101">
        <v>0.0</v>
      </c>
      <c r="O25" s="101">
        <v>0.0</v>
      </c>
      <c r="P25" s="101">
        <v>0.0</v>
      </c>
      <c r="Q25" s="101">
        <v>0.0</v>
      </c>
      <c r="R25" s="101">
        <v>0.0</v>
      </c>
      <c r="S25" s="101">
        <v>0.0</v>
      </c>
      <c r="T25" s="101">
        <v>0.0</v>
      </c>
      <c r="U25" s="101">
        <v>0.0</v>
      </c>
      <c r="V25" s="101">
        <v>0.0</v>
      </c>
      <c r="W25" s="101">
        <v>0.0</v>
      </c>
      <c r="X25" s="101">
        <v>0.0</v>
      </c>
    </row>
    <row r="26" ht="15.75" customHeight="1">
      <c r="A26" s="101">
        <v>3.0</v>
      </c>
      <c r="B26" s="101" t="s">
        <v>123</v>
      </c>
      <c r="C26" s="101">
        <v>10.0</v>
      </c>
      <c r="D26" s="102">
        <v>21.0</v>
      </c>
      <c r="E26" s="129">
        <v>0.0</v>
      </c>
      <c r="F26" s="101">
        <v>0.0</v>
      </c>
      <c r="G26" s="101">
        <v>0.0</v>
      </c>
      <c r="H26" s="101">
        <v>0.0</v>
      </c>
      <c r="I26" s="101">
        <v>0.0</v>
      </c>
      <c r="J26" s="101">
        <v>0.0</v>
      </c>
      <c r="K26" s="101">
        <v>0.0</v>
      </c>
      <c r="L26" s="101">
        <v>0.0</v>
      </c>
      <c r="M26" s="101">
        <v>0.0</v>
      </c>
      <c r="N26" s="101">
        <v>0.0</v>
      </c>
      <c r="O26" s="101">
        <v>0.0</v>
      </c>
      <c r="P26" s="101">
        <v>10.0</v>
      </c>
      <c r="Q26" s="101">
        <v>0.0</v>
      </c>
      <c r="R26" s="101">
        <v>0.0</v>
      </c>
      <c r="S26" s="101">
        <v>0.0</v>
      </c>
      <c r="T26" s="101">
        <v>0.0</v>
      </c>
      <c r="U26" s="101">
        <v>0.0</v>
      </c>
      <c r="V26" s="101">
        <v>0.0</v>
      </c>
      <c r="W26" s="101">
        <v>0.0</v>
      </c>
      <c r="X26" s="101">
        <v>0.0</v>
      </c>
    </row>
    <row r="27" ht="15.75" customHeight="1">
      <c r="A27" s="101">
        <v>3.0</v>
      </c>
      <c r="B27" s="101" t="s">
        <v>124</v>
      </c>
      <c r="C27" s="101">
        <v>10.0</v>
      </c>
      <c r="D27" s="102">
        <v>21.0</v>
      </c>
      <c r="E27" s="129">
        <v>0.0</v>
      </c>
      <c r="F27" s="101">
        <v>0.0</v>
      </c>
      <c r="G27" s="101">
        <v>0.0</v>
      </c>
      <c r="H27" s="101">
        <v>1.0</v>
      </c>
      <c r="I27" s="101">
        <v>0.0</v>
      </c>
      <c r="J27" s="101">
        <v>0.0</v>
      </c>
      <c r="K27" s="101">
        <v>0.0</v>
      </c>
      <c r="L27" s="101">
        <v>0.0</v>
      </c>
      <c r="M27" s="101">
        <v>0.0</v>
      </c>
      <c r="N27" s="101">
        <v>0.0</v>
      </c>
      <c r="O27" s="101">
        <v>0.0</v>
      </c>
      <c r="P27" s="101">
        <v>0.0</v>
      </c>
      <c r="Q27" s="101">
        <v>0.0</v>
      </c>
      <c r="R27" s="101">
        <v>0.0</v>
      </c>
      <c r="S27" s="101">
        <v>0.0</v>
      </c>
      <c r="T27" s="101">
        <v>0.0</v>
      </c>
      <c r="U27" s="101">
        <v>0.0</v>
      </c>
      <c r="V27" s="101">
        <v>0.0</v>
      </c>
      <c r="W27" s="101">
        <v>0.0</v>
      </c>
      <c r="X27" s="101">
        <v>0.0</v>
      </c>
    </row>
    <row r="28" ht="15.75" customHeight="1">
      <c r="A28" s="101">
        <v>3.0</v>
      </c>
      <c r="B28" s="101" t="s">
        <v>125</v>
      </c>
      <c r="C28" s="101">
        <v>10.0</v>
      </c>
      <c r="D28" s="102">
        <v>21.0</v>
      </c>
      <c r="E28" s="129">
        <v>0.0</v>
      </c>
      <c r="F28" s="101">
        <v>20.0</v>
      </c>
      <c r="G28" s="101">
        <v>0.0</v>
      </c>
      <c r="H28" s="101">
        <v>0.0</v>
      </c>
      <c r="I28" s="101">
        <v>0.0</v>
      </c>
      <c r="J28" s="101">
        <v>0.0</v>
      </c>
      <c r="K28" s="101">
        <v>0.0</v>
      </c>
      <c r="L28" s="101">
        <v>0.0</v>
      </c>
      <c r="M28" s="101">
        <v>0.0</v>
      </c>
      <c r="N28" s="101">
        <v>0.0</v>
      </c>
      <c r="O28" s="101">
        <v>0.0</v>
      </c>
      <c r="P28" s="101">
        <v>0.0</v>
      </c>
      <c r="Q28" s="101">
        <v>0.0</v>
      </c>
      <c r="R28" s="101">
        <v>0.0</v>
      </c>
      <c r="S28" s="101">
        <v>0.0</v>
      </c>
      <c r="T28" s="101">
        <v>0.0</v>
      </c>
      <c r="U28" s="101">
        <v>0.0</v>
      </c>
      <c r="V28" s="101">
        <v>0.0</v>
      </c>
      <c r="W28" s="101">
        <v>0.0</v>
      </c>
      <c r="X28" s="101">
        <v>0.0</v>
      </c>
    </row>
    <row r="29" ht="15.75" customHeight="1">
      <c r="A29" s="101">
        <v>4.0</v>
      </c>
      <c r="B29" s="101" t="s">
        <v>121</v>
      </c>
      <c r="C29" s="101">
        <v>15.0</v>
      </c>
      <c r="D29" s="102">
        <v>36.0</v>
      </c>
      <c r="E29" s="129">
        <v>55.0</v>
      </c>
      <c r="F29" s="101">
        <v>0.0</v>
      </c>
      <c r="G29" s="101">
        <v>0.0</v>
      </c>
      <c r="H29" s="101">
        <v>1.0</v>
      </c>
      <c r="I29" s="101">
        <v>0.0</v>
      </c>
      <c r="J29" s="101">
        <v>0.0</v>
      </c>
      <c r="K29" s="101">
        <v>0.0</v>
      </c>
      <c r="L29" s="101">
        <v>0.0</v>
      </c>
      <c r="M29" s="101">
        <v>0.0</v>
      </c>
      <c r="N29" s="101">
        <v>0.0</v>
      </c>
      <c r="O29" s="101">
        <v>0.0</v>
      </c>
      <c r="P29" s="101">
        <v>0.0</v>
      </c>
      <c r="Q29" s="101">
        <v>0.0</v>
      </c>
      <c r="R29" s="101">
        <v>0.0</v>
      </c>
      <c r="S29" s="101">
        <v>0.0</v>
      </c>
      <c r="T29" s="101">
        <v>0.0</v>
      </c>
      <c r="U29" s="101">
        <v>0.0</v>
      </c>
      <c r="V29" s="101">
        <v>0.0</v>
      </c>
      <c r="W29" s="101">
        <v>0.0</v>
      </c>
      <c r="X29" s="101">
        <v>0.0</v>
      </c>
    </row>
    <row r="30" ht="15.75" customHeight="1">
      <c r="A30" s="101">
        <v>4.0</v>
      </c>
      <c r="B30" s="101" t="s">
        <v>122</v>
      </c>
      <c r="C30" s="101">
        <v>15.0</v>
      </c>
      <c r="D30" s="102">
        <v>36.0</v>
      </c>
      <c r="E30" s="129">
        <v>0.0</v>
      </c>
      <c r="F30" s="101">
        <v>0.0</v>
      </c>
      <c r="G30" s="101">
        <v>0.0</v>
      </c>
      <c r="H30" s="101">
        <v>0.0</v>
      </c>
      <c r="I30" s="101">
        <v>0.0</v>
      </c>
      <c r="J30" s="101">
        <v>0.0</v>
      </c>
      <c r="K30" s="101">
        <v>0.0</v>
      </c>
      <c r="L30" s="101">
        <v>0.0</v>
      </c>
      <c r="M30" s="101">
        <v>0.0</v>
      </c>
      <c r="N30" s="101">
        <v>20.0</v>
      </c>
      <c r="O30" s="101">
        <v>0.0</v>
      </c>
      <c r="P30" s="101">
        <v>0.0</v>
      </c>
      <c r="Q30" s="101">
        <v>0.0</v>
      </c>
      <c r="R30" s="101">
        <v>0.0</v>
      </c>
      <c r="S30" s="101">
        <v>0.0</v>
      </c>
      <c r="T30" s="101">
        <v>0.0</v>
      </c>
      <c r="U30" s="101">
        <v>0.0</v>
      </c>
      <c r="V30" s="101">
        <v>0.0</v>
      </c>
      <c r="W30" s="101">
        <v>0.0</v>
      </c>
      <c r="X30" s="101">
        <v>0.0</v>
      </c>
    </row>
    <row r="31" ht="15.75" customHeight="1">
      <c r="A31" s="101">
        <v>4.0</v>
      </c>
      <c r="B31" s="101" t="s">
        <v>123</v>
      </c>
      <c r="C31" s="101">
        <v>15.0</v>
      </c>
      <c r="D31" s="102">
        <v>36.0</v>
      </c>
      <c r="E31" s="129">
        <v>0.0</v>
      </c>
      <c r="F31" s="101">
        <v>0.0</v>
      </c>
      <c r="G31" s="101">
        <v>0.0</v>
      </c>
      <c r="H31" s="101">
        <v>0.0</v>
      </c>
      <c r="I31" s="101">
        <v>0.0</v>
      </c>
      <c r="J31" s="101">
        <v>0.0</v>
      </c>
      <c r="K31" s="101">
        <v>0.0</v>
      </c>
      <c r="L31" s="101">
        <v>0.0</v>
      </c>
      <c r="M31" s="101">
        <v>1.0</v>
      </c>
      <c r="N31" s="101">
        <v>0.0</v>
      </c>
      <c r="O31" s="101">
        <v>0.0</v>
      </c>
      <c r="P31" s="101">
        <v>0.0</v>
      </c>
      <c r="Q31" s="101">
        <v>0.0</v>
      </c>
      <c r="R31" s="101">
        <v>0.0</v>
      </c>
      <c r="S31" s="101">
        <v>0.0</v>
      </c>
      <c r="T31" s="101">
        <v>0.0</v>
      </c>
      <c r="U31" s="101">
        <v>0.0</v>
      </c>
      <c r="V31" s="101">
        <v>0.0</v>
      </c>
      <c r="W31" s="101">
        <v>0.0</v>
      </c>
      <c r="X31" s="101">
        <v>0.0</v>
      </c>
    </row>
    <row r="32" ht="15.75" customHeight="1">
      <c r="A32" s="101">
        <v>4.0</v>
      </c>
      <c r="B32" s="101" t="s">
        <v>124</v>
      </c>
      <c r="C32" s="101">
        <v>15.0</v>
      </c>
      <c r="D32" s="102">
        <v>36.0</v>
      </c>
      <c r="E32" s="129">
        <v>0.0</v>
      </c>
      <c r="F32" s="101">
        <v>0.0</v>
      </c>
      <c r="G32" s="101">
        <v>0.0</v>
      </c>
      <c r="H32" s="101">
        <v>0.0</v>
      </c>
      <c r="I32" s="101">
        <v>1.0</v>
      </c>
      <c r="J32" s="101">
        <v>0.0</v>
      </c>
      <c r="K32" s="101">
        <v>0.0</v>
      </c>
      <c r="L32" s="101">
        <v>0.0</v>
      </c>
      <c r="M32" s="101">
        <v>0.0</v>
      </c>
      <c r="N32" s="101">
        <v>0.0</v>
      </c>
      <c r="O32" s="101">
        <v>0.0</v>
      </c>
      <c r="P32" s="101">
        <v>0.0</v>
      </c>
      <c r="Q32" s="101">
        <v>0.0</v>
      </c>
      <c r="R32" s="101">
        <v>0.0</v>
      </c>
      <c r="S32" s="101">
        <v>0.0</v>
      </c>
      <c r="T32" s="101">
        <v>0.0</v>
      </c>
      <c r="U32" s="101">
        <v>0.0</v>
      </c>
      <c r="V32" s="101">
        <v>0.0</v>
      </c>
      <c r="W32" s="101">
        <v>0.0</v>
      </c>
      <c r="X32" s="101">
        <v>0.0</v>
      </c>
    </row>
    <row r="33" ht="15.75" customHeight="1">
      <c r="A33" s="101">
        <v>4.0</v>
      </c>
      <c r="B33" s="101" t="s">
        <v>125</v>
      </c>
      <c r="C33" s="101">
        <v>15.0</v>
      </c>
      <c r="D33" s="102">
        <v>36.0</v>
      </c>
      <c r="E33" s="129">
        <v>0.0</v>
      </c>
      <c r="F33" s="101">
        <v>0.0</v>
      </c>
      <c r="G33" s="101">
        <v>0.0</v>
      </c>
      <c r="H33" s="101">
        <v>0.0</v>
      </c>
      <c r="I33" s="101">
        <v>0.0</v>
      </c>
      <c r="J33" s="101">
        <v>0.0</v>
      </c>
      <c r="K33" s="101">
        <v>0.0</v>
      </c>
      <c r="L33" s="101">
        <v>0.0</v>
      </c>
      <c r="M33" s="101">
        <v>0.0</v>
      </c>
      <c r="N33" s="101">
        <v>0.0</v>
      </c>
      <c r="O33" s="101">
        <v>15.0</v>
      </c>
      <c r="P33" s="101">
        <v>0.0</v>
      </c>
      <c r="Q33" s="101">
        <v>0.0</v>
      </c>
      <c r="R33" s="101">
        <v>0.0</v>
      </c>
      <c r="S33" s="101">
        <v>0.0</v>
      </c>
      <c r="T33" s="101">
        <v>0.0</v>
      </c>
      <c r="U33" s="101">
        <v>0.0</v>
      </c>
      <c r="V33" s="101">
        <v>0.0</v>
      </c>
      <c r="W33" s="101">
        <v>0.0</v>
      </c>
      <c r="X33" s="101">
        <v>0.0</v>
      </c>
    </row>
    <row r="34" ht="15.75" customHeight="1">
      <c r="A34" s="101">
        <v>5.0</v>
      </c>
      <c r="B34" s="101" t="s">
        <v>121</v>
      </c>
      <c r="C34" s="101">
        <v>8.0</v>
      </c>
      <c r="D34" s="102">
        <v>44.0</v>
      </c>
      <c r="E34" s="129">
        <v>0.0</v>
      </c>
      <c r="F34" s="101">
        <v>0.0</v>
      </c>
      <c r="G34" s="101">
        <v>0.0</v>
      </c>
      <c r="H34" s="101">
        <v>0.0</v>
      </c>
      <c r="I34" s="101">
        <v>0.0</v>
      </c>
      <c r="J34" s="101">
        <v>0.0</v>
      </c>
      <c r="K34" s="101">
        <v>0.0</v>
      </c>
      <c r="L34" s="101">
        <v>1.0</v>
      </c>
      <c r="M34" s="101">
        <v>0.0</v>
      </c>
      <c r="N34" s="101">
        <v>0.0</v>
      </c>
      <c r="O34" s="101">
        <v>0.0</v>
      </c>
      <c r="P34" s="101">
        <v>0.0</v>
      </c>
      <c r="Q34" s="101">
        <v>0.0</v>
      </c>
      <c r="R34" s="101">
        <v>0.0</v>
      </c>
      <c r="S34" s="101">
        <v>0.0</v>
      </c>
      <c r="T34" s="101">
        <v>0.0</v>
      </c>
      <c r="U34" s="101">
        <v>0.0</v>
      </c>
      <c r="V34" s="101">
        <v>0.0</v>
      </c>
      <c r="W34" s="101">
        <v>0.0</v>
      </c>
      <c r="X34" s="101">
        <v>0.0</v>
      </c>
    </row>
    <row r="35" ht="15.75" customHeight="1">
      <c r="A35" s="101">
        <v>5.0</v>
      </c>
      <c r="B35" s="101" t="s">
        <v>122</v>
      </c>
      <c r="C35" s="101">
        <v>8.0</v>
      </c>
      <c r="D35" s="102">
        <v>44.0</v>
      </c>
      <c r="E35" s="129">
        <v>0.0</v>
      </c>
      <c r="F35" s="101">
        <v>0.0</v>
      </c>
      <c r="G35" s="101">
        <v>0.0</v>
      </c>
      <c r="H35" s="101">
        <v>0.0</v>
      </c>
      <c r="I35" s="101">
        <v>0.0</v>
      </c>
      <c r="J35" s="101">
        <v>0.0</v>
      </c>
      <c r="K35" s="101">
        <v>0.0</v>
      </c>
      <c r="L35" s="101">
        <v>0.0</v>
      </c>
      <c r="M35" s="101">
        <v>0.0</v>
      </c>
      <c r="N35" s="101">
        <v>0.0</v>
      </c>
      <c r="O35" s="101">
        <v>0.0</v>
      </c>
      <c r="P35" s="101">
        <v>10.0</v>
      </c>
      <c r="Q35" s="101">
        <v>0.0</v>
      </c>
      <c r="R35" s="101">
        <v>0.0</v>
      </c>
      <c r="S35" s="101">
        <v>0.0</v>
      </c>
      <c r="T35" s="101">
        <v>0.0</v>
      </c>
      <c r="U35" s="101">
        <v>0.0</v>
      </c>
      <c r="V35" s="101">
        <v>0.0</v>
      </c>
      <c r="W35" s="101">
        <v>0.0</v>
      </c>
      <c r="X35" s="101">
        <v>0.0</v>
      </c>
    </row>
    <row r="36" ht="15.75" customHeight="1">
      <c r="A36" s="101">
        <v>5.0</v>
      </c>
      <c r="B36" s="101" t="s">
        <v>123</v>
      </c>
      <c r="C36" s="101">
        <v>8.0</v>
      </c>
      <c r="D36" s="102">
        <v>44.0</v>
      </c>
      <c r="E36" s="129">
        <v>0.0</v>
      </c>
      <c r="F36" s="101">
        <v>0.0</v>
      </c>
      <c r="G36" s="101">
        <v>0.0</v>
      </c>
      <c r="H36" s="101">
        <v>0.0</v>
      </c>
      <c r="I36" s="101">
        <v>1.0</v>
      </c>
      <c r="J36" s="101">
        <v>0.0</v>
      </c>
      <c r="K36" s="101">
        <v>0.0</v>
      </c>
      <c r="L36" s="101">
        <v>0.0</v>
      </c>
      <c r="M36" s="101">
        <v>0.0</v>
      </c>
      <c r="N36" s="101">
        <v>0.0</v>
      </c>
      <c r="O36" s="101">
        <v>0.0</v>
      </c>
      <c r="P36" s="101">
        <v>0.0</v>
      </c>
      <c r="Q36" s="101">
        <v>0.0</v>
      </c>
      <c r="R36" s="101">
        <v>0.0</v>
      </c>
      <c r="S36" s="101">
        <v>0.0</v>
      </c>
      <c r="T36" s="101">
        <v>0.0</v>
      </c>
      <c r="U36" s="101">
        <v>0.0</v>
      </c>
      <c r="V36" s="101">
        <v>0.0</v>
      </c>
      <c r="W36" s="101">
        <v>0.0</v>
      </c>
      <c r="X36" s="101">
        <v>0.0</v>
      </c>
    </row>
    <row r="37" ht="15.75" customHeight="1">
      <c r="A37" s="101">
        <v>5.0</v>
      </c>
      <c r="B37" s="101" t="s">
        <v>124</v>
      </c>
      <c r="C37" s="101">
        <v>8.0</v>
      </c>
      <c r="D37" s="102">
        <v>44.0</v>
      </c>
      <c r="E37" s="129">
        <v>0.0</v>
      </c>
      <c r="F37" s="101">
        <v>0.0</v>
      </c>
      <c r="G37" s="101">
        <v>0.0</v>
      </c>
      <c r="H37" s="101">
        <v>0.0</v>
      </c>
      <c r="I37" s="101">
        <v>0.0</v>
      </c>
      <c r="J37" s="101">
        <v>0.0</v>
      </c>
      <c r="K37" s="101">
        <v>0.0</v>
      </c>
      <c r="L37" s="101">
        <v>0.0</v>
      </c>
      <c r="M37" s="101">
        <v>0.0</v>
      </c>
      <c r="N37" s="101">
        <v>0.0</v>
      </c>
      <c r="O37" s="101">
        <v>10.0</v>
      </c>
      <c r="P37" s="101">
        <v>0.0</v>
      </c>
      <c r="Q37" s="101">
        <v>0.0</v>
      </c>
      <c r="R37" s="101">
        <v>0.0</v>
      </c>
      <c r="S37" s="101">
        <v>0.0</v>
      </c>
      <c r="T37" s="101">
        <v>0.0</v>
      </c>
      <c r="U37" s="101">
        <v>0.0</v>
      </c>
      <c r="V37" s="101">
        <v>0.0</v>
      </c>
      <c r="W37" s="101">
        <v>0.0</v>
      </c>
      <c r="X37" s="101">
        <v>0.0</v>
      </c>
    </row>
    <row r="38" ht="15.75" customHeight="1">
      <c r="A38" s="101">
        <v>5.0</v>
      </c>
      <c r="B38" s="101" t="s">
        <v>125</v>
      </c>
      <c r="C38" s="101">
        <v>8.0</v>
      </c>
      <c r="D38" s="102">
        <v>44.0</v>
      </c>
      <c r="E38" s="129">
        <v>0.0</v>
      </c>
      <c r="F38" s="101">
        <v>0.0</v>
      </c>
      <c r="G38" s="101">
        <v>0.0</v>
      </c>
      <c r="H38" s="101">
        <v>1.0</v>
      </c>
      <c r="I38" s="101">
        <v>0.0</v>
      </c>
      <c r="J38" s="101">
        <v>0.0</v>
      </c>
      <c r="K38" s="101">
        <v>0.0</v>
      </c>
      <c r="L38" s="101">
        <v>0.0</v>
      </c>
      <c r="M38" s="101">
        <v>0.0</v>
      </c>
      <c r="N38" s="101">
        <v>0.0</v>
      </c>
      <c r="O38" s="101">
        <v>0.0</v>
      </c>
      <c r="P38" s="101">
        <v>0.0</v>
      </c>
      <c r="Q38" s="101">
        <v>0.0</v>
      </c>
      <c r="R38" s="101">
        <v>0.0</v>
      </c>
      <c r="S38" s="101">
        <v>0.0</v>
      </c>
      <c r="T38" s="101">
        <v>0.0</v>
      </c>
      <c r="U38" s="101">
        <v>0.0</v>
      </c>
      <c r="V38" s="101">
        <v>0.0</v>
      </c>
      <c r="W38" s="101">
        <v>0.0</v>
      </c>
      <c r="X38" s="101">
        <v>0.0</v>
      </c>
    </row>
    <row r="39" ht="15.75" customHeight="1">
      <c r="A39" s="101">
        <v>6.0</v>
      </c>
      <c r="B39" s="101" t="s">
        <v>121</v>
      </c>
      <c r="C39" s="101">
        <v>10.0</v>
      </c>
      <c r="D39" s="102">
        <v>54.0</v>
      </c>
      <c r="E39" s="129">
        <v>50.0</v>
      </c>
      <c r="F39" s="101">
        <v>0.0</v>
      </c>
      <c r="G39" s="101">
        <v>0.0</v>
      </c>
      <c r="H39" s="101">
        <v>0.0</v>
      </c>
      <c r="I39" s="101">
        <v>0.0</v>
      </c>
      <c r="J39" s="101">
        <v>0.0</v>
      </c>
      <c r="K39" s="101">
        <v>0.0</v>
      </c>
      <c r="L39" s="101">
        <v>0.0</v>
      </c>
      <c r="M39" s="101">
        <v>0.0</v>
      </c>
      <c r="N39" s="101">
        <v>0.0</v>
      </c>
      <c r="O39" s="101">
        <v>0.0</v>
      </c>
      <c r="P39" s="101">
        <v>0.0</v>
      </c>
      <c r="Q39" s="101">
        <v>0.0</v>
      </c>
      <c r="R39" s="101">
        <v>0.0</v>
      </c>
      <c r="S39" s="101">
        <v>0.0</v>
      </c>
      <c r="T39" s="101">
        <v>0.0</v>
      </c>
      <c r="U39" s="101">
        <v>0.0</v>
      </c>
      <c r="V39" s="101">
        <v>0.0</v>
      </c>
      <c r="W39" s="101">
        <v>0.0</v>
      </c>
      <c r="X39" s="101">
        <v>0.0</v>
      </c>
    </row>
    <row r="40" ht="15.75" customHeight="1">
      <c r="A40" s="101">
        <v>6.0</v>
      </c>
      <c r="B40" s="101" t="s">
        <v>122</v>
      </c>
      <c r="C40" s="101">
        <v>10.0</v>
      </c>
      <c r="D40" s="102">
        <v>54.0</v>
      </c>
      <c r="E40" s="129">
        <v>0.0</v>
      </c>
      <c r="F40" s="101">
        <v>0.0</v>
      </c>
      <c r="G40" s="101">
        <v>0.0</v>
      </c>
      <c r="H40" s="101">
        <v>0.0</v>
      </c>
      <c r="I40" s="101">
        <v>0.0</v>
      </c>
      <c r="J40" s="101">
        <v>0.0</v>
      </c>
      <c r="K40" s="101">
        <v>0.0</v>
      </c>
      <c r="L40" s="101">
        <v>0.0</v>
      </c>
      <c r="M40" s="101">
        <v>0.0</v>
      </c>
      <c r="N40" s="101">
        <v>15.0</v>
      </c>
      <c r="O40" s="101">
        <v>0.0</v>
      </c>
      <c r="P40" s="101">
        <v>0.0</v>
      </c>
      <c r="Q40" s="101">
        <v>0.0</v>
      </c>
      <c r="R40" s="101">
        <v>0.0</v>
      </c>
      <c r="S40" s="101">
        <v>0.0</v>
      </c>
      <c r="T40" s="101">
        <v>0.0</v>
      </c>
      <c r="U40" s="101">
        <v>0.0</v>
      </c>
      <c r="V40" s="101">
        <v>0.0</v>
      </c>
      <c r="W40" s="101">
        <v>0.0</v>
      </c>
      <c r="X40" s="101">
        <v>0.0</v>
      </c>
    </row>
    <row r="41" ht="15.75" customHeight="1">
      <c r="A41" s="101">
        <v>6.0</v>
      </c>
      <c r="B41" s="101" t="s">
        <v>123</v>
      </c>
      <c r="C41" s="101">
        <v>10.0</v>
      </c>
      <c r="D41" s="102">
        <v>54.0</v>
      </c>
      <c r="E41" s="129">
        <v>0.0</v>
      </c>
      <c r="F41" s="101">
        <v>0.0</v>
      </c>
      <c r="G41" s="101">
        <v>0.0</v>
      </c>
      <c r="H41" s="101">
        <v>0.0</v>
      </c>
      <c r="I41" s="101">
        <v>0.0</v>
      </c>
      <c r="J41" s="101">
        <v>1.0</v>
      </c>
      <c r="K41" s="101">
        <v>0.0</v>
      </c>
      <c r="L41" s="101">
        <v>0.0</v>
      </c>
      <c r="M41" s="101">
        <v>0.0</v>
      </c>
      <c r="N41" s="101">
        <v>0.0</v>
      </c>
      <c r="O41" s="101">
        <v>0.0</v>
      </c>
      <c r="P41" s="101">
        <v>0.0</v>
      </c>
      <c r="Q41" s="101">
        <v>0.0</v>
      </c>
      <c r="R41" s="101">
        <v>0.0</v>
      </c>
      <c r="S41" s="101">
        <v>0.0</v>
      </c>
      <c r="T41" s="101">
        <v>0.0</v>
      </c>
      <c r="U41" s="101">
        <v>0.0</v>
      </c>
      <c r="V41" s="101">
        <v>0.0</v>
      </c>
      <c r="W41" s="101">
        <v>0.0</v>
      </c>
      <c r="X41" s="101">
        <v>0.0</v>
      </c>
    </row>
    <row r="42" ht="15.75" customHeight="1">
      <c r="A42" s="101">
        <v>6.0</v>
      </c>
      <c r="B42" s="101" t="s">
        <v>124</v>
      </c>
      <c r="C42" s="101">
        <v>10.0</v>
      </c>
      <c r="D42" s="102">
        <v>54.0</v>
      </c>
      <c r="E42" s="129">
        <v>0.0</v>
      </c>
      <c r="F42" s="101">
        <v>0.0</v>
      </c>
      <c r="G42" s="101">
        <v>0.0</v>
      </c>
      <c r="H42" s="101">
        <v>0.0</v>
      </c>
      <c r="I42" s="101">
        <v>0.0</v>
      </c>
      <c r="J42" s="101">
        <v>0.0</v>
      </c>
      <c r="K42" s="101">
        <v>0.0</v>
      </c>
      <c r="L42" s="101">
        <v>1.0</v>
      </c>
      <c r="M42" s="101">
        <v>0.0</v>
      </c>
      <c r="N42" s="101">
        <v>0.0</v>
      </c>
      <c r="O42" s="101">
        <v>0.0</v>
      </c>
      <c r="P42" s="101">
        <v>0.0</v>
      </c>
      <c r="Q42" s="101">
        <v>0.0</v>
      </c>
      <c r="R42" s="101">
        <v>0.0</v>
      </c>
      <c r="S42" s="101">
        <v>0.0</v>
      </c>
      <c r="T42" s="101">
        <v>0.0</v>
      </c>
      <c r="U42" s="101">
        <v>0.0</v>
      </c>
      <c r="V42" s="101">
        <v>0.0</v>
      </c>
      <c r="W42" s="101">
        <v>0.0</v>
      </c>
      <c r="X42" s="101">
        <v>0.0</v>
      </c>
    </row>
    <row r="43" ht="15.75" customHeight="1">
      <c r="A43" s="101">
        <v>6.0</v>
      </c>
      <c r="B43" s="101" t="s">
        <v>125</v>
      </c>
      <c r="C43" s="101">
        <v>10.0</v>
      </c>
      <c r="D43" s="102">
        <v>54.0</v>
      </c>
      <c r="E43" s="129">
        <v>0.0</v>
      </c>
      <c r="F43" s="101">
        <v>0.0</v>
      </c>
      <c r="G43" s="101">
        <v>15.0</v>
      </c>
      <c r="H43" s="101">
        <v>0.0</v>
      </c>
      <c r="I43" s="101">
        <v>0.0</v>
      </c>
      <c r="J43" s="101">
        <v>0.0</v>
      </c>
      <c r="K43" s="101">
        <v>0.0</v>
      </c>
      <c r="L43" s="101">
        <v>0.0</v>
      </c>
      <c r="M43" s="101">
        <v>0.0</v>
      </c>
      <c r="N43" s="101">
        <v>0.0</v>
      </c>
      <c r="O43" s="101">
        <v>0.0</v>
      </c>
      <c r="P43" s="101">
        <v>0.0</v>
      </c>
      <c r="Q43" s="101">
        <v>0.0</v>
      </c>
      <c r="R43" s="101">
        <v>0.0</v>
      </c>
      <c r="S43" s="101">
        <v>0.0</v>
      </c>
      <c r="T43" s="101">
        <v>0.0</v>
      </c>
      <c r="U43" s="101">
        <v>0.0</v>
      </c>
      <c r="V43" s="101">
        <v>0.0</v>
      </c>
      <c r="W43" s="101">
        <v>0.0</v>
      </c>
      <c r="X43" s="101">
        <v>0.0</v>
      </c>
    </row>
    <row r="44" ht="15.75" customHeight="1">
      <c r="A44" s="101">
        <v>7.0</v>
      </c>
      <c r="B44" s="101" t="s">
        <v>121</v>
      </c>
      <c r="C44" s="101">
        <v>12.0</v>
      </c>
      <c r="D44" s="102">
        <v>66.0</v>
      </c>
      <c r="E44" s="129">
        <v>0.0</v>
      </c>
      <c r="F44" s="101">
        <v>0.0</v>
      </c>
      <c r="G44" s="101">
        <v>0.0</v>
      </c>
      <c r="H44" s="101">
        <v>0.0</v>
      </c>
      <c r="I44" s="101">
        <v>0.0</v>
      </c>
      <c r="J44" s="101">
        <v>0.0</v>
      </c>
      <c r="K44" s="101">
        <v>1.0</v>
      </c>
      <c r="L44" s="101">
        <v>0.0</v>
      </c>
      <c r="M44" s="101">
        <v>0.0</v>
      </c>
      <c r="N44" s="101">
        <v>0.0</v>
      </c>
      <c r="O44" s="101">
        <v>0.0</v>
      </c>
      <c r="P44" s="101">
        <v>0.0</v>
      </c>
      <c r="Q44" s="101">
        <v>0.0</v>
      </c>
      <c r="R44" s="101">
        <v>0.0</v>
      </c>
      <c r="S44" s="101">
        <v>0.0</v>
      </c>
      <c r="T44" s="101">
        <v>0.0</v>
      </c>
      <c r="U44" s="101">
        <v>0.0</v>
      </c>
      <c r="V44" s="101">
        <v>0.0</v>
      </c>
      <c r="W44" s="101">
        <v>0.0</v>
      </c>
      <c r="X44" s="101">
        <v>0.0</v>
      </c>
    </row>
    <row r="45" ht="15.75" customHeight="1">
      <c r="A45" s="101">
        <v>7.0</v>
      </c>
      <c r="B45" s="101" t="s">
        <v>122</v>
      </c>
      <c r="C45" s="101">
        <v>12.0</v>
      </c>
      <c r="D45" s="102">
        <v>66.0</v>
      </c>
      <c r="E45" s="129">
        <v>0.0</v>
      </c>
      <c r="F45" s="101">
        <v>0.0</v>
      </c>
      <c r="G45" s="101">
        <v>0.0</v>
      </c>
      <c r="H45" s="101">
        <v>0.0</v>
      </c>
      <c r="I45" s="101">
        <v>0.0</v>
      </c>
      <c r="J45" s="101">
        <v>0.0</v>
      </c>
      <c r="K45" s="101">
        <v>0.0</v>
      </c>
      <c r="L45" s="101">
        <v>0.0</v>
      </c>
      <c r="M45" s="101">
        <v>0.0</v>
      </c>
      <c r="N45" s="101">
        <v>0.0</v>
      </c>
      <c r="O45" s="101">
        <v>15.0</v>
      </c>
      <c r="P45" s="101">
        <v>0.0</v>
      </c>
      <c r="Q45" s="101">
        <v>0.0</v>
      </c>
      <c r="R45" s="101">
        <v>0.0</v>
      </c>
      <c r="S45" s="101">
        <v>0.0</v>
      </c>
      <c r="T45" s="101">
        <v>0.0</v>
      </c>
      <c r="U45" s="101">
        <v>0.0</v>
      </c>
      <c r="V45" s="101">
        <v>0.0</v>
      </c>
      <c r="W45" s="101">
        <v>0.0</v>
      </c>
      <c r="X45" s="101">
        <v>0.0</v>
      </c>
    </row>
    <row r="46" ht="15.75" customHeight="1">
      <c r="A46" s="101">
        <v>7.0</v>
      </c>
      <c r="B46" s="101" t="s">
        <v>123</v>
      </c>
      <c r="C46" s="101">
        <v>12.0</v>
      </c>
      <c r="D46" s="102">
        <v>66.0</v>
      </c>
      <c r="E46" s="129">
        <v>0.0</v>
      </c>
      <c r="F46" s="101">
        <v>0.0</v>
      </c>
      <c r="G46" s="101">
        <v>0.0</v>
      </c>
      <c r="H46" s="101">
        <v>1.0</v>
      </c>
      <c r="I46" s="101">
        <v>0.0</v>
      </c>
      <c r="J46" s="101">
        <v>0.0</v>
      </c>
      <c r="K46" s="101">
        <v>0.0</v>
      </c>
      <c r="L46" s="101">
        <v>0.0</v>
      </c>
      <c r="M46" s="101">
        <v>0.0</v>
      </c>
      <c r="N46" s="101">
        <v>0.0</v>
      </c>
      <c r="O46" s="101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1">
        <v>0.0</v>
      </c>
      <c r="V46" s="101">
        <v>0.0</v>
      </c>
      <c r="W46" s="101">
        <v>0.0</v>
      </c>
      <c r="X46" s="101">
        <v>0.0</v>
      </c>
    </row>
    <row r="47" ht="15.75" customHeight="1">
      <c r="A47" s="101">
        <v>7.0</v>
      </c>
      <c r="B47" s="101" t="s">
        <v>124</v>
      </c>
      <c r="C47" s="101">
        <v>12.0</v>
      </c>
      <c r="D47" s="102">
        <v>66.0</v>
      </c>
      <c r="E47" s="129">
        <v>0.0</v>
      </c>
      <c r="F47" s="101">
        <v>30.0</v>
      </c>
      <c r="G47" s="101">
        <v>0.0</v>
      </c>
      <c r="H47" s="101">
        <v>0.0</v>
      </c>
      <c r="I47" s="101">
        <v>0.0</v>
      </c>
      <c r="J47" s="101">
        <v>0.0</v>
      </c>
      <c r="K47" s="101">
        <v>0.0</v>
      </c>
      <c r="L47" s="101">
        <v>0.0</v>
      </c>
      <c r="M47" s="101">
        <v>0.0</v>
      </c>
      <c r="N47" s="101">
        <v>0.0</v>
      </c>
      <c r="O47" s="101">
        <v>0.0</v>
      </c>
      <c r="P47" s="101">
        <v>0.0</v>
      </c>
      <c r="Q47" s="101">
        <v>0.0</v>
      </c>
      <c r="R47" s="101">
        <v>0.0</v>
      </c>
      <c r="S47" s="101">
        <v>0.0</v>
      </c>
      <c r="T47" s="101">
        <v>0.0</v>
      </c>
      <c r="U47" s="101">
        <v>0.0</v>
      </c>
      <c r="V47" s="101">
        <v>0.0</v>
      </c>
      <c r="W47" s="101">
        <v>0.0</v>
      </c>
      <c r="X47" s="101">
        <v>0.0</v>
      </c>
    </row>
    <row r="48" ht="15.75" customHeight="1">
      <c r="A48" s="101">
        <v>7.0</v>
      </c>
      <c r="B48" s="101" t="s">
        <v>125</v>
      </c>
      <c r="C48" s="101">
        <v>12.0</v>
      </c>
      <c r="D48" s="102">
        <v>66.0</v>
      </c>
      <c r="E48" s="129">
        <v>0.0</v>
      </c>
      <c r="F48" s="101">
        <v>0.0</v>
      </c>
      <c r="G48" s="101">
        <v>15.0</v>
      </c>
      <c r="H48" s="101">
        <v>0.0</v>
      </c>
      <c r="I48" s="101">
        <v>0.0</v>
      </c>
      <c r="J48" s="101">
        <v>0.0</v>
      </c>
      <c r="K48" s="101">
        <v>0.0</v>
      </c>
      <c r="L48" s="101">
        <v>0.0</v>
      </c>
      <c r="M48" s="101">
        <v>0.0</v>
      </c>
      <c r="N48" s="101">
        <v>0.0</v>
      </c>
      <c r="O48" s="101">
        <v>0.0</v>
      </c>
      <c r="P48" s="101">
        <v>0.0</v>
      </c>
      <c r="Q48" s="101">
        <v>0.0</v>
      </c>
      <c r="R48" s="101">
        <v>0.0</v>
      </c>
      <c r="S48" s="101">
        <v>0.0</v>
      </c>
      <c r="T48" s="101">
        <v>0.0</v>
      </c>
      <c r="U48" s="101">
        <v>0.0</v>
      </c>
      <c r="V48" s="101">
        <v>0.0</v>
      </c>
      <c r="W48" s="101">
        <v>0.0</v>
      </c>
      <c r="X48" s="101">
        <v>0.0</v>
      </c>
    </row>
    <row r="49" ht="15.75" customHeight="1">
      <c r="A49" s="101">
        <v>8.0</v>
      </c>
      <c r="B49" s="101" t="s">
        <v>121</v>
      </c>
      <c r="C49" s="101">
        <v>15.0</v>
      </c>
      <c r="D49" s="102">
        <v>81.0</v>
      </c>
      <c r="E49" s="129">
        <v>0.0</v>
      </c>
      <c r="F49" s="101">
        <v>0.0</v>
      </c>
      <c r="G49" s="101">
        <v>0.0</v>
      </c>
      <c r="H49" s="101">
        <v>0.0</v>
      </c>
      <c r="I49" s="101">
        <v>0.0</v>
      </c>
      <c r="J49" s="101">
        <v>1.0</v>
      </c>
      <c r="K49" s="101">
        <v>0.0</v>
      </c>
      <c r="L49" s="101">
        <v>0.0</v>
      </c>
      <c r="M49" s="101">
        <v>0.0</v>
      </c>
      <c r="N49" s="101">
        <v>30.0</v>
      </c>
      <c r="O49" s="101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1">
        <v>0.0</v>
      </c>
      <c r="V49" s="101">
        <v>0.0</v>
      </c>
      <c r="W49" s="101">
        <v>0.0</v>
      </c>
      <c r="X49" s="101">
        <v>0.0</v>
      </c>
    </row>
    <row r="50" ht="15.75" customHeight="1">
      <c r="A50" s="101">
        <v>8.0</v>
      </c>
      <c r="B50" s="101" t="s">
        <v>122</v>
      </c>
      <c r="C50" s="101">
        <v>15.0</v>
      </c>
      <c r="D50" s="102">
        <v>81.0</v>
      </c>
      <c r="E50" s="129">
        <v>0.0</v>
      </c>
      <c r="F50" s="101">
        <v>0.0</v>
      </c>
      <c r="G50" s="101">
        <v>0.0</v>
      </c>
      <c r="H50" s="101">
        <v>0.0</v>
      </c>
      <c r="I50" s="101">
        <v>0.0</v>
      </c>
      <c r="J50" s="101">
        <v>0.0</v>
      </c>
      <c r="K50" s="101">
        <v>0.0</v>
      </c>
      <c r="L50" s="101">
        <v>0.0</v>
      </c>
      <c r="M50" s="101">
        <v>1.0</v>
      </c>
      <c r="N50" s="101">
        <v>0.0</v>
      </c>
      <c r="O50" s="101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  <c r="W50" s="101">
        <v>0.0</v>
      </c>
      <c r="X50" s="101">
        <v>0.0</v>
      </c>
    </row>
    <row r="51" ht="15.75" customHeight="1">
      <c r="A51" s="101">
        <v>8.0</v>
      </c>
      <c r="B51" s="101" t="s">
        <v>123</v>
      </c>
      <c r="C51" s="101">
        <v>15.0</v>
      </c>
      <c r="D51" s="102">
        <v>81.0</v>
      </c>
      <c r="E51" s="129">
        <v>0.0</v>
      </c>
      <c r="F51" s="101">
        <v>0.0</v>
      </c>
      <c r="G51" s="101">
        <v>0.0</v>
      </c>
      <c r="H51" s="101">
        <v>0.0</v>
      </c>
      <c r="I51" s="101">
        <v>0.0</v>
      </c>
      <c r="J51" s="101">
        <v>0.0</v>
      </c>
      <c r="K51" s="101">
        <v>0.0</v>
      </c>
      <c r="L51" s="101">
        <v>0.0</v>
      </c>
      <c r="M51" s="101">
        <v>0.0</v>
      </c>
      <c r="N51" s="101">
        <v>0.0</v>
      </c>
      <c r="O51" s="101">
        <v>0.0</v>
      </c>
      <c r="P51" s="101">
        <v>15.0</v>
      </c>
      <c r="Q51" s="101">
        <v>0.0</v>
      </c>
      <c r="R51" s="101">
        <v>0.0</v>
      </c>
      <c r="S51" s="101">
        <v>0.0</v>
      </c>
      <c r="T51" s="101">
        <v>0.0</v>
      </c>
      <c r="U51" s="101">
        <v>0.0</v>
      </c>
      <c r="V51" s="101">
        <v>0.0</v>
      </c>
      <c r="W51" s="101">
        <v>0.0</v>
      </c>
      <c r="X51" s="101">
        <v>0.0</v>
      </c>
    </row>
    <row r="52" ht="15.75" customHeight="1">
      <c r="A52" s="101">
        <v>8.0</v>
      </c>
      <c r="B52" s="101" t="s">
        <v>124</v>
      </c>
      <c r="C52" s="101">
        <v>15.0</v>
      </c>
      <c r="D52" s="102">
        <v>81.0</v>
      </c>
      <c r="E52" s="129">
        <v>0.0</v>
      </c>
      <c r="F52" s="101">
        <v>0.0</v>
      </c>
      <c r="G52" s="101">
        <v>0.0</v>
      </c>
      <c r="H52" s="101">
        <v>0.0</v>
      </c>
      <c r="I52" s="101">
        <v>1.0</v>
      </c>
      <c r="J52" s="101">
        <v>0.0</v>
      </c>
      <c r="K52" s="101">
        <v>0.0</v>
      </c>
      <c r="L52" s="101">
        <v>0.0</v>
      </c>
      <c r="M52" s="101">
        <v>0.0</v>
      </c>
      <c r="N52" s="101">
        <v>0.0</v>
      </c>
      <c r="O52" s="101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1">
        <v>0.0</v>
      </c>
      <c r="V52" s="101">
        <v>0.0</v>
      </c>
      <c r="W52" s="101">
        <v>0.0</v>
      </c>
      <c r="X52" s="101">
        <v>0.0</v>
      </c>
    </row>
    <row r="53" ht="15.75" customHeight="1">
      <c r="A53" s="101">
        <v>8.0</v>
      </c>
      <c r="B53" s="101" t="s">
        <v>125</v>
      </c>
      <c r="C53" s="101">
        <v>15.0</v>
      </c>
      <c r="D53" s="102">
        <v>81.0</v>
      </c>
      <c r="E53" s="129">
        <v>0.0</v>
      </c>
      <c r="F53" s="101">
        <v>0.0</v>
      </c>
      <c r="G53" s="101">
        <v>0.0</v>
      </c>
      <c r="H53" s="101">
        <v>1.0</v>
      </c>
      <c r="I53" s="101">
        <v>0.0</v>
      </c>
      <c r="J53" s="101">
        <v>0.0</v>
      </c>
      <c r="K53" s="101">
        <v>0.0</v>
      </c>
      <c r="L53" s="101">
        <v>0.0</v>
      </c>
      <c r="M53" s="101">
        <v>0.0</v>
      </c>
      <c r="N53" s="101">
        <v>0.0</v>
      </c>
      <c r="O53" s="101">
        <v>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1">
        <v>0.0</v>
      </c>
      <c r="V53" s="101">
        <v>0.0</v>
      </c>
      <c r="W53" s="101">
        <v>0.0</v>
      </c>
      <c r="X53" s="101">
        <v>0.0</v>
      </c>
    </row>
    <row r="54" ht="15.75" customHeight="1">
      <c r="A54" s="101">
        <v>9.0</v>
      </c>
      <c r="B54" s="101" t="s">
        <v>121</v>
      </c>
      <c r="C54" s="101">
        <v>17.0</v>
      </c>
      <c r="D54" s="102">
        <v>98.0</v>
      </c>
      <c r="E54" s="129">
        <v>70.0</v>
      </c>
      <c r="F54" s="101">
        <v>30.0</v>
      </c>
      <c r="G54" s="101">
        <v>0.0</v>
      </c>
      <c r="H54" s="101">
        <v>1.0</v>
      </c>
      <c r="I54" s="101">
        <v>0.0</v>
      </c>
      <c r="J54" s="101">
        <v>0.0</v>
      </c>
      <c r="K54" s="101">
        <v>0.0</v>
      </c>
      <c r="L54" s="101">
        <v>0.0</v>
      </c>
      <c r="M54" s="101">
        <v>0.0</v>
      </c>
      <c r="N54" s="101">
        <v>0.0</v>
      </c>
      <c r="O54" s="101">
        <v>0.0</v>
      </c>
      <c r="P54" s="101">
        <v>0.0</v>
      </c>
      <c r="Q54" s="101">
        <v>0.0</v>
      </c>
      <c r="R54" s="101">
        <v>0.0</v>
      </c>
      <c r="S54" s="101">
        <v>0.0</v>
      </c>
      <c r="T54" s="101">
        <v>0.0</v>
      </c>
      <c r="U54" s="101">
        <v>0.0</v>
      </c>
      <c r="V54" s="101">
        <v>0.0</v>
      </c>
      <c r="W54" s="101">
        <v>0.0</v>
      </c>
      <c r="X54" s="101">
        <v>0.0</v>
      </c>
    </row>
    <row r="55" ht="15.75" customHeight="1">
      <c r="A55" s="101">
        <v>9.0</v>
      </c>
      <c r="B55" s="101" t="s">
        <v>122</v>
      </c>
      <c r="C55" s="101">
        <v>17.0</v>
      </c>
      <c r="D55" s="102">
        <v>98.0</v>
      </c>
      <c r="E55" s="129">
        <v>0.0</v>
      </c>
      <c r="F55" s="101">
        <v>0.0</v>
      </c>
      <c r="G55" s="101">
        <v>0.0</v>
      </c>
      <c r="H55" s="101">
        <v>0.0</v>
      </c>
      <c r="I55" s="101">
        <v>0.0</v>
      </c>
      <c r="J55" s="101">
        <v>0.0</v>
      </c>
      <c r="K55" s="101">
        <v>1.0</v>
      </c>
      <c r="L55" s="101">
        <v>0.0</v>
      </c>
      <c r="M55" s="101">
        <v>0.0</v>
      </c>
      <c r="N55" s="101">
        <v>0.0</v>
      </c>
      <c r="O55" s="101">
        <v>0.0</v>
      </c>
      <c r="P55" s="101">
        <v>0.0</v>
      </c>
      <c r="Q55" s="101">
        <v>15.0</v>
      </c>
      <c r="R55" s="101">
        <v>0.0</v>
      </c>
      <c r="S55" s="101">
        <v>0.0</v>
      </c>
      <c r="T55" s="101">
        <v>0.0</v>
      </c>
      <c r="U55" s="101">
        <v>0.0</v>
      </c>
      <c r="V55" s="101">
        <v>0.0</v>
      </c>
      <c r="W55" s="101">
        <v>0.0</v>
      </c>
      <c r="X55" s="101">
        <v>0.0</v>
      </c>
    </row>
    <row r="56" ht="15.75" customHeight="1">
      <c r="A56" s="101">
        <v>9.0</v>
      </c>
      <c r="B56" s="101" t="s">
        <v>123</v>
      </c>
      <c r="C56" s="101">
        <v>17.0</v>
      </c>
      <c r="D56" s="102">
        <v>98.0</v>
      </c>
      <c r="E56" s="129">
        <v>0.0</v>
      </c>
      <c r="F56" s="101">
        <v>0.0</v>
      </c>
      <c r="G56" s="101">
        <v>0.0</v>
      </c>
      <c r="H56" s="101">
        <v>0.0</v>
      </c>
      <c r="I56" s="101">
        <v>0.0</v>
      </c>
      <c r="J56" s="101">
        <v>0.0</v>
      </c>
      <c r="K56" s="101">
        <v>0.0</v>
      </c>
      <c r="L56" s="101">
        <v>0.0</v>
      </c>
      <c r="M56" s="101">
        <v>0.0</v>
      </c>
      <c r="N56" s="101">
        <v>0.0</v>
      </c>
      <c r="O56" s="101">
        <v>0.0</v>
      </c>
      <c r="P56" s="101">
        <v>15.0</v>
      </c>
      <c r="Q56" s="101">
        <v>0.0</v>
      </c>
      <c r="R56" s="101">
        <v>0.0</v>
      </c>
      <c r="S56" s="101">
        <v>0.0</v>
      </c>
      <c r="T56" s="101">
        <v>0.0</v>
      </c>
      <c r="U56" s="101">
        <v>0.0</v>
      </c>
      <c r="V56" s="101">
        <v>0.0</v>
      </c>
      <c r="W56" s="101">
        <v>0.0</v>
      </c>
      <c r="X56" s="101">
        <v>0.0</v>
      </c>
    </row>
    <row r="57" ht="15.75" customHeight="1">
      <c r="A57" s="101">
        <v>9.0</v>
      </c>
      <c r="B57" s="101" t="s">
        <v>124</v>
      </c>
      <c r="C57" s="101">
        <v>17.0</v>
      </c>
      <c r="D57" s="102">
        <v>98.0</v>
      </c>
      <c r="E57" s="129">
        <v>0.0</v>
      </c>
      <c r="F57" s="101">
        <v>0.0</v>
      </c>
      <c r="G57" s="101">
        <v>0.0</v>
      </c>
      <c r="H57" s="101">
        <v>0.0</v>
      </c>
      <c r="I57" s="101">
        <v>0.0</v>
      </c>
      <c r="J57" s="101">
        <v>0.0</v>
      </c>
      <c r="K57" s="101">
        <v>0.0</v>
      </c>
      <c r="L57" s="101">
        <v>0.0</v>
      </c>
      <c r="M57" s="101">
        <v>0.0</v>
      </c>
      <c r="N57" s="101">
        <v>0.0</v>
      </c>
      <c r="O57" s="101">
        <v>15.0</v>
      </c>
      <c r="P57" s="101">
        <v>0.0</v>
      </c>
      <c r="Q57" s="101">
        <v>0.0</v>
      </c>
      <c r="R57" s="101">
        <v>0.0</v>
      </c>
      <c r="S57" s="101">
        <v>0.0</v>
      </c>
      <c r="T57" s="101">
        <v>0.0</v>
      </c>
      <c r="U57" s="101">
        <v>0.0</v>
      </c>
      <c r="V57" s="101">
        <v>0.0</v>
      </c>
      <c r="W57" s="101">
        <v>0.0</v>
      </c>
      <c r="X57" s="101">
        <v>0.0</v>
      </c>
    </row>
    <row r="58" ht="15.75" customHeight="1">
      <c r="A58" s="101">
        <v>9.0</v>
      </c>
      <c r="B58" s="101" t="s">
        <v>125</v>
      </c>
      <c r="C58" s="101">
        <v>17.0</v>
      </c>
      <c r="D58" s="102">
        <v>98.0</v>
      </c>
      <c r="E58" s="129">
        <v>0.0</v>
      </c>
      <c r="F58" s="101">
        <v>0.0</v>
      </c>
      <c r="G58" s="101">
        <v>15.0</v>
      </c>
      <c r="H58" s="101">
        <v>0.0</v>
      </c>
      <c r="I58" s="101">
        <v>0.0</v>
      </c>
      <c r="J58" s="101">
        <v>0.0</v>
      </c>
      <c r="K58" s="101">
        <v>0.0</v>
      </c>
      <c r="L58" s="101">
        <v>0.0</v>
      </c>
      <c r="M58" s="101">
        <v>0.0</v>
      </c>
      <c r="N58" s="101">
        <v>0.0</v>
      </c>
      <c r="O58" s="101">
        <v>0.0</v>
      </c>
      <c r="P58" s="101">
        <v>0.0</v>
      </c>
      <c r="Q58" s="101">
        <v>0.0</v>
      </c>
      <c r="R58" s="101">
        <v>0.0</v>
      </c>
      <c r="S58" s="101">
        <v>0.0</v>
      </c>
      <c r="T58" s="101">
        <v>0.0</v>
      </c>
      <c r="U58" s="101">
        <v>0.0</v>
      </c>
      <c r="V58" s="101">
        <v>0.0</v>
      </c>
      <c r="W58" s="101">
        <v>0.0</v>
      </c>
      <c r="X58" s="101">
        <v>0.0</v>
      </c>
    </row>
    <row r="59" ht="15.75" customHeight="1">
      <c r="A59" s="101">
        <v>10.0</v>
      </c>
      <c r="B59" s="101" t="s">
        <v>121</v>
      </c>
      <c r="C59" s="101">
        <v>8.0</v>
      </c>
      <c r="D59" s="102">
        <v>106.0</v>
      </c>
      <c r="E59" s="129">
        <v>0.0</v>
      </c>
      <c r="F59" s="101">
        <v>0.0</v>
      </c>
      <c r="G59" s="101">
        <v>0.0</v>
      </c>
      <c r="H59" s="101">
        <v>0.0</v>
      </c>
      <c r="I59" s="101">
        <v>0.0</v>
      </c>
      <c r="J59" s="101">
        <v>0.0</v>
      </c>
      <c r="K59" s="101">
        <v>0.0</v>
      </c>
      <c r="L59" s="101">
        <v>0.0</v>
      </c>
      <c r="M59" s="101">
        <v>0.0</v>
      </c>
      <c r="N59" s="101">
        <v>0.0</v>
      </c>
      <c r="O59" s="101">
        <v>20.0</v>
      </c>
      <c r="P59" s="101">
        <v>0.0</v>
      </c>
      <c r="Q59" s="101">
        <v>0.0</v>
      </c>
      <c r="R59" s="101">
        <v>0.0</v>
      </c>
      <c r="S59" s="101">
        <v>0.0</v>
      </c>
      <c r="T59" s="101">
        <v>0.0</v>
      </c>
      <c r="U59" s="101">
        <v>0.0</v>
      </c>
      <c r="V59" s="101">
        <v>0.0</v>
      </c>
      <c r="W59" s="101">
        <v>0.0</v>
      </c>
      <c r="X59" s="101">
        <v>0.0</v>
      </c>
    </row>
    <row r="60" ht="15.75" customHeight="1">
      <c r="A60" s="101">
        <v>10.0</v>
      </c>
      <c r="B60" s="101" t="s">
        <v>122</v>
      </c>
      <c r="C60" s="101">
        <v>8.0</v>
      </c>
      <c r="D60" s="102">
        <v>106.0</v>
      </c>
      <c r="E60" s="129">
        <v>0.0</v>
      </c>
      <c r="F60" s="101">
        <v>0.0</v>
      </c>
      <c r="G60" s="101">
        <v>0.0</v>
      </c>
      <c r="H60" s="101">
        <v>0.0</v>
      </c>
      <c r="I60" s="101">
        <v>0.0</v>
      </c>
      <c r="J60" s="101">
        <v>0.0</v>
      </c>
      <c r="K60" s="101">
        <v>0.0</v>
      </c>
      <c r="L60" s="101">
        <v>0.0</v>
      </c>
      <c r="M60" s="101">
        <v>0.0</v>
      </c>
      <c r="N60" s="101">
        <v>15.0</v>
      </c>
      <c r="O60" s="101">
        <v>0.0</v>
      </c>
      <c r="P60" s="101">
        <v>0.0</v>
      </c>
      <c r="Q60" s="101">
        <v>0.0</v>
      </c>
      <c r="R60" s="101">
        <v>0.0</v>
      </c>
      <c r="S60" s="101">
        <v>0.0</v>
      </c>
      <c r="T60" s="101">
        <v>0.0</v>
      </c>
      <c r="U60" s="101">
        <v>0.0</v>
      </c>
      <c r="V60" s="101">
        <v>0.0</v>
      </c>
      <c r="W60" s="101">
        <v>0.0</v>
      </c>
      <c r="X60" s="101">
        <v>0.0</v>
      </c>
    </row>
    <row r="61" ht="15.75" customHeight="1">
      <c r="A61" s="101">
        <v>10.0</v>
      </c>
      <c r="B61" s="101" t="s">
        <v>123</v>
      </c>
      <c r="C61" s="101">
        <v>8.0</v>
      </c>
      <c r="D61" s="102">
        <v>106.0</v>
      </c>
      <c r="E61" s="129">
        <v>0.0</v>
      </c>
      <c r="F61" s="101">
        <v>0.0</v>
      </c>
      <c r="G61" s="101">
        <v>0.0</v>
      </c>
      <c r="H61" s="101">
        <v>0.0</v>
      </c>
      <c r="I61" s="101">
        <v>0.0</v>
      </c>
      <c r="J61" s="101">
        <v>1.0</v>
      </c>
      <c r="K61" s="101">
        <v>0.0</v>
      </c>
      <c r="L61" s="101">
        <v>0.0</v>
      </c>
      <c r="M61" s="101">
        <v>0.0</v>
      </c>
      <c r="N61" s="101">
        <v>0.0</v>
      </c>
      <c r="O61" s="101">
        <v>0.0</v>
      </c>
      <c r="P61" s="101">
        <v>0.0</v>
      </c>
      <c r="Q61" s="101">
        <v>0.0</v>
      </c>
      <c r="R61" s="101">
        <v>0.0</v>
      </c>
      <c r="S61" s="101">
        <v>0.0</v>
      </c>
      <c r="T61" s="101">
        <v>0.0</v>
      </c>
      <c r="U61" s="101">
        <v>0.0</v>
      </c>
      <c r="V61" s="101">
        <v>0.0</v>
      </c>
      <c r="W61" s="101">
        <v>0.0</v>
      </c>
      <c r="X61" s="101">
        <v>0.0</v>
      </c>
    </row>
    <row r="62" ht="15.75" customHeight="1">
      <c r="A62" s="101">
        <v>10.0</v>
      </c>
      <c r="B62" s="101" t="s">
        <v>124</v>
      </c>
      <c r="C62" s="101">
        <v>8.0</v>
      </c>
      <c r="D62" s="102">
        <v>106.0</v>
      </c>
      <c r="E62" s="129">
        <v>0.0</v>
      </c>
      <c r="F62" s="101">
        <v>0.0</v>
      </c>
      <c r="G62" s="101">
        <v>0.0</v>
      </c>
      <c r="H62" s="101">
        <v>0.0</v>
      </c>
      <c r="I62" s="101">
        <v>1.0</v>
      </c>
      <c r="J62" s="101">
        <v>0.0</v>
      </c>
      <c r="K62" s="101">
        <v>0.0</v>
      </c>
      <c r="L62" s="101">
        <v>0.0</v>
      </c>
      <c r="M62" s="101">
        <v>0.0</v>
      </c>
      <c r="N62" s="101">
        <v>0.0</v>
      </c>
      <c r="O62" s="101">
        <v>0.0</v>
      </c>
      <c r="P62" s="101">
        <v>0.0</v>
      </c>
      <c r="Q62" s="101">
        <v>0.0</v>
      </c>
      <c r="R62" s="101">
        <v>0.0</v>
      </c>
      <c r="S62" s="101">
        <v>0.0</v>
      </c>
      <c r="T62" s="101">
        <v>0.0</v>
      </c>
      <c r="U62" s="101">
        <v>0.0</v>
      </c>
      <c r="V62" s="101">
        <v>0.0</v>
      </c>
      <c r="W62" s="101">
        <v>0.0</v>
      </c>
      <c r="X62" s="101">
        <v>0.0</v>
      </c>
    </row>
    <row r="63" ht="15.75" customHeight="1">
      <c r="A63" s="101">
        <v>10.0</v>
      </c>
      <c r="B63" s="101" t="s">
        <v>125</v>
      </c>
      <c r="C63" s="101">
        <v>8.0</v>
      </c>
      <c r="D63" s="102">
        <v>106.0</v>
      </c>
      <c r="E63" s="129">
        <v>0.0</v>
      </c>
      <c r="F63" s="101">
        <v>0.0</v>
      </c>
      <c r="G63" s="101">
        <v>0.0</v>
      </c>
      <c r="H63" s="101">
        <v>1.0</v>
      </c>
      <c r="I63" s="101">
        <v>0.0</v>
      </c>
      <c r="J63" s="101">
        <v>0.0</v>
      </c>
      <c r="K63" s="101">
        <v>0.0</v>
      </c>
      <c r="L63" s="101">
        <v>0.0</v>
      </c>
      <c r="M63" s="101">
        <v>0.0</v>
      </c>
      <c r="N63" s="101">
        <v>0.0</v>
      </c>
      <c r="O63" s="101">
        <v>0.0</v>
      </c>
      <c r="P63" s="101">
        <v>0.0</v>
      </c>
      <c r="Q63" s="101">
        <v>0.0</v>
      </c>
      <c r="R63" s="101">
        <v>0.0</v>
      </c>
      <c r="S63" s="101">
        <v>0.0</v>
      </c>
      <c r="T63" s="101">
        <v>0.0</v>
      </c>
      <c r="U63" s="101">
        <v>0.0</v>
      </c>
      <c r="V63" s="101">
        <v>0.0</v>
      </c>
      <c r="W63" s="101">
        <v>0.0</v>
      </c>
      <c r="X63" s="101">
        <v>0.0</v>
      </c>
    </row>
    <row r="64" ht="15.75" customHeight="1">
      <c r="A64" s="101">
        <v>11.0</v>
      </c>
      <c r="B64" s="101" t="s">
        <v>121</v>
      </c>
      <c r="C64" s="101">
        <v>10.0</v>
      </c>
      <c r="D64" s="102">
        <v>116.0</v>
      </c>
      <c r="E64" s="129">
        <v>0.0</v>
      </c>
      <c r="F64" s="101">
        <v>0.0</v>
      </c>
      <c r="G64" s="101">
        <v>0.0</v>
      </c>
      <c r="H64" s="101">
        <v>0.0</v>
      </c>
      <c r="I64" s="101">
        <v>0.0</v>
      </c>
      <c r="J64" s="101">
        <v>0.0</v>
      </c>
      <c r="K64" s="101">
        <v>0.0</v>
      </c>
      <c r="L64" s="101">
        <v>0.0</v>
      </c>
      <c r="M64" s="101">
        <v>0.0</v>
      </c>
      <c r="N64" s="101">
        <v>15.0</v>
      </c>
      <c r="O64" s="101">
        <v>0.0</v>
      </c>
      <c r="P64" s="101">
        <v>0.0</v>
      </c>
      <c r="Q64" s="101">
        <v>0.0</v>
      </c>
      <c r="R64" s="101">
        <v>0.0</v>
      </c>
      <c r="S64" s="101">
        <v>0.0</v>
      </c>
      <c r="T64" s="101">
        <v>0.0</v>
      </c>
      <c r="U64" s="101">
        <v>0.0</v>
      </c>
      <c r="V64" s="101">
        <v>0.0</v>
      </c>
      <c r="W64" s="101">
        <v>0.0</v>
      </c>
      <c r="X64" s="101">
        <v>0.0</v>
      </c>
    </row>
    <row r="65" ht="15.75" customHeight="1">
      <c r="A65" s="101">
        <v>11.0</v>
      </c>
      <c r="B65" s="101" t="s">
        <v>122</v>
      </c>
      <c r="C65" s="101">
        <v>10.0</v>
      </c>
      <c r="D65" s="102">
        <v>116.0</v>
      </c>
      <c r="E65" s="129">
        <v>0.0</v>
      </c>
      <c r="F65" s="101">
        <v>0.0</v>
      </c>
      <c r="G65" s="101">
        <v>0.0</v>
      </c>
      <c r="H65" s="101">
        <v>0.0</v>
      </c>
      <c r="I65" s="101">
        <v>0.0</v>
      </c>
      <c r="J65" s="101">
        <v>0.0</v>
      </c>
      <c r="K65" s="101">
        <v>0.0</v>
      </c>
      <c r="L65" s="101">
        <v>0.0</v>
      </c>
      <c r="M65" s="101">
        <v>0.0</v>
      </c>
      <c r="N65" s="101">
        <v>0.0</v>
      </c>
      <c r="O65" s="101">
        <v>0.0</v>
      </c>
      <c r="P65" s="101">
        <v>10.0</v>
      </c>
      <c r="Q65" s="101">
        <v>0.0</v>
      </c>
      <c r="R65" s="101">
        <v>0.0</v>
      </c>
      <c r="S65" s="101">
        <v>0.0</v>
      </c>
      <c r="T65" s="101">
        <v>0.0</v>
      </c>
      <c r="U65" s="101">
        <v>0.0</v>
      </c>
      <c r="V65" s="101">
        <v>0.0</v>
      </c>
      <c r="W65" s="101">
        <v>0.0</v>
      </c>
      <c r="X65" s="101">
        <v>0.0</v>
      </c>
    </row>
    <row r="66" ht="15.75" customHeight="1">
      <c r="A66" s="101">
        <v>11.0</v>
      </c>
      <c r="B66" s="101" t="s">
        <v>123</v>
      </c>
      <c r="C66" s="101">
        <v>10.0</v>
      </c>
      <c r="D66" s="102">
        <v>116.0</v>
      </c>
      <c r="E66" s="129">
        <v>0.0</v>
      </c>
      <c r="F66" s="101">
        <v>0.0</v>
      </c>
      <c r="G66" s="101">
        <v>0.0</v>
      </c>
      <c r="H66" s="101">
        <v>0.0</v>
      </c>
      <c r="I66" s="101">
        <v>0.0</v>
      </c>
      <c r="J66" s="101">
        <v>0.0</v>
      </c>
      <c r="K66" s="101">
        <v>1.0</v>
      </c>
      <c r="L66" s="101">
        <v>0.0</v>
      </c>
      <c r="M66" s="101">
        <v>0.0</v>
      </c>
      <c r="N66" s="101">
        <v>0.0</v>
      </c>
      <c r="O66" s="101">
        <v>0.0</v>
      </c>
      <c r="P66" s="101">
        <v>0.0</v>
      </c>
      <c r="Q66" s="101">
        <v>0.0</v>
      </c>
      <c r="R66" s="101">
        <v>0.0</v>
      </c>
      <c r="S66" s="101">
        <v>0.0</v>
      </c>
      <c r="T66" s="101">
        <v>0.0</v>
      </c>
      <c r="U66" s="101">
        <v>0.0</v>
      </c>
      <c r="V66" s="101">
        <v>0.0</v>
      </c>
      <c r="W66" s="101">
        <v>0.0</v>
      </c>
      <c r="X66" s="101">
        <v>0.0</v>
      </c>
    </row>
    <row r="67" ht="15.75" customHeight="1">
      <c r="A67" s="101">
        <v>11.0</v>
      </c>
      <c r="B67" s="101" t="s">
        <v>124</v>
      </c>
      <c r="C67" s="101">
        <v>10.0</v>
      </c>
      <c r="D67" s="102">
        <v>116.0</v>
      </c>
      <c r="E67" s="129">
        <v>0.0</v>
      </c>
      <c r="F67" s="101">
        <v>0.0</v>
      </c>
      <c r="G67" s="101">
        <v>0.0</v>
      </c>
      <c r="H67" s="101">
        <v>0.0</v>
      </c>
      <c r="I67" s="101">
        <v>0.0</v>
      </c>
      <c r="J67" s="101">
        <v>0.0</v>
      </c>
      <c r="K67" s="101">
        <v>0.0</v>
      </c>
      <c r="L67" s="101">
        <v>0.0</v>
      </c>
      <c r="M67" s="101">
        <v>0.0</v>
      </c>
      <c r="N67" s="101">
        <v>0.0</v>
      </c>
      <c r="O67" s="101">
        <v>10.0</v>
      </c>
      <c r="P67" s="101">
        <v>0.0</v>
      </c>
      <c r="Q67" s="101">
        <v>0.0</v>
      </c>
      <c r="R67" s="101">
        <v>0.0</v>
      </c>
      <c r="S67" s="101">
        <v>0.0</v>
      </c>
      <c r="T67" s="101">
        <v>0.0</v>
      </c>
      <c r="U67" s="101">
        <v>0.0</v>
      </c>
      <c r="V67" s="101">
        <v>0.0</v>
      </c>
      <c r="W67" s="101">
        <v>0.0</v>
      </c>
      <c r="X67" s="101">
        <v>0.0</v>
      </c>
    </row>
    <row r="68" ht="15.75" customHeight="1">
      <c r="A68" s="101">
        <v>11.0</v>
      </c>
      <c r="B68" s="101" t="s">
        <v>125</v>
      </c>
      <c r="C68" s="101">
        <v>10.0</v>
      </c>
      <c r="D68" s="102">
        <v>116.0</v>
      </c>
      <c r="E68" s="129">
        <v>0.0</v>
      </c>
      <c r="F68" s="101">
        <v>30.0</v>
      </c>
      <c r="G68" s="101">
        <v>0.0</v>
      </c>
      <c r="H68" s="101">
        <v>0.0</v>
      </c>
      <c r="I68" s="101">
        <v>0.0</v>
      </c>
      <c r="J68" s="101">
        <v>0.0</v>
      </c>
      <c r="K68" s="101">
        <v>0.0</v>
      </c>
      <c r="L68" s="101">
        <v>0.0</v>
      </c>
      <c r="M68" s="101">
        <v>0.0</v>
      </c>
      <c r="N68" s="101">
        <v>0.0</v>
      </c>
      <c r="O68" s="101">
        <v>0.0</v>
      </c>
      <c r="P68" s="101">
        <v>0.0</v>
      </c>
      <c r="Q68" s="101">
        <v>0.0</v>
      </c>
      <c r="R68" s="101">
        <v>0.0</v>
      </c>
      <c r="S68" s="101">
        <v>0.0</v>
      </c>
      <c r="T68" s="101">
        <v>0.0</v>
      </c>
      <c r="U68" s="101">
        <v>0.0</v>
      </c>
      <c r="V68" s="101">
        <v>0.0</v>
      </c>
      <c r="W68" s="101">
        <v>0.0</v>
      </c>
      <c r="X68" s="101">
        <v>0.0</v>
      </c>
    </row>
    <row r="69" ht="15.75" customHeight="1">
      <c r="A69" s="101">
        <v>12.0</v>
      </c>
      <c r="B69" s="101" t="s">
        <v>121</v>
      </c>
      <c r="C69" s="101">
        <v>12.0</v>
      </c>
      <c r="D69" s="102">
        <v>128.0</v>
      </c>
      <c r="E69" s="129">
        <v>0.0</v>
      </c>
      <c r="F69" s="101">
        <v>0.0</v>
      </c>
      <c r="G69" s="101">
        <v>0.0</v>
      </c>
      <c r="H69" s="101">
        <v>0.0</v>
      </c>
      <c r="I69" s="101">
        <v>0.0</v>
      </c>
      <c r="J69" s="101">
        <v>0.0</v>
      </c>
      <c r="K69" s="101">
        <v>0.0</v>
      </c>
      <c r="L69" s="101">
        <v>0.0</v>
      </c>
      <c r="M69" s="101">
        <v>1.0</v>
      </c>
      <c r="N69" s="101">
        <v>0.0</v>
      </c>
      <c r="O69" s="101">
        <v>0.0</v>
      </c>
      <c r="P69" s="101">
        <v>0.0</v>
      </c>
      <c r="Q69" s="101">
        <v>0.0</v>
      </c>
      <c r="R69" s="101">
        <v>0.0</v>
      </c>
      <c r="S69" s="101">
        <v>0.0</v>
      </c>
      <c r="T69" s="101">
        <v>0.0</v>
      </c>
      <c r="U69" s="101">
        <v>0.0</v>
      </c>
      <c r="V69" s="101">
        <v>0.0</v>
      </c>
      <c r="W69" s="101">
        <v>0.0</v>
      </c>
      <c r="X69" s="101">
        <v>0.0</v>
      </c>
    </row>
    <row r="70" ht="15.75" customHeight="1">
      <c r="A70" s="101">
        <v>12.0</v>
      </c>
      <c r="B70" s="101" t="s">
        <v>122</v>
      </c>
      <c r="C70" s="101">
        <v>12.0</v>
      </c>
      <c r="D70" s="102">
        <v>128.0</v>
      </c>
      <c r="E70" s="129">
        <v>0.0</v>
      </c>
      <c r="F70" s="101">
        <v>0.0</v>
      </c>
      <c r="G70" s="101">
        <v>0.0</v>
      </c>
      <c r="H70" s="101">
        <v>0.0</v>
      </c>
      <c r="I70" s="101">
        <v>0.0</v>
      </c>
      <c r="J70" s="101">
        <v>0.0</v>
      </c>
      <c r="K70" s="101">
        <v>0.0</v>
      </c>
      <c r="L70" s="101">
        <v>1.0</v>
      </c>
      <c r="M70" s="101">
        <v>0.0</v>
      </c>
      <c r="N70" s="101">
        <v>0.0</v>
      </c>
      <c r="O70" s="101">
        <v>0.0</v>
      </c>
      <c r="P70" s="101">
        <v>0.0</v>
      </c>
      <c r="Q70" s="101">
        <v>0.0</v>
      </c>
      <c r="R70" s="101">
        <v>0.0</v>
      </c>
      <c r="S70" s="101">
        <v>0.0</v>
      </c>
      <c r="T70" s="101">
        <v>0.0</v>
      </c>
      <c r="U70" s="101">
        <v>0.0</v>
      </c>
      <c r="V70" s="101">
        <v>0.0</v>
      </c>
      <c r="W70" s="101">
        <v>0.0</v>
      </c>
      <c r="X70" s="101">
        <v>0.0</v>
      </c>
    </row>
    <row r="71" ht="15.75" customHeight="1">
      <c r="A71" s="101">
        <v>12.0</v>
      </c>
      <c r="B71" s="101" t="s">
        <v>123</v>
      </c>
      <c r="C71" s="101">
        <v>12.0</v>
      </c>
      <c r="D71" s="102">
        <v>128.0</v>
      </c>
      <c r="E71" s="129">
        <v>0.0</v>
      </c>
      <c r="F71" s="101">
        <v>0.0</v>
      </c>
      <c r="G71" s="101">
        <v>0.0</v>
      </c>
      <c r="H71" s="101">
        <v>1.0</v>
      </c>
      <c r="I71" s="101">
        <v>0.0</v>
      </c>
      <c r="J71" s="101">
        <v>0.0</v>
      </c>
      <c r="K71" s="101">
        <v>0.0</v>
      </c>
      <c r="L71" s="101">
        <v>0.0</v>
      </c>
      <c r="M71" s="101">
        <v>0.0</v>
      </c>
      <c r="N71" s="101">
        <v>0.0</v>
      </c>
      <c r="O71" s="101">
        <v>0.0</v>
      </c>
      <c r="P71" s="101">
        <v>0.0</v>
      </c>
      <c r="Q71" s="101">
        <v>0.0</v>
      </c>
      <c r="R71" s="101">
        <v>0.0</v>
      </c>
      <c r="S71" s="101">
        <v>0.0</v>
      </c>
      <c r="T71" s="101">
        <v>0.0</v>
      </c>
      <c r="U71" s="101">
        <v>0.0</v>
      </c>
      <c r="V71" s="101">
        <v>0.0</v>
      </c>
      <c r="W71" s="101">
        <v>0.0</v>
      </c>
      <c r="X71" s="101">
        <v>0.0</v>
      </c>
    </row>
    <row r="72" ht="15.75" customHeight="1">
      <c r="A72" s="101">
        <v>12.0</v>
      </c>
      <c r="B72" s="101" t="s">
        <v>124</v>
      </c>
      <c r="C72" s="101">
        <v>12.0</v>
      </c>
      <c r="D72" s="102">
        <v>128.0</v>
      </c>
      <c r="E72" s="129">
        <v>0.0</v>
      </c>
      <c r="F72" s="101">
        <v>30.0</v>
      </c>
      <c r="G72" s="101">
        <v>0.0</v>
      </c>
      <c r="H72" s="101">
        <v>0.0</v>
      </c>
      <c r="I72" s="101">
        <v>0.0</v>
      </c>
      <c r="J72" s="101">
        <v>0.0</v>
      </c>
      <c r="K72" s="101">
        <v>0.0</v>
      </c>
      <c r="L72" s="101">
        <v>0.0</v>
      </c>
      <c r="M72" s="101">
        <v>0.0</v>
      </c>
      <c r="N72" s="101">
        <v>0.0</v>
      </c>
      <c r="O72" s="101">
        <v>0.0</v>
      </c>
      <c r="P72" s="101">
        <v>0.0</v>
      </c>
      <c r="Q72" s="101">
        <v>0.0</v>
      </c>
      <c r="R72" s="101">
        <v>0.0</v>
      </c>
      <c r="S72" s="101">
        <v>0.0</v>
      </c>
      <c r="T72" s="101">
        <v>0.0</v>
      </c>
      <c r="U72" s="101">
        <v>0.0</v>
      </c>
      <c r="V72" s="101">
        <v>0.0</v>
      </c>
      <c r="W72" s="101">
        <v>0.0</v>
      </c>
      <c r="X72" s="101">
        <v>0.0</v>
      </c>
    </row>
    <row r="73" ht="15.75" customHeight="1">
      <c r="A73" s="101">
        <v>12.0</v>
      </c>
      <c r="B73" s="101" t="s">
        <v>125</v>
      </c>
      <c r="C73" s="101">
        <v>12.0</v>
      </c>
      <c r="D73" s="102">
        <v>128.0</v>
      </c>
      <c r="E73" s="129">
        <v>0.0</v>
      </c>
      <c r="F73" s="101">
        <v>0.0</v>
      </c>
      <c r="G73" s="101">
        <v>15.0</v>
      </c>
      <c r="H73" s="101">
        <v>0.0</v>
      </c>
      <c r="I73" s="101">
        <v>0.0</v>
      </c>
      <c r="J73" s="101">
        <v>0.0</v>
      </c>
      <c r="K73" s="101">
        <v>0.0</v>
      </c>
      <c r="L73" s="101">
        <v>0.0</v>
      </c>
      <c r="M73" s="101">
        <v>0.0</v>
      </c>
      <c r="N73" s="101">
        <v>0.0</v>
      </c>
      <c r="O73" s="101">
        <v>0.0</v>
      </c>
      <c r="P73" s="101">
        <v>0.0</v>
      </c>
      <c r="Q73" s="101">
        <v>0.0</v>
      </c>
      <c r="R73" s="101">
        <v>0.0</v>
      </c>
      <c r="S73" s="101">
        <v>0.0</v>
      </c>
      <c r="T73" s="101">
        <v>0.0</v>
      </c>
      <c r="U73" s="101">
        <v>0.0</v>
      </c>
      <c r="V73" s="101">
        <v>0.0</v>
      </c>
      <c r="W73" s="101">
        <v>0.0</v>
      </c>
      <c r="X73" s="101">
        <v>0.0</v>
      </c>
    </row>
    <row r="74" ht="15.75" customHeight="1">
      <c r="A74" s="101">
        <v>13.0</v>
      </c>
      <c r="B74" s="101" t="s">
        <v>121</v>
      </c>
      <c r="C74" s="101">
        <v>15.0</v>
      </c>
      <c r="D74" s="102">
        <v>143.0</v>
      </c>
      <c r="E74" s="129">
        <v>65.0</v>
      </c>
      <c r="F74" s="101">
        <v>0.0</v>
      </c>
      <c r="G74" s="101">
        <v>0.0</v>
      </c>
      <c r="H74" s="101">
        <v>0.0</v>
      </c>
      <c r="I74" s="101">
        <v>0.0</v>
      </c>
      <c r="J74" s="101">
        <v>0.0</v>
      </c>
      <c r="K74" s="101">
        <v>0.0</v>
      </c>
      <c r="L74" s="101">
        <v>0.0</v>
      </c>
      <c r="M74" s="101">
        <v>0.0</v>
      </c>
      <c r="N74" s="101">
        <v>0.0</v>
      </c>
      <c r="O74" s="101">
        <v>0.0</v>
      </c>
      <c r="P74" s="101">
        <v>0.0</v>
      </c>
      <c r="Q74" s="101">
        <v>0.0</v>
      </c>
      <c r="R74" s="101">
        <v>0.0</v>
      </c>
      <c r="S74" s="101">
        <v>0.0</v>
      </c>
      <c r="T74" s="101">
        <v>0.0</v>
      </c>
      <c r="U74" s="101">
        <v>0.0</v>
      </c>
      <c r="V74" s="101">
        <v>0.0</v>
      </c>
      <c r="W74" s="101">
        <v>0.0</v>
      </c>
      <c r="X74" s="101">
        <v>0.0</v>
      </c>
    </row>
    <row r="75" ht="15.75" customHeight="1">
      <c r="A75" s="101">
        <v>13.0</v>
      </c>
      <c r="B75" s="101" t="s">
        <v>122</v>
      </c>
      <c r="C75" s="101">
        <v>15.0</v>
      </c>
      <c r="D75" s="102">
        <v>143.0</v>
      </c>
      <c r="E75" s="129">
        <v>0.0</v>
      </c>
      <c r="F75" s="101">
        <v>0.0</v>
      </c>
      <c r="G75" s="101">
        <v>0.0</v>
      </c>
      <c r="H75" s="101">
        <v>0.0</v>
      </c>
      <c r="I75" s="101">
        <v>0.0</v>
      </c>
      <c r="J75" s="101">
        <v>1.0</v>
      </c>
      <c r="K75" s="101">
        <v>0.0</v>
      </c>
      <c r="L75" s="101">
        <v>0.0</v>
      </c>
      <c r="M75" s="101">
        <v>0.0</v>
      </c>
      <c r="N75" s="101">
        <v>0.0</v>
      </c>
      <c r="O75" s="101">
        <v>0.0</v>
      </c>
      <c r="P75" s="101">
        <v>0.0</v>
      </c>
      <c r="Q75" s="101">
        <v>0.0</v>
      </c>
      <c r="R75" s="101">
        <v>0.0</v>
      </c>
      <c r="S75" s="101">
        <v>0.0</v>
      </c>
      <c r="T75" s="101">
        <v>0.0</v>
      </c>
      <c r="U75" s="101">
        <v>0.0</v>
      </c>
      <c r="V75" s="101">
        <v>0.0</v>
      </c>
      <c r="W75" s="101">
        <v>0.0</v>
      </c>
      <c r="X75" s="101">
        <v>0.0</v>
      </c>
    </row>
    <row r="76" ht="15.75" customHeight="1">
      <c r="A76" s="101">
        <v>13.0</v>
      </c>
      <c r="B76" s="101" t="s">
        <v>123</v>
      </c>
      <c r="C76" s="101">
        <v>15.0</v>
      </c>
      <c r="D76" s="102">
        <v>143.0</v>
      </c>
      <c r="E76" s="129">
        <v>0.0</v>
      </c>
      <c r="F76" s="101">
        <v>0.0</v>
      </c>
      <c r="G76" s="101">
        <v>0.0</v>
      </c>
      <c r="H76" s="101">
        <v>0.0</v>
      </c>
      <c r="I76" s="101">
        <v>0.0</v>
      </c>
      <c r="J76" s="101">
        <v>0.0</v>
      </c>
      <c r="K76" s="101">
        <v>0.0</v>
      </c>
      <c r="L76" s="101">
        <v>0.0</v>
      </c>
      <c r="M76" s="101">
        <v>0.0</v>
      </c>
      <c r="N76" s="101">
        <v>0.0</v>
      </c>
      <c r="O76" s="101">
        <v>0.0</v>
      </c>
      <c r="P76" s="101">
        <v>15.0</v>
      </c>
      <c r="Q76" s="101">
        <v>0.0</v>
      </c>
      <c r="R76" s="101">
        <v>0.0</v>
      </c>
      <c r="S76" s="101">
        <v>0.0</v>
      </c>
      <c r="T76" s="101">
        <v>0.0</v>
      </c>
      <c r="U76" s="101">
        <v>0.0</v>
      </c>
      <c r="V76" s="101">
        <v>0.0</v>
      </c>
      <c r="W76" s="101">
        <v>0.0</v>
      </c>
      <c r="X76" s="101">
        <v>0.0</v>
      </c>
    </row>
    <row r="77" ht="15.75" customHeight="1">
      <c r="A77" s="101">
        <v>13.0</v>
      </c>
      <c r="B77" s="101" t="s">
        <v>124</v>
      </c>
      <c r="C77" s="101">
        <v>15.0</v>
      </c>
      <c r="D77" s="102">
        <v>143.0</v>
      </c>
      <c r="E77" s="129">
        <v>0.0</v>
      </c>
      <c r="F77" s="101">
        <v>0.0</v>
      </c>
      <c r="G77" s="101">
        <v>0.0</v>
      </c>
      <c r="H77" s="101">
        <v>0.0</v>
      </c>
      <c r="I77" s="101">
        <v>0.0</v>
      </c>
      <c r="J77" s="101">
        <v>0.0</v>
      </c>
      <c r="K77" s="101">
        <v>1.0</v>
      </c>
      <c r="L77" s="101">
        <v>0.0</v>
      </c>
      <c r="M77" s="101">
        <v>0.0</v>
      </c>
      <c r="N77" s="101">
        <v>0.0</v>
      </c>
      <c r="O77" s="101">
        <v>0.0</v>
      </c>
      <c r="P77" s="101">
        <v>0.0</v>
      </c>
      <c r="Q77" s="101">
        <v>0.0</v>
      </c>
      <c r="R77" s="101">
        <v>0.0</v>
      </c>
      <c r="S77" s="101">
        <v>0.0</v>
      </c>
      <c r="T77" s="101">
        <v>0.0</v>
      </c>
      <c r="U77" s="101">
        <v>0.0</v>
      </c>
      <c r="V77" s="101">
        <v>0.0</v>
      </c>
      <c r="W77" s="101">
        <v>0.0</v>
      </c>
      <c r="X77" s="101">
        <v>0.0</v>
      </c>
    </row>
    <row r="78" ht="15.75" customHeight="1">
      <c r="A78" s="101">
        <v>13.0</v>
      </c>
      <c r="B78" s="101" t="s">
        <v>125</v>
      </c>
      <c r="C78" s="101">
        <v>15.0</v>
      </c>
      <c r="D78" s="102">
        <v>143.0</v>
      </c>
      <c r="E78" s="129">
        <v>0.0</v>
      </c>
      <c r="F78" s="101">
        <v>0.0</v>
      </c>
      <c r="G78" s="101">
        <v>0.0</v>
      </c>
      <c r="H78" s="101">
        <v>0.0</v>
      </c>
      <c r="I78" s="101">
        <v>0.0</v>
      </c>
      <c r="J78" s="101">
        <v>0.0</v>
      </c>
      <c r="K78" s="101">
        <v>0.0</v>
      </c>
      <c r="L78" s="101">
        <v>0.0</v>
      </c>
      <c r="M78" s="101">
        <v>0.0</v>
      </c>
      <c r="N78" s="101">
        <v>0.0</v>
      </c>
      <c r="O78" s="101">
        <v>15.0</v>
      </c>
      <c r="P78" s="101">
        <v>0.0</v>
      </c>
      <c r="Q78" s="101">
        <v>0.0</v>
      </c>
      <c r="R78" s="101">
        <v>0.0</v>
      </c>
      <c r="S78" s="101">
        <v>0.0</v>
      </c>
      <c r="T78" s="101">
        <v>0.0</v>
      </c>
      <c r="U78" s="101">
        <v>0.0</v>
      </c>
      <c r="V78" s="101">
        <v>0.0</v>
      </c>
      <c r="W78" s="101">
        <v>0.0</v>
      </c>
      <c r="X78" s="101">
        <v>0.0</v>
      </c>
    </row>
    <row r="79" ht="15.75" customHeight="1">
      <c r="A79" s="101">
        <v>14.0</v>
      </c>
      <c r="B79" s="101" t="s">
        <v>121</v>
      </c>
      <c r="C79" s="101">
        <v>17.0</v>
      </c>
      <c r="D79" s="102">
        <v>160.0</v>
      </c>
      <c r="E79" s="129">
        <v>0.0</v>
      </c>
      <c r="F79" s="101">
        <v>0.0</v>
      </c>
      <c r="G79" s="101">
        <v>0.0</v>
      </c>
      <c r="H79" s="101">
        <v>0.0</v>
      </c>
      <c r="I79" s="101">
        <v>0.0</v>
      </c>
      <c r="J79" s="101">
        <v>0.0</v>
      </c>
      <c r="K79" s="101">
        <v>0.0</v>
      </c>
      <c r="L79" s="101">
        <v>0.0</v>
      </c>
      <c r="M79" s="101">
        <v>0.0</v>
      </c>
      <c r="N79" s="101">
        <v>20.0</v>
      </c>
      <c r="O79" s="101">
        <v>0.0</v>
      </c>
      <c r="P79" s="101">
        <v>0.0</v>
      </c>
      <c r="Q79" s="101">
        <v>0.0</v>
      </c>
      <c r="R79" s="101">
        <v>0.0</v>
      </c>
      <c r="S79" s="101">
        <v>0.0</v>
      </c>
      <c r="T79" s="101">
        <v>0.0</v>
      </c>
      <c r="U79" s="101">
        <v>0.0</v>
      </c>
      <c r="V79" s="101">
        <v>0.0</v>
      </c>
      <c r="W79" s="101">
        <v>0.0</v>
      </c>
      <c r="X79" s="101">
        <v>0.0</v>
      </c>
    </row>
    <row r="80" ht="15.75" customHeight="1">
      <c r="A80" s="101">
        <v>14.0</v>
      </c>
      <c r="B80" s="101" t="s">
        <v>122</v>
      </c>
      <c r="C80" s="101">
        <v>17.0</v>
      </c>
      <c r="D80" s="102">
        <v>160.0</v>
      </c>
      <c r="E80" s="129">
        <v>0.0</v>
      </c>
      <c r="F80" s="101">
        <v>0.0</v>
      </c>
      <c r="G80" s="101">
        <v>0.0</v>
      </c>
      <c r="H80" s="101">
        <v>0.0</v>
      </c>
      <c r="I80" s="101">
        <v>0.0</v>
      </c>
      <c r="J80" s="101">
        <v>0.0</v>
      </c>
      <c r="K80" s="101">
        <v>0.0</v>
      </c>
      <c r="L80" s="101">
        <v>0.0</v>
      </c>
      <c r="M80" s="101">
        <v>1.0</v>
      </c>
      <c r="N80" s="101">
        <v>0.0</v>
      </c>
      <c r="O80" s="101">
        <v>0.0</v>
      </c>
      <c r="P80" s="101">
        <v>0.0</v>
      </c>
      <c r="Q80" s="101">
        <v>0.0</v>
      </c>
      <c r="R80" s="101">
        <v>0.0</v>
      </c>
      <c r="S80" s="101">
        <v>0.0</v>
      </c>
      <c r="T80" s="101">
        <v>0.0</v>
      </c>
      <c r="U80" s="101">
        <v>0.0</v>
      </c>
      <c r="V80" s="101">
        <v>0.0</v>
      </c>
      <c r="W80" s="101">
        <v>0.0</v>
      </c>
      <c r="X80" s="101">
        <v>0.0</v>
      </c>
    </row>
    <row r="81" ht="15.75" customHeight="1">
      <c r="A81" s="101">
        <v>14.0</v>
      </c>
      <c r="B81" s="101" t="s">
        <v>123</v>
      </c>
      <c r="C81" s="101">
        <v>17.0</v>
      </c>
      <c r="D81" s="102">
        <v>160.0</v>
      </c>
      <c r="E81" s="129">
        <v>0.0</v>
      </c>
      <c r="F81" s="101">
        <v>0.0</v>
      </c>
      <c r="G81" s="101">
        <v>0.0</v>
      </c>
      <c r="H81" s="101">
        <v>0.0</v>
      </c>
      <c r="I81" s="101">
        <v>0.0</v>
      </c>
      <c r="J81" s="101">
        <v>0.0</v>
      </c>
      <c r="K81" s="101">
        <v>0.0</v>
      </c>
      <c r="L81" s="101">
        <v>1.0</v>
      </c>
      <c r="M81" s="101">
        <v>0.0</v>
      </c>
      <c r="N81" s="101">
        <v>0.0</v>
      </c>
      <c r="O81" s="101">
        <v>0.0</v>
      </c>
      <c r="P81" s="101">
        <v>0.0</v>
      </c>
      <c r="Q81" s="101">
        <v>0.0</v>
      </c>
      <c r="R81" s="101">
        <v>0.0</v>
      </c>
      <c r="S81" s="101">
        <v>0.0</v>
      </c>
      <c r="T81" s="101">
        <v>0.0</v>
      </c>
      <c r="U81" s="101">
        <v>0.0</v>
      </c>
      <c r="V81" s="101">
        <v>0.0</v>
      </c>
      <c r="W81" s="101">
        <v>0.0</v>
      </c>
      <c r="X81" s="101">
        <v>0.0</v>
      </c>
    </row>
    <row r="82" ht="15.75" customHeight="1">
      <c r="A82" s="101">
        <v>14.0</v>
      </c>
      <c r="B82" s="101" t="s">
        <v>124</v>
      </c>
      <c r="C82" s="101">
        <v>17.0</v>
      </c>
      <c r="D82" s="102">
        <v>160.0</v>
      </c>
      <c r="E82" s="129">
        <v>0.0</v>
      </c>
      <c r="F82" s="101">
        <v>0.0</v>
      </c>
      <c r="G82" s="101">
        <v>0.0</v>
      </c>
      <c r="H82" s="101">
        <v>0.0</v>
      </c>
      <c r="I82" s="101">
        <v>0.0</v>
      </c>
      <c r="J82" s="101">
        <v>0.0</v>
      </c>
      <c r="K82" s="101">
        <v>1.0</v>
      </c>
      <c r="L82" s="101">
        <v>0.0</v>
      </c>
      <c r="M82" s="101">
        <v>0.0</v>
      </c>
      <c r="N82" s="101">
        <v>0.0</v>
      </c>
      <c r="O82" s="101">
        <v>0.0</v>
      </c>
      <c r="P82" s="101">
        <v>0.0</v>
      </c>
      <c r="Q82" s="101">
        <v>0.0</v>
      </c>
      <c r="R82" s="101">
        <v>0.0</v>
      </c>
      <c r="S82" s="101">
        <v>0.0</v>
      </c>
      <c r="T82" s="101">
        <v>0.0</v>
      </c>
      <c r="U82" s="101">
        <v>0.0</v>
      </c>
      <c r="V82" s="101">
        <v>0.0</v>
      </c>
      <c r="W82" s="101">
        <v>0.0</v>
      </c>
      <c r="X82" s="101">
        <v>0.0</v>
      </c>
    </row>
    <row r="83" ht="15.75" customHeight="1">
      <c r="A83" s="101">
        <v>14.0</v>
      </c>
      <c r="B83" s="101" t="s">
        <v>125</v>
      </c>
      <c r="C83" s="101">
        <v>17.0</v>
      </c>
      <c r="D83" s="102">
        <v>160.0</v>
      </c>
      <c r="E83" s="129">
        <v>0.0</v>
      </c>
      <c r="F83" s="101">
        <v>30.0</v>
      </c>
      <c r="G83" s="101">
        <v>0.0</v>
      </c>
      <c r="H83" s="101">
        <v>0.0</v>
      </c>
      <c r="I83" s="101">
        <v>0.0</v>
      </c>
      <c r="J83" s="101">
        <v>0.0</v>
      </c>
      <c r="K83" s="101">
        <v>0.0</v>
      </c>
      <c r="L83" s="101">
        <v>0.0</v>
      </c>
      <c r="M83" s="101">
        <v>0.0</v>
      </c>
      <c r="N83" s="101">
        <v>0.0</v>
      </c>
      <c r="O83" s="101">
        <v>0.0</v>
      </c>
      <c r="P83" s="101">
        <v>0.0</v>
      </c>
      <c r="Q83" s="101">
        <v>0.0</v>
      </c>
      <c r="R83" s="101">
        <v>0.0</v>
      </c>
      <c r="S83" s="101">
        <v>0.0</v>
      </c>
      <c r="T83" s="101">
        <v>0.0</v>
      </c>
      <c r="U83" s="101">
        <v>0.0</v>
      </c>
      <c r="V83" s="101">
        <v>0.0</v>
      </c>
      <c r="W83" s="101">
        <v>0.0</v>
      </c>
      <c r="X83" s="101">
        <v>0.0</v>
      </c>
    </row>
    <row r="84" ht="15.75" customHeight="1">
      <c r="A84" s="101">
        <v>15.0</v>
      </c>
      <c r="B84" s="101" t="s">
        <v>121</v>
      </c>
      <c r="C84" s="101">
        <v>25.0</v>
      </c>
      <c r="D84" s="102">
        <v>185.0</v>
      </c>
      <c r="E84" s="129">
        <v>150.0</v>
      </c>
      <c r="F84" s="101">
        <v>0.0</v>
      </c>
      <c r="G84" s="101">
        <v>0.0</v>
      </c>
      <c r="H84" s="101">
        <v>0.0</v>
      </c>
      <c r="I84" s="101">
        <v>0.0</v>
      </c>
      <c r="J84" s="101">
        <v>0.0</v>
      </c>
      <c r="K84" s="101">
        <v>1.0</v>
      </c>
      <c r="L84" s="101">
        <v>0.0</v>
      </c>
      <c r="M84" s="101">
        <v>0.0</v>
      </c>
      <c r="N84" s="101">
        <v>0.0</v>
      </c>
      <c r="O84" s="101">
        <v>30.0</v>
      </c>
      <c r="P84" s="101">
        <v>0.0</v>
      </c>
      <c r="Q84" s="101">
        <v>0.0</v>
      </c>
      <c r="R84" s="101">
        <v>0.0</v>
      </c>
      <c r="S84" s="101">
        <v>0.0</v>
      </c>
      <c r="T84" s="101">
        <v>0.0</v>
      </c>
      <c r="U84" s="101">
        <v>0.0</v>
      </c>
      <c r="V84" s="101">
        <v>0.0</v>
      </c>
      <c r="W84" s="101">
        <v>0.0</v>
      </c>
      <c r="X84" s="101">
        <v>0.0</v>
      </c>
    </row>
    <row r="85" ht="15.75" customHeight="1">
      <c r="A85" s="101">
        <v>15.0</v>
      </c>
      <c r="B85" s="101" t="s">
        <v>122</v>
      </c>
      <c r="C85" s="101">
        <v>25.0</v>
      </c>
      <c r="D85" s="102">
        <v>185.0</v>
      </c>
      <c r="E85" s="129">
        <v>0.0</v>
      </c>
      <c r="F85" s="101">
        <v>50.0</v>
      </c>
      <c r="G85" s="101">
        <v>0.0</v>
      </c>
      <c r="H85" s="101">
        <v>0.0</v>
      </c>
      <c r="I85" s="101">
        <v>0.0</v>
      </c>
      <c r="J85" s="101">
        <v>0.0</v>
      </c>
      <c r="K85" s="101">
        <v>0.0</v>
      </c>
      <c r="L85" s="101">
        <v>0.0</v>
      </c>
      <c r="M85" s="101">
        <v>0.0</v>
      </c>
      <c r="N85" s="101">
        <v>60.0</v>
      </c>
      <c r="O85" s="101">
        <v>0.0</v>
      </c>
      <c r="P85" s="101">
        <v>0.0</v>
      </c>
      <c r="Q85" s="101">
        <v>0.0</v>
      </c>
      <c r="R85" s="101">
        <v>0.0</v>
      </c>
      <c r="S85" s="101">
        <v>0.0</v>
      </c>
      <c r="T85" s="101">
        <v>0.0</v>
      </c>
      <c r="U85" s="101">
        <v>0.0</v>
      </c>
      <c r="V85" s="101">
        <v>0.0</v>
      </c>
      <c r="W85" s="101">
        <v>0.0</v>
      </c>
      <c r="X85" s="101">
        <v>0.0</v>
      </c>
    </row>
    <row r="86" ht="15.75" customHeight="1">
      <c r="A86" s="101">
        <v>15.0</v>
      </c>
      <c r="B86" s="101" t="s">
        <v>123</v>
      </c>
      <c r="C86" s="101">
        <v>25.0</v>
      </c>
      <c r="D86" s="102">
        <v>185.0</v>
      </c>
      <c r="E86" s="129">
        <v>0.0</v>
      </c>
      <c r="F86" s="101">
        <v>0.0</v>
      </c>
      <c r="G86" s="101">
        <v>0.0</v>
      </c>
      <c r="H86" s="101">
        <v>0.0</v>
      </c>
      <c r="I86" s="101">
        <v>0.0</v>
      </c>
      <c r="J86" s="101">
        <v>0.0</v>
      </c>
      <c r="K86" s="101">
        <v>0.0</v>
      </c>
      <c r="L86" s="101">
        <v>0.0</v>
      </c>
      <c r="M86" s="101">
        <v>0.0</v>
      </c>
      <c r="N86" s="101">
        <v>0.0</v>
      </c>
      <c r="O86" s="101">
        <v>0.0</v>
      </c>
      <c r="P86" s="101">
        <v>30.0</v>
      </c>
      <c r="Q86" s="101">
        <v>0.0</v>
      </c>
      <c r="R86" s="101">
        <v>0.0</v>
      </c>
      <c r="S86" s="101">
        <v>0.0</v>
      </c>
      <c r="T86" s="101">
        <v>0.0</v>
      </c>
      <c r="U86" s="101">
        <v>0.0</v>
      </c>
      <c r="V86" s="101">
        <v>0.0</v>
      </c>
      <c r="W86" s="101">
        <v>0.0</v>
      </c>
      <c r="X86" s="101">
        <v>0.0</v>
      </c>
    </row>
    <row r="87" ht="15.75" customHeight="1">
      <c r="A87" s="101">
        <v>15.0</v>
      </c>
      <c r="B87" s="101" t="s">
        <v>124</v>
      </c>
      <c r="C87" s="101">
        <v>25.0</v>
      </c>
      <c r="D87" s="102">
        <v>185.0</v>
      </c>
      <c r="E87" s="129">
        <v>0.0</v>
      </c>
      <c r="F87" s="101">
        <v>0.0</v>
      </c>
      <c r="G87" s="101">
        <v>0.0</v>
      </c>
      <c r="H87" s="101">
        <v>0.0</v>
      </c>
      <c r="I87" s="101">
        <v>0.0</v>
      </c>
      <c r="J87" s="101">
        <v>0.0</v>
      </c>
      <c r="K87" s="101">
        <v>0.0</v>
      </c>
      <c r="L87" s="101">
        <v>1.0</v>
      </c>
      <c r="M87" s="101">
        <v>0.0</v>
      </c>
      <c r="N87" s="101">
        <v>0.0</v>
      </c>
      <c r="O87" s="101">
        <v>0.0</v>
      </c>
      <c r="P87" s="101">
        <v>0.0</v>
      </c>
      <c r="Q87" s="101">
        <v>0.0</v>
      </c>
      <c r="R87" s="101">
        <v>0.0</v>
      </c>
      <c r="S87" s="101">
        <v>0.0</v>
      </c>
      <c r="T87" s="101">
        <v>0.0</v>
      </c>
      <c r="U87" s="101">
        <v>0.0</v>
      </c>
      <c r="V87" s="101">
        <v>0.0</v>
      </c>
      <c r="W87" s="101">
        <v>0.0</v>
      </c>
      <c r="X87" s="101">
        <v>0.0</v>
      </c>
    </row>
    <row r="88" ht="15.75" customHeight="1">
      <c r="A88" s="101">
        <v>15.0</v>
      </c>
      <c r="B88" s="101" t="s">
        <v>125</v>
      </c>
      <c r="C88" s="101">
        <v>25.0</v>
      </c>
      <c r="D88" s="102">
        <v>185.0</v>
      </c>
      <c r="E88" s="129">
        <v>0.0</v>
      </c>
      <c r="F88" s="101">
        <v>0.0</v>
      </c>
      <c r="G88" s="101">
        <v>30.0</v>
      </c>
      <c r="H88" s="101">
        <v>0.0</v>
      </c>
      <c r="I88" s="101">
        <v>0.0</v>
      </c>
      <c r="J88" s="101">
        <v>0.0</v>
      </c>
      <c r="K88" s="101">
        <v>0.0</v>
      </c>
      <c r="L88" s="101">
        <v>0.0</v>
      </c>
      <c r="M88" s="101">
        <v>0.0</v>
      </c>
      <c r="N88" s="101">
        <v>0.0</v>
      </c>
      <c r="O88" s="101">
        <v>0.0</v>
      </c>
      <c r="P88" s="101">
        <v>0.0</v>
      </c>
      <c r="Q88" s="101">
        <v>0.0</v>
      </c>
      <c r="R88" s="101">
        <v>0.0</v>
      </c>
      <c r="S88" s="101">
        <v>0.0</v>
      </c>
      <c r="T88" s="101">
        <v>0.0</v>
      </c>
      <c r="U88" s="101">
        <v>0.0</v>
      </c>
      <c r="V88" s="101">
        <v>0.0</v>
      </c>
      <c r="W88" s="101">
        <v>0.0</v>
      </c>
      <c r="X88" s="101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1" priority="1" operator="greaterThan">
      <formula>0</formula>
    </cfRule>
  </conditionalFormatting>
  <conditionalFormatting sqref="A14:X88">
    <cfRule type="expression" dxfId="2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1" t="s">
        <v>29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</row>
    <row r="3">
      <c r="A3" s="125" t="s">
        <v>126</v>
      </c>
      <c r="B3" s="126">
        <v>4.0</v>
      </c>
    </row>
    <row r="4">
      <c r="A4" s="125" t="s">
        <v>127</v>
      </c>
      <c r="B4" s="126">
        <v>1.0</v>
      </c>
    </row>
    <row r="5">
      <c r="A5" s="125" t="s">
        <v>128</v>
      </c>
      <c r="B5" s="126">
        <v>15.0</v>
      </c>
    </row>
    <row r="6">
      <c r="A6" s="125" t="s">
        <v>129</v>
      </c>
      <c r="B6" s="126">
        <v>2.0</v>
      </c>
    </row>
    <row r="7">
      <c r="A7" s="125" t="s">
        <v>130</v>
      </c>
      <c r="B7" s="126" t="b">
        <f>TRUE()</f>
        <v>1</v>
      </c>
    </row>
    <row r="9" ht="19.5" customHeight="1">
      <c r="A9" s="92" t="s">
        <v>90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</row>
    <row r="10" ht="90.0" customHeight="1">
      <c r="A10" s="96" t="s">
        <v>131</v>
      </c>
      <c r="B10" s="97" t="s">
        <v>132</v>
      </c>
      <c r="C10" s="98" t="s">
        <v>19</v>
      </c>
      <c r="D10" s="99" t="s">
        <v>5</v>
      </c>
      <c r="E10" s="99" t="s">
        <v>77</v>
      </c>
      <c r="F10" s="99" t="s">
        <v>6</v>
      </c>
      <c r="G10" s="99" t="s">
        <v>7</v>
      </c>
      <c r="H10" s="99" t="s">
        <v>8</v>
      </c>
      <c r="I10" s="99" t="s">
        <v>9</v>
      </c>
      <c r="J10" s="99" t="s">
        <v>10</v>
      </c>
      <c r="K10" s="99" t="s">
        <v>11</v>
      </c>
      <c r="L10" s="99" t="s">
        <v>12</v>
      </c>
      <c r="M10" s="99" t="s">
        <v>13</v>
      </c>
      <c r="N10" s="99" t="s">
        <v>14</v>
      </c>
      <c r="O10" s="99" t="s">
        <v>15</v>
      </c>
      <c r="P10" s="99" t="s">
        <v>92</v>
      </c>
      <c r="Q10" s="99" t="s">
        <v>78</v>
      </c>
      <c r="R10" s="99" t="s">
        <v>79</v>
      </c>
      <c r="S10" s="99" t="s">
        <v>80</v>
      </c>
      <c r="T10" s="99" t="s">
        <v>81</v>
      </c>
      <c r="U10" s="99" t="s">
        <v>82</v>
      </c>
      <c r="V10" s="99" t="s">
        <v>83</v>
      </c>
      <c r="W10" s="99" t="s">
        <v>84</v>
      </c>
    </row>
    <row r="11">
      <c r="A11" s="101">
        <v>1.0</v>
      </c>
      <c r="B11" s="102">
        <v>30.0</v>
      </c>
      <c r="C11" s="129">
        <v>0.0</v>
      </c>
      <c r="D11" s="101">
        <v>0.0</v>
      </c>
      <c r="E11" s="101">
        <v>0.0</v>
      </c>
      <c r="F11" s="101">
        <v>0.0</v>
      </c>
      <c r="G11" s="101">
        <v>1.0</v>
      </c>
      <c r="H11" s="101">
        <v>0.0</v>
      </c>
      <c r="I11" s="101">
        <v>0.0</v>
      </c>
      <c r="J11" s="101">
        <v>0.0</v>
      </c>
      <c r="K11" s="101">
        <v>0.0</v>
      </c>
      <c r="L11" s="101">
        <v>0.0</v>
      </c>
      <c r="M11" s="101">
        <v>0.0</v>
      </c>
      <c r="N11" s="101">
        <v>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1">
        <v>0.0</v>
      </c>
      <c r="V11" s="101">
        <v>0.0</v>
      </c>
      <c r="W11" s="101">
        <v>0.0</v>
      </c>
    </row>
    <row r="12">
      <c r="A12" s="101">
        <v>2.0</v>
      </c>
      <c r="B12" s="102">
        <v>80.0</v>
      </c>
      <c r="C12" s="129">
        <v>0.0</v>
      </c>
      <c r="D12" s="101">
        <v>0.0</v>
      </c>
      <c r="E12" s="101">
        <v>0.0</v>
      </c>
      <c r="F12" s="101">
        <v>0.0</v>
      </c>
      <c r="G12" s="101">
        <v>0.0</v>
      </c>
      <c r="H12" s="101">
        <v>0.0</v>
      </c>
      <c r="I12" s="101">
        <v>0.0</v>
      </c>
      <c r="J12" s="101">
        <v>0.0</v>
      </c>
      <c r="K12" s="101">
        <v>0.0</v>
      </c>
      <c r="L12" s="101">
        <v>0.0</v>
      </c>
      <c r="M12" s="101">
        <v>10.0</v>
      </c>
      <c r="N12" s="101">
        <v>0.0</v>
      </c>
      <c r="O12" s="101">
        <v>0.0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  <c r="W12" s="101">
        <v>0.0</v>
      </c>
    </row>
    <row r="13">
      <c r="A13" s="101">
        <v>3.0</v>
      </c>
      <c r="B13" s="102">
        <v>150.0</v>
      </c>
      <c r="C13" s="129">
        <v>0.0</v>
      </c>
      <c r="D13" s="101">
        <v>0.0</v>
      </c>
      <c r="E13" s="101">
        <v>0.0</v>
      </c>
      <c r="F13" s="101">
        <v>0.0</v>
      </c>
      <c r="G13" s="101">
        <v>0.0</v>
      </c>
      <c r="H13" s="101">
        <v>0.0</v>
      </c>
      <c r="I13" s="101">
        <v>0.0</v>
      </c>
      <c r="J13" s="101">
        <v>0.0</v>
      </c>
      <c r="K13" s="101">
        <v>0.0</v>
      </c>
      <c r="L13" s="101">
        <v>0.0</v>
      </c>
      <c r="M13" s="101">
        <v>0.0</v>
      </c>
      <c r="N13" s="101">
        <v>10.0</v>
      </c>
      <c r="O13" s="101">
        <v>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  <c r="W13" s="101">
        <v>0.0</v>
      </c>
    </row>
    <row r="14">
      <c r="A14" s="101">
        <v>4.0</v>
      </c>
      <c r="B14" s="102">
        <v>250.0</v>
      </c>
      <c r="C14" s="129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0.0</v>
      </c>
      <c r="J14" s="101">
        <v>0.0</v>
      </c>
      <c r="K14" s="101">
        <v>0.0</v>
      </c>
      <c r="L14" s="101">
        <v>30.0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  <c r="W14" s="101">
        <v>0.0</v>
      </c>
    </row>
    <row r="15">
      <c r="A15" s="101">
        <v>5.0</v>
      </c>
      <c r="B15" s="102">
        <v>370.0</v>
      </c>
      <c r="C15" s="129">
        <v>25.0</v>
      </c>
      <c r="D15" s="101">
        <v>0.0</v>
      </c>
      <c r="E15" s="101">
        <v>0.0</v>
      </c>
      <c r="F15" s="101">
        <v>0.0</v>
      </c>
      <c r="G15" s="101">
        <v>0.0</v>
      </c>
      <c r="H15" s="101">
        <v>0.0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  <c r="W15" s="101">
        <v>0.0</v>
      </c>
    </row>
    <row r="16">
      <c r="A16" s="101">
        <v>6.0</v>
      </c>
      <c r="B16" s="102">
        <v>520.0</v>
      </c>
      <c r="C16" s="129">
        <v>0.0</v>
      </c>
      <c r="D16" s="101">
        <v>0.0</v>
      </c>
      <c r="E16" s="101">
        <v>0.0</v>
      </c>
      <c r="F16" s="101">
        <v>1.0</v>
      </c>
      <c r="G16" s="101">
        <v>0.0</v>
      </c>
      <c r="H16" s="101">
        <v>0.0</v>
      </c>
      <c r="I16" s="101">
        <v>0.0</v>
      </c>
      <c r="J16" s="101">
        <v>0.0</v>
      </c>
      <c r="K16" s="101">
        <v>0.0</v>
      </c>
      <c r="L16" s="101">
        <v>0.0</v>
      </c>
      <c r="M16" s="101">
        <v>0.0</v>
      </c>
      <c r="N16" s="101">
        <v>0.0</v>
      </c>
      <c r="O16" s="101">
        <v>10.0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  <c r="W16" s="101">
        <v>0.0</v>
      </c>
    </row>
    <row r="17">
      <c r="A17" s="101">
        <v>7.0</v>
      </c>
      <c r="B17" s="102">
        <v>690.0</v>
      </c>
      <c r="C17" s="129">
        <v>0.0</v>
      </c>
      <c r="D17" s="101">
        <v>0.0</v>
      </c>
      <c r="E17" s="101">
        <v>0.0</v>
      </c>
      <c r="F17" s="101">
        <v>0.0</v>
      </c>
      <c r="G17" s="101">
        <v>0.0</v>
      </c>
      <c r="H17" s="101">
        <v>0.0</v>
      </c>
      <c r="I17" s="101">
        <v>0.0</v>
      </c>
      <c r="J17" s="101">
        <v>0.0</v>
      </c>
      <c r="K17" s="101">
        <v>0.0</v>
      </c>
      <c r="L17" s="101">
        <v>60.0</v>
      </c>
      <c r="M17" s="101">
        <v>0.0</v>
      </c>
      <c r="N17" s="101">
        <v>0.0</v>
      </c>
      <c r="O17" s="101">
        <v>0.0</v>
      </c>
      <c r="P17" s="101">
        <v>0.0</v>
      </c>
      <c r="Q17" s="101">
        <v>0.0</v>
      </c>
      <c r="R17" s="101">
        <v>0.0</v>
      </c>
      <c r="S17" s="101">
        <v>0.0</v>
      </c>
      <c r="T17" s="101">
        <v>0.0</v>
      </c>
      <c r="U17" s="101">
        <v>0.0</v>
      </c>
      <c r="V17" s="101">
        <v>0.0</v>
      </c>
      <c r="W17" s="101">
        <v>0.0</v>
      </c>
    </row>
    <row r="18">
      <c r="A18" s="101">
        <v>8.0</v>
      </c>
      <c r="B18" s="102">
        <v>890.0</v>
      </c>
      <c r="C18" s="129">
        <v>0.0</v>
      </c>
      <c r="D18" s="101">
        <v>0.0</v>
      </c>
      <c r="E18" s="101">
        <v>0.0</v>
      </c>
      <c r="F18" s="101">
        <v>0.0</v>
      </c>
      <c r="G18" s="101">
        <v>0.0</v>
      </c>
      <c r="H18" s="101">
        <v>0.0</v>
      </c>
      <c r="I18" s="101">
        <v>0.0</v>
      </c>
      <c r="J18" s="101">
        <v>0.0</v>
      </c>
      <c r="K18" s="101">
        <v>0.0</v>
      </c>
      <c r="L18" s="101">
        <v>0.0</v>
      </c>
      <c r="M18" s="101">
        <v>15.0</v>
      </c>
      <c r="N18" s="101">
        <v>0.0</v>
      </c>
      <c r="O18" s="101">
        <v>0.0</v>
      </c>
      <c r="P18" s="101">
        <v>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  <c r="W18" s="101">
        <v>0.0</v>
      </c>
    </row>
    <row r="19">
      <c r="A19" s="101">
        <v>9.0</v>
      </c>
      <c r="B19" s="102">
        <v>1110.0</v>
      </c>
      <c r="C19" s="129">
        <v>25.0</v>
      </c>
      <c r="D19" s="101">
        <v>0.0</v>
      </c>
      <c r="E19" s="101">
        <v>0.0</v>
      </c>
      <c r="F19" s="101">
        <v>0.0</v>
      </c>
      <c r="G19" s="101">
        <v>0.0</v>
      </c>
      <c r="H19" s="101">
        <v>0.0</v>
      </c>
      <c r="I19" s="101">
        <v>0.0</v>
      </c>
      <c r="J19" s="101">
        <v>0.0</v>
      </c>
      <c r="K19" s="101">
        <v>0.0</v>
      </c>
      <c r="L19" s="101">
        <v>0.0</v>
      </c>
      <c r="M19" s="101">
        <v>0.0</v>
      </c>
      <c r="N19" s="101">
        <v>0.0</v>
      </c>
      <c r="O19" s="101">
        <v>0.0</v>
      </c>
      <c r="P19" s="101">
        <v>0.0</v>
      </c>
      <c r="Q19" s="101">
        <v>0.0</v>
      </c>
      <c r="R19" s="101">
        <v>0.0</v>
      </c>
      <c r="S19" s="101">
        <v>0.0</v>
      </c>
      <c r="T19" s="101">
        <v>0.0</v>
      </c>
      <c r="U19" s="101">
        <v>0.0</v>
      </c>
      <c r="V19" s="101">
        <v>0.0</v>
      </c>
      <c r="W19" s="101">
        <v>0.0</v>
      </c>
    </row>
    <row r="20">
      <c r="A20" s="101">
        <v>10.0</v>
      </c>
      <c r="B20" s="102">
        <v>1360.0</v>
      </c>
      <c r="C20" s="129">
        <v>0.0</v>
      </c>
      <c r="D20" s="101">
        <v>0.0</v>
      </c>
      <c r="E20" s="101">
        <v>0.0</v>
      </c>
      <c r="F20" s="101">
        <v>0.0</v>
      </c>
      <c r="G20" s="101">
        <v>0.0</v>
      </c>
      <c r="H20" s="101">
        <v>0.0</v>
      </c>
      <c r="I20" s="101">
        <v>0.0</v>
      </c>
      <c r="J20" s="101">
        <v>0.0</v>
      </c>
      <c r="K20" s="101">
        <v>0.0</v>
      </c>
      <c r="L20" s="101">
        <v>0.0</v>
      </c>
      <c r="M20" s="101">
        <v>0.0</v>
      </c>
      <c r="N20" s="101">
        <v>15.0</v>
      </c>
      <c r="O20" s="101">
        <v>0.0</v>
      </c>
      <c r="P20" s="101">
        <v>0.0</v>
      </c>
      <c r="Q20" s="101">
        <v>0.0</v>
      </c>
      <c r="R20" s="101">
        <v>0.0</v>
      </c>
      <c r="S20" s="101">
        <v>0.0</v>
      </c>
      <c r="T20" s="101">
        <v>0.0</v>
      </c>
      <c r="U20" s="101">
        <v>0.0</v>
      </c>
      <c r="V20" s="101">
        <v>0.0</v>
      </c>
      <c r="W20" s="101">
        <v>0.0</v>
      </c>
    </row>
    <row r="21" ht="15.75" customHeight="1">
      <c r="A21" s="101">
        <v>11.0</v>
      </c>
      <c r="B21" s="102">
        <v>1630.0</v>
      </c>
      <c r="C21" s="129">
        <v>0.0</v>
      </c>
      <c r="D21" s="101">
        <v>0.0</v>
      </c>
      <c r="E21" s="101">
        <v>0.0</v>
      </c>
      <c r="F21" s="101">
        <v>0.0</v>
      </c>
      <c r="G21" s="101">
        <v>0.0</v>
      </c>
      <c r="H21" s="101">
        <v>0.0</v>
      </c>
      <c r="I21" s="101">
        <v>1.0</v>
      </c>
      <c r="J21" s="101">
        <v>0.0</v>
      </c>
      <c r="K21" s="101">
        <v>0.0</v>
      </c>
      <c r="L21" s="101">
        <v>0.0</v>
      </c>
      <c r="M21" s="101">
        <v>0.0</v>
      </c>
      <c r="N21" s="101">
        <v>0.0</v>
      </c>
      <c r="O21" s="101">
        <v>0.0</v>
      </c>
      <c r="P21" s="101">
        <v>0.0</v>
      </c>
      <c r="Q21" s="101">
        <v>0.0</v>
      </c>
      <c r="R21" s="101">
        <v>0.0</v>
      </c>
      <c r="S21" s="101">
        <v>0.0</v>
      </c>
      <c r="T21" s="101">
        <v>0.0</v>
      </c>
      <c r="U21" s="101">
        <v>0.0</v>
      </c>
      <c r="V21" s="101">
        <v>0.0</v>
      </c>
      <c r="W21" s="101">
        <v>0.0</v>
      </c>
    </row>
    <row r="22" ht="15.75" customHeight="1">
      <c r="A22" s="101">
        <v>12.0</v>
      </c>
      <c r="B22" s="102">
        <v>1930.0</v>
      </c>
      <c r="C22" s="129">
        <v>0.0</v>
      </c>
      <c r="D22" s="101">
        <v>0.0</v>
      </c>
      <c r="E22" s="101">
        <v>0.0</v>
      </c>
      <c r="F22" s="101">
        <v>0.0</v>
      </c>
      <c r="G22" s="101">
        <v>0.0</v>
      </c>
      <c r="H22" s="101">
        <v>0.0</v>
      </c>
      <c r="I22" s="101">
        <v>0.0</v>
      </c>
      <c r="J22" s="101">
        <v>0.0</v>
      </c>
      <c r="K22" s="101">
        <v>0.0</v>
      </c>
      <c r="L22" s="101">
        <v>60.0</v>
      </c>
      <c r="M22" s="101">
        <v>0.0</v>
      </c>
      <c r="N22" s="101">
        <v>0.0</v>
      </c>
      <c r="O22" s="101">
        <v>15.0</v>
      </c>
      <c r="P22" s="101">
        <v>0.0</v>
      </c>
      <c r="Q22" s="101">
        <v>0.0</v>
      </c>
      <c r="R22" s="101">
        <v>0.0</v>
      </c>
      <c r="S22" s="101">
        <v>0.0</v>
      </c>
      <c r="T22" s="101">
        <v>0.0</v>
      </c>
      <c r="U22" s="101">
        <v>0.0</v>
      </c>
      <c r="V22" s="101">
        <v>0.0</v>
      </c>
      <c r="W22" s="101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1:W22">
    <cfRule type="cellIs" dxfId="1" priority="1" operator="greaterThan">
      <formula>0</formula>
    </cfRule>
  </conditionalFormatting>
  <conditionalFormatting sqref="A1:B1000">
    <cfRule type="expression" dxfId="3" priority="2">
      <formula>ISFORMULA(A1)</formula>
    </cfRule>
  </conditionalFormatting>
  <conditionalFormatting sqref="A11:W22">
    <cfRule type="expression" dxfId="2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9.63"/>
    <col customWidth="1" min="35" max="44" width="7.75"/>
  </cols>
  <sheetData>
    <row r="1" ht="21.75" customHeight="1">
      <c r="A1" s="1" t="s">
        <v>29</v>
      </c>
      <c r="AH1" s="130" t="s">
        <v>133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AH2" s="131" t="s">
        <v>134</v>
      </c>
      <c r="AI2" s="132" t="s">
        <v>135</v>
      </c>
    </row>
    <row r="3">
      <c r="A3" s="125" t="s">
        <v>126</v>
      </c>
      <c r="B3" s="133">
        <v>3.0</v>
      </c>
      <c r="AH3" s="131" t="s">
        <v>136</v>
      </c>
      <c r="AI3" s="132" t="s">
        <v>137</v>
      </c>
    </row>
    <row r="4">
      <c r="A4" s="125" t="s">
        <v>127</v>
      </c>
      <c r="B4" s="126">
        <v>1.0</v>
      </c>
    </row>
    <row r="5">
      <c r="A5" s="125" t="s">
        <v>128</v>
      </c>
      <c r="B5" s="126">
        <v>15.0</v>
      </c>
      <c r="AH5" s="134" t="s">
        <v>138</v>
      </c>
      <c r="AI5" s="134" t="s">
        <v>139</v>
      </c>
      <c r="AJ5" s="134" t="s">
        <v>140</v>
      </c>
      <c r="AK5" s="134" t="s">
        <v>141</v>
      </c>
      <c r="AL5" s="134" t="s">
        <v>142</v>
      </c>
      <c r="AM5" s="134" t="s">
        <v>143</v>
      </c>
      <c r="AN5" s="134" t="s">
        <v>144</v>
      </c>
      <c r="AO5" s="134" t="s">
        <v>145</v>
      </c>
      <c r="AP5" s="134" t="s">
        <v>146</v>
      </c>
      <c r="AQ5" s="134" t="s">
        <v>147</v>
      </c>
      <c r="AR5" s="134" t="s">
        <v>148</v>
      </c>
    </row>
    <row r="6">
      <c r="A6" s="125" t="s">
        <v>129</v>
      </c>
      <c r="B6" s="126">
        <v>2.0</v>
      </c>
      <c r="AH6" s="135">
        <f>IF(1&lt;=$B$3,1,"")</f>
        <v>1</v>
      </c>
      <c r="AI6" s="136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137" t="str">
        <f t="array" ref="AJ6">IF($AH6="","",IF(AI6=0,"{}",LET(m,AI6,s,MMULT(SEQUENCE(1,m,1,0),$C$11:$W$22),"{"&amp;TEXTJOIN(", ",TRUE,IF(s&gt;0,$C$10:$W$10&amp;": "&amp;ROUND(s,2),""))&amp;"}")))</f>
        <v>{}</v>
      </c>
      <c r="AK6" s="136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2</v>
      </c>
      <c r="AL6" s="137" t="str">
        <f t="array" ref="AL6">IF($AH6="","",IF(AK6=0,"{}",LET(m,AK6,s,MMULT(SEQUENCE(1,m,1,0),$C$11:$W$22),"{"&amp;TEXTJOIN(", ",TRUE,IF(s&gt;0,$C$10:$W$10&amp;": "&amp;ROUND(s,2),""))&amp;"}")))</f>
        <v>{Chuck: 1, Unlimited Red: 10}</v>
      </c>
      <c r="AM6" s="136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3</v>
      </c>
      <c r="AN6" s="137" t="str">
        <f t="array" ref="AN6">IF($AH6="","",IF(AM6=0,"{}",LET(m,AM6,s,MMULT(SEQUENCE(1,m,1,0),$C$11:$W$22),"{"&amp;TEXTJOIN(", ",TRUE,IF(s&gt;0,$C$10:$W$10&amp;": "&amp;ROUND(s,2),""))&amp;"}")))</f>
        <v>{Chuck: 1, Unlimited Red: 10, Unlimited Chuck: 10}</v>
      </c>
      <c r="AO6" s="136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5</v>
      </c>
      <c r="AP6" s="137" t="str">
        <f t="array" ref="AP6">IF($AH6="","",IF(AO6=0,"{}",LET(m,AO6,s,MMULT(SEQUENCE(1,m,1,0),$C$11:$W$22),"{"&amp;TEXTJOIN(", ",TRUE,IF(s&gt;0,$C$10:$W$10&amp;": "&amp;ROUND(s,2),""))&amp;"}")))</f>
        <v>{Coins: 25, Chuck: 1, Unlimited Lives: 30, Unlimited Red: 10, Unlimited Chuck: 10}</v>
      </c>
      <c r="AQ6" s="136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6</v>
      </c>
      <c r="AR6" s="137" t="str">
        <f t="array" ref="AR6">IF($AH6="","",IF(AQ6=0,"{}",LET(m,AQ6,s,MMULT(SEQUENCE(1,m,1,0),$C$11:$W$22),"{"&amp;TEXTJOIN(", ",TRUE,IF(s&gt;0,$C$10:$W$10&amp;": "&amp;ROUND(s,2),""))&amp;"}")))</f>
        <v>{Coins: 25, Red: 1, Chuck: 1, Unlimited Lives: 30, Unlimited Red: 10, Unlimited Chuck: 10, Unlimited Bomb: 10}</v>
      </c>
    </row>
    <row r="7">
      <c r="A7" s="125" t="s">
        <v>130</v>
      </c>
      <c r="B7" s="126" t="b">
        <f>TRUE()</f>
        <v>1</v>
      </c>
      <c r="AH7" s="135">
        <f>IF(2&lt;=$B$3,2,"")</f>
        <v>2</v>
      </c>
      <c r="AI7" s="136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1</v>
      </c>
      <c r="AJ7" s="137" t="str">
        <f t="array" ref="AJ7">IF($AH7="","",IF(AI7=0,"{}",LET(m,AI7,s,MMULT(SEQUENCE(1,m,1,0),$C$11:$W$22),"{"&amp;TEXTJOIN(", ",TRUE,IF(s&gt;0,$C$10:$W$10&amp;": "&amp;ROUND(s,2),""))&amp;"}")))</f>
        <v>{Chuck: 1}</v>
      </c>
      <c r="AK7" s="136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137" t="str">
        <f t="array" ref="AL7">IF($AH7="","",IF(AK7=0,"{}",LET(m,AK7,s,MMULT(SEQUENCE(1,m,1,0),$C$11:$W$22),"{"&amp;TEXTJOIN(", ",TRUE,IF(s&gt;0,$C$10:$W$10&amp;": "&amp;ROUND(s,2),""))&amp;"}")))</f>
        <v>{Chuck: 1, Unlimited Red: 10, Unlimited Chuck: 10}</v>
      </c>
      <c r="AM7" s="136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5</v>
      </c>
      <c r="AN7" s="137" t="str">
        <f t="array" ref="AN7">IF($AH7="","",IF(AM7=0,"{}",LET(m,AM7,s,MMULT(SEQUENCE(1,m,1,0),$C$11:$W$22),"{"&amp;TEXTJOIN(", ",TRUE,IF(s&gt;0,$C$10:$W$10&amp;": "&amp;ROUND(s,2),""))&amp;"}")))</f>
        <v>{Coins: 25, Chuck: 1, Unlimited Lives: 30, Unlimited Red: 10, Unlimited Chuck: 10}</v>
      </c>
      <c r="AO7" s="136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7</v>
      </c>
      <c r="AP7" s="137" t="str">
        <f t="array" ref="AP7">IF($AH7="","",IF(AO7=0,"{}",LET(m,AO7,s,MMULT(SEQUENCE(1,m,1,0),$C$11:$W$22),"{"&amp;TEXTJOIN(", ",TRUE,IF(s&gt;0,$C$10:$W$10&amp;": "&amp;ROUND(s,2),""))&amp;"}")))</f>
        <v>{Coins: 25, Red: 1, Chuck: 1, Unlimited Lives: 90, Unlimited Red: 10, Unlimited Chuck: 10, Unlimited Bomb: 10}</v>
      </c>
      <c r="AQ7" s="136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8</v>
      </c>
      <c r="AR7" s="137" t="str">
        <f t="array" ref="AR7">IF($AH7="","",IF(AQ7=0,"{}",LET(m,AQ7,s,MMULT(SEQUENCE(1,m,1,0),$C$11:$W$22),"{"&amp;TEXTJOIN(", ",TRUE,IF(s&gt;0,$C$10:$W$10&amp;": "&amp;ROUND(s,2),""))&amp;"}")))</f>
        <v>{Coins: 25, Red: 1, Chuck: 1, Unlimited Lives: 90, Unlimited Red: 25, Unlimited Chuck: 10, Unlimited Bomb: 10}</v>
      </c>
    </row>
    <row r="8">
      <c r="AH8" s="135">
        <f>IF(3&lt;=$B$3,3,"")</f>
        <v>3</v>
      </c>
      <c r="AI8" s="136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137" t="str">
        <f t="array" ref="AJ8">IF($AH8="","",IF(AI8=0,"{}",LET(m,AI8,s,MMULT(SEQUENCE(1,m,1,0),$C$11:$W$22),"{"&amp;TEXTJOIN(", ",TRUE,IF(s&gt;0,$C$10:$W$10&amp;": "&amp;ROUND(s,2),""))&amp;"}")))</f>
        <v>{Chuck: 1, Unlimited Red: 10}</v>
      </c>
      <c r="AK8" s="136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4</v>
      </c>
      <c r="AL8" s="137" t="str">
        <f t="array" ref="AL8">IF($AH8="","",IF(AK8=0,"{}",LET(m,AK8,s,MMULT(SEQUENCE(1,m,1,0),$C$11:$W$22),"{"&amp;TEXTJOIN(", ",TRUE,IF(s&gt;0,$C$10:$W$10&amp;": "&amp;ROUND(s,2),""))&amp;"}")))</f>
        <v>{Chuck: 1, Unlimited Lives: 30, Unlimited Red: 10, Unlimited Chuck: 10}</v>
      </c>
      <c r="AM8" s="136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6</v>
      </c>
      <c r="AN8" s="137" t="str">
        <f t="array" ref="AN8">IF($AH8="","",IF(AM8=0,"{}",LET(m,AM8,s,MMULT(SEQUENCE(1,m,1,0),$C$11:$W$22),"{"&amp;TEXTJOIN(", ",TRUE,IF(s&gt;0,$C$10:$W$10&amp;": "&amp;ROUND(s,2),""))&amp;"}")))</f>
        <v>{Coins: 25, Red: 1, Chuck: 1, Unlimited Lives: 30, Unlimited Red: 10, Unlimited Chuck: 10, Unlimited Bomb: 10}</v>
      </c>
      <c r="AO8" s="136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8</v>
      </c>
      <c r="AP8" s="137" t="str">
        <f t="array" ref="AP8">IF($AH8="","",IF(AO8=0,"{}",LET(m,AO8,s,MMULT(SEQUENCE(1,m,1,0),$C$11:$W$22),"{"&amp;TEXTJOIN(", ",TRUE,IF(s&gt;0,$C$10:$W$10&amp;": "&amp;ROUND(s,2),""))&amp;"}")))</f>
        <v>{Coins: 25, Red: 1, Chuck: 1, Unlimited Lives: 90, Unlimited Red: 25, Unlimited Chuck: 10, Unlimited Bomb: 10}</v>
      </c>
      <c r="AQ8" s="136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9</v>
      </c>
      <c r="AR8" s="137" t="str">
        <f t="array" ref="AR8">IF($AH8="","",IF(AQ8=0,"{}",LET(m,AQ8,s,MMULT(SEQUENCE(1,m,1,0),$C$11:$W$22),"{"&amp;TEXTJOIN(", ",TRUE,IF(s&gt;0,$C$10:$W$10&amp;": "&amp;ROUND(s,2),""))&amp;"}")))</f>
        <v>{Coins: 50, Red: 1, Chuck: 1, Unlimited Lives: 90, Unlimited Red: 25, Unlimited Chuck: 10, Unlimited Bomb: 10}</v>
      </c>
    </row>
    <row r="9" ht="19.5" customHeight="1">
      <c r="A9" s="92" t="s">
        <v>90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AH9" s="135" t="str">
        <f>IF(4&lt;=$B$3,4,"")</f>
        <v/>
      </c>
      <c r="AI9" s="136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137" t="str">
        <f t="array" ref="AJ9">IF($AH9="","",IF(AI9=0,"{}",LET(m,AI9,s,MMULT(SEQUENCE(1,m,1,0),$C$11:$W$22),"{"&amp;TEXTJOIN(", ",TRUE,IF(s&gt;0,$C$10:$W$10&amp;": "&amp;ROUND(s,2),""))&amp;"}")))</f>
        <v/>
      </c>
      <c r="AK9" s="136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137" t="str">
        <f t="array" ref="AL9">IF($AH9="","",IF(AK9=0,"{}",LET(m,AK9,s,MMULT(SEQUENCE(1,m,1,0),$C$11:$W$22),"{"&amp;TEXTJOIN(", ",TRUE,IF(s&gt;0,$C$10:$W$10&amp;": "&amp;ROUND(s,2),""))&amp;"}")))</f>
        <v/>
      </c>
      <c r="AM9" s="136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137" t="str">
        <f t="array" ref="AN9">IF($AH9="","",IF(AM9=0,"{}",LET(m,AM9,s,MMULT(SEQUENCE(1,m,1,0),$C$11:$W$22),"{"&amp;TEXTJOIN(", ",TRUE,IF(s&gt;0,$C$10:$W$10&amp;": "&amp;ROUND(s,2),""))&amp;"}")))</f>
        <v/>
      </c>
      <c r="AO9" s="136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137" t="str">
        <f t="array" ref="AP9">IF($AH9="","",IF(AO9=0,"{}",LET(m,AO9,s,MMULT(SEQUENCE(1,m,1,0),$C$11:$W$22),"{"&amp;TEXTJOIN(", ",TRUE,IF(s&gt;0,$C$10:$W$10&amp;": "&amp;ROUND(s,2),""))&amp;"}")))</f>
        <v/>
      </c>
      <c r="AQ9" s="136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137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96" t="s">
        <v>131</v>
      </c>
      <c r="B10" s="97" t="s">
        <v>132</v>
      </c>
      <c r="C10" s="98" t="s">
        <v>19</v>
      </c>
      <c r="D10" s="99" t="s">
        <v>5</v>
      </c>
      <c r="E10" s="99" t="s">
        <v>77</v>
      </c>
      <c r="F10" s="99" t="s">
        <v>6</v>
      </c>
      <c r="G10" s="99" t="s">
        <v>7</v>
      </c>
      <c r="H10" s="99" t="s">
        <v>8</v>
      </c>
      <c r="I10" s="99" t="s">
        <v>9</v>
      </c>
      <c r="J10" s="99" t="s">
        <v>10</v>
      </c>
      <c r="K10" s="99" t="s">
        <v>11</v>
      </c>
      <c r="L10" s="99" t="s">
        <v>12</v>
      </c>
      <c r="M10" s="99" t="s">
        <v>13</v>
      </c>
      <c r="N10" s="99" t="s">
        <v>14</v>
      </c>
      <c r="O10" s="99" t="s">
        <v>15</v>
      </c>
      <c r="P10" s="99" t="s">
        <v>92</v>
      </c>
      <c r="Q10" s="99" t="s">
        <v>78</v>
      </c>
      <c r="R10" s="99" t="s">
        <v>79</v>
      </c>
      <c r="S10" s="99" t="s">
        <v>80</v>
      </c>
      <c r="T10" s="99" t="s">
        <v>81</v>
      </c>
      <c r="U10" s="99" t="s">
        <v>82</v>
      </c>
      <c r="V10" s="99" t="s">
        <v>83</v>
      </c>
      <c r="W10" s="99" t="s">
        <v>84</v>
      </c>
      <c r="AH10" s="135" t="str">
        <f>IF(5&lt;=$B$3,5,"")</f>
        <v/>
      </c>
      <c r="AI10" s="136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137" t="str">
        <f t="array" ref="AJ10">IF($AH10="","",IF(AI10=0,"{}",LET(m,AI10,s,MMULT(SEQUENCE(1,m,1,0),$C$11:$W$22),"{"&amp;TEXTJOIN(", ",TRUE,IF(s&gt;0,$C$10:$W$10&amp;": "&amp;ROUND(s,2),""))&amp;"}")))</f>
        <v/>
      </c>
      <c r="AK10" s="136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137" t="str">
        <f t="array" ref="AL10">IF($AH10="","",IF(AK10=0,"{}",LET(m,AK10,s,MMULT(SEQUENCE(1,m,1,0),$C$11:$W$22),"{"&amp;TEXTJOIN(", ",TRUE,IF(s&gt;0,$C$10:$W$10&amp;": "&amp;ROUND(s,2),""))&amp;"}")))</f>
        <v/>
      </c>
      <c r="AM10" s="136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137" t="str">
        <f t="array" ref="AN10">IF($AH10="","",IF(AM10=0,"{}",LET(m,AM10,s,MMULT(SEQUENCE(1,m,1,0),$C$11:$W$22),"{"&amp;TEXTJOIN(", ",TRUE,IF(s&gt;0,$C$10:$W$10&amp;": "&amp;ROUND(s,2),""))&amp;"}")))</f>
        <v/>
      </c>
      <c r="AO10" s="136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137" t="str">
        <f t="array" ref="AP10">IF($AH10="","",IF(AO10=0,"{}",LET(m,AO10,s,MMULT(SEQUENCE(1,m,1,0),$C$11:$W$22),"{"&amp;TEXTJOIN(", ",TRUE,IF(s&gt;0,$C$10:$W$10&amp;": "&amp;ROUND(s,2),""))&amp;"}")))</f>
        <v/>
      </c>
      <c r="AQ10" s="136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137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101">
        <v>1.0</v>
      </c>
      <c r="B11" s="102">
        <v>30.0</v>
      </c>
      <c r="C11" s="129">
        <v>0.0</v>
      </c>
      <c r="D11" s="101">
        <v>0.0</v>
      </c>
      <c r="E11" s="101">
        <v>0.0</v>
      </c>
      <c r="F11" s="101">
        <v>0.0</v>
      </c>
      <c r="G11" s="101">
        <v>1.0</v>
      </c>
      <c r="H11" s="101">
        <v>0.0</v>
      </c>
      <c r="I11" s="101">
        <v>0.0</v>
      </c>
      <c r="J11" s="101">
        <v>0.0</v>
      </c>
      <c r="K11" s="101">
        <v>0.0</v>
      </c>
      <c r="L11" s="101">
        <v>0.0</v>
      </c>
      <c r="M11" s="101">
        <v>0.0</v>
      </c>
      <c r="N11" s="101">
        <v>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1">
        <v>0.0</v>
      </c>
      <c r="V11" s="101">
        <v>0.0</v>
      </c>
      <c r="W11" s="101">
        <v>0.0</v>
      </c>
      <c r="AH11" s="135" t="str">
        <f>IF(6&lt;=$B$3,6,"")</f>
        <v/>
      </c>
      <c r="AI11" s="136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137" t="str">
        <f t="array" ref="AJ11">IF($AH11="","",IF(AI11=0,"{}",LET(m,AI11,s,MMULT(SEQUENCE(1,m,1,0),$C$11:$W$22),"{"&amp;TEXTJOIN(", ",TRUE,IF(s&gt;0,$C$10:$W$10&amp;": "&amp;ROUND(s,2),""))&amp;"}")))</f>
        <v/>
      </c>
      <c r="AK11" s="136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137" t="str">
        <f t="array" ref="AL11">IF($AH11="","",IF(AK11=0,"{}",LET(m,AK11,s,MMULT(SEQUENCE(1,m,1,0),$C$11:$W$22),"{"&amp;TEXTJOIN(", ",TRUE,IF(s&gt;0,$C$10:$W$10&amp;": "&amp;ROUND(s,2),""))&amp;"}")))</f>
        <v/>
      </c>
      <c r="AM11" s="136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137" t="str">
        <f t="array" ref="AN11">IF($AH11="","",IF(AM11=0,"{}",LET(m,AM11,s,MMULT(SEQUENCE(1,m,1,0),$C$11:$W$22),"{"&amp;TEXTJOIN(", ",TRUE,IF(s&gt;0,$C$10:$W$10&amp;": "&amp;ROUND(s,2),""))&amp;"}")))</f>
        <v/>
      </c>
      <c r="AO11" s="136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137" t="str">
        <f t="array" ref="AP11">IF($AH11="","",IF(AO11=0,"{}",LET(m,AO11,s,MMULT(SEQUENCE(1,m,1,0),$C$11:$W$22),"{"&amp;TEXTJOIN(", ",TRUE,IF(s&gt;0,$C$10:$W$10&amp;": "&amp;ROUND(s,2),""))&amp;"}")))</f>
        <v/>
      </c>
      <c r="AQ11" s="136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137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101">
        <v>2.0</v>
      </c>
      <c r="B12" s="102">
        <v>80.0</v>
      </c>
      <c r="C12" s="129">
        <v>0.0</v>
      </c>
      <c r="D12" s="101">
        <v>0.0</v>
      </c>
      <c r="E12" s="101">
        <v>0.0</v>
      </c>
      <c r="F12" s="101">
        <v>0.0</v>
      </c>
      <c r="G12" s="101">
        <v>0.0</v>
      </c>
      <c r="H12" s="101">
        <v>0.0</v>
      </c>
      <c r="I12" s="101">
        <v>0.0</v>
      </c>
      <c r="J12" s="101">
        <v>0.0</v>
      </c>
      <c r="K12" s="101">
        <v>0.0</v>
      </c>
      <c r="L12" s="101">
        <v>0.0</v>
      </c>
      <c r="M12" s="101">
        <v>10.0</v>
      </c>
      <c r="N12" s="101">
        <v>0.0</v>
      </c>
      <c r="O12" s="101">
        <v>0.0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  <c r="W12" s="101">
        <v>0.0</v>
      </c>
      <c r="AH12" s="135" t="str">
        <f>IF(7&lt;=$B$3,7,"")</f>
        <v/>
      </c>
      <c r="AI12" s="136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137" t="str">
        <f t="array" ref="AJ12">IF($AH12="","",IF(AI12=0,"{}",LET(m,AI12,s,MMULT(SEQUENCE(1,m,1,0),$C$11:$W$22),"{"&amp;TEXTJOIN(", ",TRUE,IF(s&gt;0,$C$10:$W$10&amp;": "&amp;ROUND(s,2),""))&amp;"}")))</f>
        <v/>
      </c>
      <c r="AK12" s="136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137" t="str">
        <f t="array" ref="AL12">IF($AH12="","",IF(AK12=0,"{}",LET(m,AK12,s,MMULT(SEQUENCE(1,m,1,0),$C$11:$W$22),"{"&amp;TEXTJOIN(", ",TRUE,IF(s&gt;0,$C$10:$W$10&amp;": "&amp;ROUND(s,2),""))&amp;"}")))</f>
        <v/>
      </c>
      <c r="AM12" s="136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137" t="str">
        <f t="array" ref="AN12">IF($AH12="","",IF(AM12=0,"{}",LET(m,AM12,s,MMULT(SEQUENCE(1,m,1,0),$C$11:$W$22),"{"&amp;TEXTJOIN(", ",TRUE,IF(s&gt;0,$C$10:$W$10&amp;": "&amp;ROUND(s,2),""))&amp;"}")))</f>
        <v/>
      </c>
      <c r="AO12" s="136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137" t="str">
        <f t="array" ref="AP12">IF($AH12="","",IF(AO12=0,"{}",LET(m,AO12,s,MMULT(SEQUENCE(1,m,1,0),$C$11:$W$22),"{"&amp;TEXTJOIN(", ",TRUE,IF(s&gt;0,$C$10:$W$10&amp;": "&amp;ROUND(s,2),""))&amp;"}")))</f>
        <v/>
      </c>
      <c r="AQ12" s="136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137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101">
        <v>3.0</v>
      </c>
      <c r="B13" s="102">
        <v>150.0</v>
      </c>
      <c r="C13" s="129">
        <v>0.0</v>
      </c>
      <c r="D13" s="101">
        <v>0.0</v>
      </c>
      <c r="E13" s="101">
        <v>0.0</v>
      </c>
      <c r="F13" s="101">
        <v>0.0</v>
      </c>
      <c r="G13" s="101">
        <v>0.0</v>
      </c>
      <c r="H13" s="101">
        <v>0.0</v>
      </c>
      <c r="I13" s="101">
        <v>0.0</v>
      </c>
      <c r="J13" s="101">
        <v>0.0</v>
      </c>
      <c r="K13" s="101">
        <v>0.0</v>
      </c>
      <c r="L13" s="101">
        <v>0.0</v>
      </c>
      <c r="M13" s="101">
        <v>0.0</v>
      </c>
      <c r="N13" s="101">
        <v>10.0</v>
      </c>
      <c r="O13" s="101">
        <v>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  <c r="W13" s="101">
        <v>0.0</v>
      </c>
    </row>
    <row r="14">
      <c r="A14" s="101">
        <v>4.0</v>
      </c>
      <c r="B14" s="102">
        <v>250.0</v>
      </c>
      <c r="C14" s="129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0.0</v>
      </c>
      <c r="J14" s="101">
        <v>0.0</v>
      </c>
      <c r="K14" s="101">
        <v>0.0</v>
      </c>
      <c r="L14" s="101">
        <v>30.0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  <c r="W14" s="101">
        <v>0.0</v>
      </c>
    </row>
    <row r="15">
      <c r="A15" s="101">
        <v>5.0</v>
      </c>
      <c r="B15" s="102">
        <v>370.0</v>
      </c>
      <c r="C15" s="129">
        <v>25.0</v>
      </c>
      <c r="D15" s="101">
        <v>0.0</v>
      </c>
      <c r="E15" s="101">
        <v>0.0</v>
      </c>
      <c r="F15" s="101">
        <v>0.0</v>
      </c>
      <c r="G15" s="101">
        <v>0.0</v>
      </c>
      <c r="H15" s="101">
        <v>0.0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  <c r="W15" s="101">
        <v>0.0</v>
      </c>
    </row>
    <row r="16">
      <c r="A16" s="101">
        <v>6.0</v>
      </c>
      <c r="B16" s="102">
        <v>520.0</v>
      </c>
      <c r="C16" s="129">
        <v>0.0</v>
      </c>
      <c r="D16" s="101">
        <v>0.0</v>
      </c>
      <c r="E16" s="101">
        <v>0.0</v>
      </c>
      <c r="F16" s="101">
        <v>1.0</v>
      </c>
      <c r="G16" s="101">
        <v>0.0</v>
      </c>
      <c r="H16" s="101">
        <v>0.0</v>
      </c>
      <c r="I16" s="101">
        <v>0.0</v>
      </c>
      <c r="J16" s="101">
        <v>0.0</v>
      </c>
      <c r="K16" s="101">
        <v>0.0</v>
      </c>
      <c r="L16" s="101">
        <v>0.0</v>
      </c>
      <c r="M16" s="101">
        <v>0.0</v>
      </c>
      <c r="N16" s="101">
        <v>0.0</v>
      </c>
      <c r="O16" s="101">
        <v>10.0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  <c r="W16" s="101">
        <v>0.0</v>
      </c>
    </row>
    <row r="17">
      <c r="A17" s="101">
        <v>7.0</v>
      </c>
      <c r="B17" s="102">
        <v>690.0</v>
      </c>
      <c r="C17" s="129">
        <v>0.0</v>
      </c>
      <c r="D17" s="101">
        <v>0.0</v>
      </c>
      <c r="E17" s="101">
        <v>0.0</v>
      </c>
      <c r="F17" s="101">
        <v>0.0</v>
      </c>
      <c r="G17" s="101">
        <v>0.0</v>
      </c>
      <c r="H17" s="101">
        <v>0.0</v>
      </c>
      <c r="I17" s="101">
        <v>0.0</v>
      </c>
      <c r="J17" s="101">
        <v>0.0</v>
      </c>
      <c r="K17" s="101">
        <v>0.0</v>
      </c>
      <c r="L17" s="101">
        <v>60.0</v>
      </c>
      <c r="M17" s="101">
        <v>0.0</v>
      </c>
      <c r="N17" s="101">
        <v>0.0</v>
      </c>
      <c r="O17" s="101">
        <v>0.0</v>
      </c>
      <c r="P17" s="101">
        <v>0.0</v>
      </c>
      <c r="Q17" s="101">
        <v>0.0</v>
      </c>
      <c r="R17" s="101">
        <v>0.0</v>
      </c>
      <c r="S17" s="101">
        <v>0.0</v>
      </c>
      <c r="T17" s="101">
        <v>0.0</v>
      </c>
      <c r="U17" s="101">
        <v>0.0</v>
      </c>
      <c r="V17" s="101">
        <v>0.0</v>
      </c>
      <c r="W17" s="101">
        <v>0.0</v>
      </c>
    </row>
    <row r="18">
      <c r="A18" s="101">
        <v>8.0</v>
      </c>
      <c r="B18" s="102">
        <v>890.0</v>
      </c>
      <c r="C18" s="129">
        <v>0.0</v>
      </c>
      <c r="D18" s="101">
        <v>0.0</v>
      </c>
      <c r="E18" s="101">
        <v>0.0</v>
      </c>
      <c r="F18" s="101">
        <v>0.0</v>
      </c>
      <c r="G18" s="101">
        <v>0.0</v>
      </c>
      <c r="H18" s="101">
        <v>0.0</v>
      </c>
      <c r="I18" s="101">
        <v>0.0</v>
      </c>
      <c r="J18" s="101">
        <v>0.0</v>
      </c>
      <c r="K18" s="101">
        <v>0.0</v>
      </c>
      <c r="L18" s="101">
        <v>0.0</v>
      </c>
      <c r="M18" s="101">
        <v>15.0</v>
      </c>
      <c r="N18" s="101">
        <v>0.0</v>
      </c>
      <c r="O18" s="101">
        <v>0.0</v>
      </c>
      <c r="P18" s="101">
        <v>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  <c r="W18" s="101">
        <v>0.0</v>
      </c>
    </row>
    <row r="19">
      <c r="A19" s="101">
        <v>9.0</v>
      </c>
      <c r="B19" s="102">
        <v>1110.0</v>
      </c>
      <c r="C19" s="129">
        <v>25.0</v>
      </c>
      <c r="D19" s="101">
        <v>0.0</v>
      </c>
      <c r="E19" s="101">
        <v>0.0</v>
      </c>
      <c r="F19" s="101">
        <v>0.0</v>
      </c>
      <c r="G19" s="101">
        <v>0.0</v>
      </c>
      <c r="H19" s="101">
        <v>0.0</v>
      </c>
      <c r="I19" s="101">
        <v>0.0</v>
      </c>
      <c r="J19" s="101">
        <v>0.0</v>
      </c>
      <c r="K19" s="101">
        <v>0.0</v>
      </c>
      <c r="L19" s="101">
        <v>0.0</v>
      </c>
      <c r="M19" s="101">
        <v>0.0</v>
      </c>
      <c r="N19" s="101">
        <v>0.0</v>
      </c>
      <c r="O19" s="101">
        <v>0.0</v>
      </c>
      <c r="P19" s="101">
        <v>0.0</v>
      </c>
      <c r="Q19" s="101">
        <v>0.0</v>
      </c>
      <c r="R19" s="101">
        <v>0.0</v>
      </c>
      <c r="S19" s="101">
        <v>0.0</v>
      </c>
      <c r="T19" s="101">
        <v>0.0</v>
      </c>
      <c r="U19" s="101">
        <v>0.0</v>
      </c>
      <c r="V19" s="101">
        <v>0.0</v>
      </c>
      <c r="W19" s="101">
        <v>0.0</v>
      </c>
    </row>
    <row r="20">
      <c r="A20" s="101">
        <v>10.0</v>
      </c>
      <c r="B20" s="102">
        <v>1360.0</v>
      </c>
      <c r="C20" s="129">
        <v>0.0</v>
      </c>
      <c r="D20" s="101">
        <v>0.0</v>
      </c>
      <c r="E20" s="101">
        <v>0.0</v>
      </c>
      <c r="F20" s="101">
        <v>0.0</v>
      </c>
      <c r="G20" s="101">
        <v>0.0</v>
      </c>
      <c r="H20" s="101">
        <v>0.0</v>
      </c>
      <c r="I20" s="101">
        <v>0.0</v>
      </c>
      <c r="J20" s="101">
        <v>0.0</v>
      </c>
      <c r="K20" s="101">
        <v>0.0</v>
      </c>
      <c r="L20" s="101">
        <v>0.0</v>
      </c>
      <c r="M20" s="101">
        <v>0.0</v>
      </c>
      <c r="N20" s="101">
        <v>15.0</v>
      </c>
      <c r="O20" s="101">
        <v>0.0</v>
      </c>
      <c r="P20" s="101">
        <v>0.0</v>
      </c>
      <c r="Q20" s="101">
        <v>0.0</v>
      </c>
      <c r="R20" s="101">
        <v>0.0</v>
      </c>
      <c r="S20" s="101">
        <v>0.0</v>
      </c>
      <c r="T20" s="101">
        <v>0.0</v>
      </c>
      <c r="U20" s="101">
        <v>0.0</v>
      </c>
      <c r="V20" s="101">
        <v>0.0</v>
      </c>
      <c r="W20" s="101">
        <v>0.0</v>
      </c>
    </row>
    <row r="21" ht="15.75" customHeight="1">
      <c r="A21" s="101">
        <v>11.0</v>
      </c>
      <c r="B21" s="102">
        <v>1630.0</v>
      </c>
      <c r="C21" s="129">
        <v>0.0</v>
      </c>
      <c r="D21" s="101">
        <v>0.0</v>
      </c>
      <c r="E21" s="101">
        <v>0.0</v>
      </c>
      <c r="F21" s="101">
        <v>0.0</v>
      </c>
      <c r="G21" s="101">
        <v>0.0</v>
      </c>
      <c r="H21" s="101">
        <v>0.0</v>
      </c>
      <c r="I21" s="101">
        <v>1.0</v>
      </c>
      <c r="J21" s="101">
        <v>0.0</v>
      </c>
      <c r="K21" s="101">
        <v>0.0</v>
      </c>
      <c r="L21" s="101">
        <v>0.0</v>
      </c>
      <c r="M21" s="101">
        <v>0.0</v>
      </c>
      <c r="N21" s="101">
        <v>0.0</v>
      </c>
      <c r="O21" s="101">
        <v>0.0</v>
      </c>
      <c r="P21" s="101">
        <v>0.0</v>
      </c>
      <c r="Q21" s="101">
        <v>0.0</v>
      </c>
      <c r="R21" s="101">
        <v>0.0</v>
      </c>
      <c r="S21" s="101">
        <v>0.0</v>
      </c>
      <c r="T21" s="101">
        <v>0.0</v>
      </c>
      <c r="U21" s="101">
        <v>0.0</v>
      </c>
      <c r="V21" s="101">
        <v>0.0</v>
      </c>
      <c r="W21" s="101">
        <v>0.0</v>
      </c>
    </row>
    <row r="22" ht="15.75" customHeight="1">
      <c r="A22" s="101">
        <v>12.0</v>
      </c>
      <c r="B22" s="102">
        <v>1930.0</v>
      </c>
      <c r="C22" s="129">
        <v>0.0</v>
      </c>
      <c r="D22" s="101">
        <v>0.0</v>
      </c>
      <c r="E22" s="101">
        <v>0.0</v>
      </c>
      <c r="F22" s="101">
        <v>0.0</v>
      </c>
      <c r="G22" s="101">
        <v>0.0</v>
      </c>
      <c r="H22" s="101">
        <v>0.0</v>
      </c>
      <c r="I22" s="101">
        <v>0.0</v>
      </c>
      <c r="J22" s="101">
        <v>0.0</v>
      </c>
      <c r="K22" s="101">
        <v>0.0</v>
      </c>
      <c r="L22" s="101">
        <v>60.0</v>
      </c>
      <c r="M22" s="101">
        <v>0.0</v>
      </c>
      <c r="N22" s="101">
        <v>0.0</v>
      </c>
      <c r="O22" s="101">
        <v>15.0</v>
      </c>
      <c r="P22" s="101">
        <v>0.0</v>
      </c>
      <c r="Q22" s="101">
        <v>0.0</v>
      </c>
      <c r="R22" s="101">
        <v>0.0</v>
      </c>
      <c r="S22" s="101">
        <v>0.0</v>
      </c>
      <c r="T22" s="101">
        <v>0.0</v>
      </c>
      <c r="U22" s="101">
        <v>0.0</v>
      </c>
      <c r="V22" s="101">
        <v>0.0</v>
      </c>
      <c r="W22" s="101">
        <v>0.0</v>
      </c>
    </row>
    <row r="23" ht="15.75" customHeight="1"/>
    <row r="24" ht="15.75" customHeight="1"/>
    <row r="25" ht="15.75" customHeight="1"/>
    <row r="26" ht="15.75" customHeight="1"/>
  </sheetData>
  <conditionalFormatting sqref="C11:W22">
    <cfRule type="cellIs" dxfId="1" priority="1" operator="greaterThan">
      <formula>0</formula>
    </cfRule>
  </conditionalFormatting>
  <conditionalFormatting sqref="A1:B26">
    <cfRule type="expression" dxfId="3" priority="2">
      <formula>ISFORMULA(A1)</formula>
    </cfRule>
  </conditionalFormatting>
  <conditionalFormatting sqref="A11:W22">
    <cfRule type="expression" dxfId="2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1" t="s">
        <v>39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</row>
    <row r="3">
      <c r="A3" s="125" t="s">
        <v>126</v>
      </c>
      <c r="B3" s="126">
        <v>3.0</v>
      </c>
    </row>
    <row r="4">
      <c r="A4" s="125" t="s">
        <v>127</v>
      </c>
      <c r="B4" s="126">
        <v>1.0</v>
      </c>
    </row>
    <row r="5">
      <c r="A5" s="125" t="s">
        <v>128</v>
      </c>
      <c r="B5" s="126">
        <v>15.0</v>
      </c>
    </row>
    <row r="6">
      <c r="A6" s="125" t="s">
        <v>149</v>
      </c>
      <c r="B6" s="126">
        <v>1.0</v>
      </c>
    </row>
    <row r="7">
      <c r="A7" s="125" t="s">
        <v>150</v>
      </c>
      <c r="B7" s="126">
        <v>2.0</v>
      </c>
    </row>
    <row r="8">
      <c r="A8" s="125" t="s">
        <v>151</v>
      </c>
      <c r="B8" s="126">
        <v>3.0</v>
      </c>
    </row>
    <row r="10" ht="19.5" customHeight="1">
      <c r="A10" s="92" t="s">
        <v>90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</row>
    <row r="11" ht="90.0" customHeight="1">
      <c r="A11" s="97" t="s">
        <v>152</v>
      </c>
      <c r="B11" s="98" t="s">
        <v>19</v>
      </c>
      <c r="C11" s="99" t="s">
        <v>5</v>
      </c>
      <c r="D11" s="99" t="s">
        <v>77</v>
      </c>
      <c r="E11" s="99" t="s">
        <v>6</v>
      </c>
      <c r="F11" s="99" t="s">
        <v>7</v>
      </c>
      <c r="G11" s="99" t="s">
        <v>8</v>
      </c>
      <c r="H11" s="99" t="s">
        <v>9</v>
      </c>
      <c r="I11" s="99" t="s">
        <v>10</v>
      </c>
      <c r="J11" s="99" t="s">
        <v>11</v>
      </c>
      <c r="K11" s="99" t="s">
        <v>12</v>
      </c>
      <c r="L11" s="99" t="s">
        <v>13</v>
      </c>
      <c r="M11" s="99" t="s">
        <v>14</v>
      </c>
      <c r="N11" s="99" t="s">
        <v>15</v>
      </c>
      <c r="O11" s="99" t="s">
        <v>92</v>
      </c>
      <c r="P11" s="99" t="s">
        <v>78</v>
      </c>
      <c r="Q11" s="99" t="s">
        <v>79</v>
      </c>
      <c r="R11" s="99" t="s">
        <v>80</v>
      </c>
      <c r="S11" s="99" t="s">
        <v>81</v>
      </c>
      <c r="T11" s="99" t="s">
        <v>82</v>
      </c>
      <c r="U11" s="99" t="s">
        <v>83</v>
      </c>
      <c r="V11" s="99" t="s">
        <v>84</v>
      </c>
    </row>
    <row r="12">
      <c r="A12" s="138" t="s">
        <v>153</v>
      </c>
      <c r="B12" s="129">
        <v>0.0</v>
      </c>
      <c r="C12" s="101">
        <v>0.0</v>
      </c>
      <c r="D12" s="101">
        <v>0.0</v>
      </c>
      <c r="E12" s="101">
        <v>1.0</v>
      </c>
      <c r="F12" s="101">
        <v>0.0</v>
      </c>
      <c r="G12" s="101">
        <v>0.0</v>
      </c>
      <c r="H12" s="101">
        <v>0.0</v>
      </c>
      <c r="I12" s="101">
        <v>0.0</v>
      </c>
      <c r="J12" s="101">
        <v>0.0</v>
      </c>
      <c r="K12" s="101">
        <v>60.0</v>
      </c>
      <c r="L12" s="101">
        <v>0.0</v>
      </c>
      <c r="M12" s="101">
        <v>0.0</v>
      </c>
      <c r="N12" s="101">
        <v>0.0</v>
      </c>
      <c r="O12" s="139">
        <v>5.0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</row>
    <row r="13">
      <c r="A13" s="138" t="s">
        <v>154</v>
      </c>
      <c r="B13" s="129">
        <v>10.0</v>
      </c>
      <c r="C13" s="101">
        <v>0.0</v>
      </c>
      <c r="D13" s="101">
        <v>0.0</v>
      </c>
      <c r="E13" s="101">
        <v>0.0</v>
      </c>
      <c r="F13" s="101">
        <v>1.0</v>
      </c>
      <c r="G13" s="101">
        <v>0.0</v>
      </c>
      <c r="H13" s="101">
        <v>0.0</v>
      </c>
      <c r="I13" s="101">
        <v>0.0</v>
      </c>
      <c r="J13" s="101">
        <v>0.0</v>
      </c>
      <c r="K13" s="101">
        <v>0.0</v>
      </c>
      <c r="L13" s="101">
        <v>0.0</v>
      </c>
      <c r="M13" s="101">
        <v>0.0</v>
      </c>
      <c r="N13" s="101">
        <v>0.0</v>
      </c>
      <c r="O13" s="139">
        <v>10.0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</row>
    <row r="14">
      <c r="A14" s="138" t="s">
        <v>155</v>
      </c>
      <c r="B14" s="129">
        <v>0.0</v>
      </c>
      <c r="C14" s="101">
        <v>0.0</v>
      </c>
      <c r="D14" s="101">
        <v>0.0</v>
      </c>
      <c r="E14" s="101">
        <v>0.0</v>
      </c>
      <c r="F14" s="101">
        <v>0.0</v>
      </c>
      <c r="G14" s="101">
        <v>1.0</v>
      </c>
      <c r="H14" s="101">
        <v>0.0</v>
      </c>
      <c r="I14" s="101">
        <v>0.0</v>
      </c>
      <c r="J14" s="101">
        <v>1.0</v>
      </c>
      <c r="K14" s="101">
        <v>30.0</v>
      </c>
      <c r="L14" s="101">
        <v>0.0</v>
      </c>
      <c r="M14" s="101">
        <v>0.0</v>
      </c>
      <c r="N14" s="101">
        <v>0.0</v>
      </c>
      <c r="O14" s="139">
        <v>20.0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</row>
    <row r="15">
      <c r="A15" s="138" t="s">
        <v>156</v>
      </c>
      <c r="B15" s="129">
        <v>15.0</v>
      </c>
      <c r="C15" s="101">
        <v>0.0</v>
      </c>
      <c r="D15" s="101">
        <v>0.0</v>
      </c>
      <c r="E15" s="101">
        <v>0.0</v>
      </c>
      <c r="F15" s="101">
        <v>0.0</v>
      </c>
      <c r="G15" s="101">
        <v>0.0</v>
      </c>
      <c r="H15" s="101">
        <v>0.0</v>
      </c>
      <c r="I15" s="101">
        <v>1.0</v>
      </c>
      <c r="J15" s="101">
        <v>0.0</v>
      </c>
      <c r="K15" s="101">
        <v>0.0</v>
      </c>
      <c r="L15" s="101">
        <v>10.0</v>
      </c>
      <c r="M15" s="101">
        <v>0.0</v>
      </c>
      <c r="N15" s="101">
        <v>0.0</v>
      </c>
      <c r="O15" s="139">
        <v>50.0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</row>
    <row r="16">
      <c r="A16" s="138" t="s">
        <v>157</v>
      </c>
      <c r="B16" s="129">
        <v>40.0</v>
      </c>
      <c r="C16" s="101">
        <v>0.0</v>
      </c>
      <c r="D16" s="101">
        <v>0.0</v>
      </c>
      <c r="E16" s="101">
        <v>0.0</v>
      </c>
      <c r="F16" s="101">
        <v>0.0</v>
      </c>
      <c r="G16" s="101">
        <v>0.0</v>
      </c>
      <c r="H16" s="101">
        <v>1.0</v>
      </c>
      <c r="I16" s="101">
        <v>0.0</v>
      </c>
      <c r="J16" s="101">
        <v>0.0</v>
      </c>
      <c r="K16" s="101">
        <v>0.0</v>
      </c>
      <c r="L16" s="101">
        <v>0.0</v>
      </c>
      <c r="M16" s="101">
        <v>10.0</v>
      </c>
      <c r="N16" s="101">
        <v>0.0</v>
      </c>
      <c r="O16" s="139">
        <v>70.0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</row>
  </sheetData>
  <conditionalFormatting sqref="B12:V16">
    <cfRule type="cellIs" dxfId="1" priority="1" operator="greaterThan">
      <formula>0</formula>
    </cfRule>
  </conditionalFormatting>
  <conditionalFormatting sqref="A12:V16">
    <cfRule type="expression" dxfId="2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44" width="11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1" t="s">
        <v>39</v>
      </c>
      <c r="AH1" s="130" t="s">
        <v>133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AH2" s="131" t="s">
        <v>134</v>
      </c>
      <c r="AI2" s="132" t="s">
        <v>135</v>
      </c>
      <c r="AT2" s="131" t="s">
        <v>158</v>
      </c>
      <c r="AU2" s="140">
        <v>0.8</v>
      </c>
    </row>
    <row r="3">
      <c r="A3" s="125" t="s">
        <v>126</v>
      </c>
      <c r="B3" s="133">
        <v>4.0</v>
      </c>
      <c r="AH3" s="131" t="s">
        <v>136</v>
      </c>
      <c r="AI3" s="132" t="s">
        <v>137</v>
      </c>
    </row>
    <row r="4">
      <c r="A4" s="125" t="s">
        <v>127</v>
      </c>
      <c r="B4" s="126">
        <v>1.0</v>
      </c>
      <c r="AT4" s="141" t="s">
        <v>159</v>
      </c>
      <c r="AU4" s="141" t="s">
        <v>160</v>
      </c>
      <c r="AV4" s="141" t="s">
        <v>161</v>
      </c>
    </row>
    <row r="5">
      <c r="A5" s="125" t="s">
        <v>128</v>
      </c>
      <c r="B5" s="126">
        <v>15.0</v>
      </c>
      <c r="AH5" s="134" t="s">
        <v>138</v>
      </c>
      <c r="AI5" s="134" t="s">
        <v>139</v>
      </c>
      <c r="AJ5" s="134" t="s">
        <v>140</v>
      </c>
      <c r="AK5" s="134" t="s">
        <v>141</v>
      </c>
      <c r="AL5" s="134" t="s">
        <v>142</v>
      </c>
      <c r="AM5" s="134" t="s">
        <v>143</v>
      </c>
      <c r="AN5" s="134" t="s">
        <v>144</v>
      </c>
      <c r="AO5" s="134" t="s">
        <v>145</v>
      </c>
      <c r="AP5" s="134" t="s">
        <v>146</v>
      </c>
      <c r="AQ5" s="134" t="s">
        <v>147</v>
      </c>
      <c r="AR5" s="134" t="s">
        <v>148</v>
      </c>
      <c r="AT5" s="142">
        <v>1.0</v>
      </c>
      <c r="AU5" s="143">
        <v>16.0</v>
      </c>
      <c r="AV5" s="144">
        <f t="shared" ref="AV5:AV9" si="1">SUM($AU$5:$AU5)/$AU$2</f>
        <v>20</v>
      </c>
    </row>
    <row r="6">
      <c r="A6" s="125" t="s">
        <v>149</v>
      </c>
      <c r="B6" s="126">
        <v>1.0</v>
      </c>
      <c r="AH6" s="135">
        <f>IF(1&lt;=$B$3,1,"")</f>
        <v>1</v>
      </c>
      <c r="AI6" s="136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137" t="str">
        <f t="array" ref="AJ6">IF($AH6="","",IF(AI6=0,"{}",LET(m,AI6,s,MMULT(SEQUENCE(1,m,1,0),$B$12:$V$16),"{"&amp;TEXTJOIN(", ",TRUE,IF(s&gt;0,$B$11:$V$11&amp;": "&amp;ROUND(s,2),""))&amp;"}")))</f>
        <v>{}</v>
      </c>
      <c r="AK6" s="136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137" t="str">
        <f t="array" ref="AL6">IF($AH6="","",IF(AK6=0,"{}",LET(m,AK6,s,MMULT(SEQUENCE(1,m,1,0),$B$12:$V$16),"{"&amp;TEXTJOIN(", ",TRUE,IF(s&gt;0,$B$11:$V$11&amp;": "&amp;ROUND(s,2),""))&amp;"}")))</f>
        <v>{}</v>
      </c>
      <c r="AM6" s="136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137" t="str">
        <f t="array" ref="AN6">IF($AH6="","",IF(AM6=0,"{}",LET(m,AM6,s,MMULT(SEQUENCE(1,m,1,0),$B$12:$V$16),"{"&amp;TEXTJOIN(", ",TRUE,IF(s&gt;0,$B$11:$V$11&amp;": "&amp;ROUND(s,2),""))&amp;"}")))</f>
        <v>{Red: 1, Unlimited Lives: 60, COOP Token: 5}</v>
      </c>
      <c r="AO6" s="136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2</v>
      </c>
      <c r="AP6" s="137" t="str">
        <f t="array" ref="AP6">IF($AH6="","",IF(AO6=0,"{}",LET(m,AO6,s,MMULT(SEQUENCE(1,m,1,0),$B$12:$V$16),"{"&amp;TEXTJOIN(", ",TRUE,IF(s&gt;0,$B$11:$V$11&amp;": "&amp;ROUND(s,2),""))&amp;"}")))</f>
        <v>{Coins: 10, Red: 1, Chuck: 1, Unlimited Lives: 60, COOP Token: 15}</v>
      </c>
      <c r="AQ6" s="136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3</v>
      </c>
      <c r="AR6" s="137" t="str">
        <f t="array" ref="AR6">IF($AH6="","",IF(AQ6=0,"{}",LET(m,AQ6,s,MMULT(SEQUENCE(1,m,1,0),$B$12:$V$16),"{"&amp;TEXTJOIN(", ",TRUE,IF(s&gt;0,$B$11:$V$11&amp;": "&amp;ROUND(s,2),""))&amp;"}")))</f>
        <v>{Coins: 10, Red: 1, Chuck: 1, Bomb: 1, Comet: 1, Unlimited Lives: 90, COOP Token: 35}</v>
      </c>
      <c r="AT6" s="142">
        <v>2.0</v>
      </c>
      <c r="AU6" s="143">
        <v>25.0</v>
      </c>
      <c r="AV6" s="144">
        <f t="shared" si="1"/>
        <v>51.25</v>
      </c>
    </row>
    <row r="7">
      <c r="A7" s="125" t="s">
        <v>150</v>
      </c>
      <c r="B7" s="126">
        <v>2.0</v>
      </c>
      <c r="AH7" s="135">
        <f>IF(2&lt;=$B$3,2,"")</f>
        <v>2</v>
      </c>
      <c r="AI7" s="136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137" t="str">
        <f t="array" ref="AJ7">IF($AH7="","",IF(AI7=0,"{}",LET(m,AI7,s,MMULT(SEQUENCE(1,m,1,0),$B$12:$V$16),"{"&amp;TEXTJOIN(", ",TRUE,IF(s&gt;0,$B$11:$V$11&amp;": "&amp;ROUND(s,2),""))&amp;"}")))</f>
        <v>{}</v>
      </c>
      <c r="AK7" s="136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137" t="str">
        <f t="array" ref="AL7">IF($AH7="","",IF(AK7=0,"{}",LET(m,AK7,s,MMULT(SEQUENCE(1,m,1,0),$B$12:$V$16),"{"&amp;TEXTJOIN(", ",TRUE,IF(s&gt;0,$B$11:$V$11&amp;": "&amp;ROUND(s,2),""))&amp;"}")))</f>
        <v>{Red: 1, Unlimited Lives: 60, COOP Token: 5}</v>
      </c>
      <c r="AM7" s="136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2</v>
      </c>
      <c r="AN7" s="137" t="str">
        <f t="array" ref="AN7">IF($AH7="","",IF(AM7=0,"{}",LET(m,AM7,s,MMULT(SEQUENCE(1,m,1,0),$B$12:$V$16),"{"&amp;TEXTJOIN(", ",TRUE,IF(s&gt;0,$B$11:$V$11&amp;": "&amp;ROUND(s,2),""))&amp;"}")))</f>
        <v>{Coins: 10, Red: 1, Chuck: 1, Unlimited Lives: 60, COOP Token: 15}</v>
      </c>
      <c r="AO7" s="136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3</v>
      </c>
      <c r="AP7" s="137" t="str">
        <f t="array" ref="AP7">IF($AH7="","",IF(AO7=0,"{}",LET(m,AO7,s,MMULT(SEQUENCE(1,m,1,0),$B$12:$V$16),"{"&amp;TEXTJOIN(", ",TRUE,IF(s&gt;0,$B$11:$V$11&amp;": "&amp;ROUND(s,2),""))&amp;"}")))</f>
        <v>{Coins: 10, Red: 1, Chuck: 1, Bomb: 1, Comet: 1, Unlimited Lives: 90, COOP Token: 35}</v>
      </c>
      <c r="AQ7" s="136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137" t="str">
        <f t="array" ref="AR7">IF($AH7="","",IF(AQ7=0,"{}",LET(m,AQ7,s,MMULT(SEQUENCE(1,m,1,0),$B$12:$V$16),"{"&amp;TEXTJOIN(", ",TRUE,IF(s&gt;0,$B$11:$V$11&amp;": "&amp;ROUND(s,2),""))&amp;"}")))</f>
        <v>{Coins: 10, Red: 1, Chuck: 1, Bomb: 1, Comet: 1, Unlimited Lives: 90, COOP Token: 35}</v>
      </c>
      <c r="AT7" s="142">
        <v>3.0</v>
      </c>
      <c r="AU7" s="143">
        <v>36.0</v>
      </c>
      <c r="AV7" s="144">
        <f t="shared" si="1"/>
        <v>96.25</v>
      </c>
    </row>
    <row r="8">
      <c r="A8" s="125" t="s">
        <v>151</v>
      </c>
      <c r="B8" s="126">
        <v>3.0</v>
      </c>
      <c r="AH8" s="135">
        <f>IF(3&lt;=$B$3,3,"")</f>
        <v>3</v>
      </c>
      <c r="AI8" s="136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137" t="str">
        <f t="array" ref="AJ8">IF($AH8="","",IF(AI8=0,"{}",LET(m,AI8,s,MMULT(SEQUENCE(1,m,1,0),$B$12:$V$16),"{"&amp;TEXTJOIN(", ",TRUE,IF(s&gt;0,$B$11:$V$11&amp;": "&amp;ROUND(s,2),""))&amp;"}")))</f>
        <v>{}</v>
      </c>
      <c r="AK8" s="136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137" t="str">
        <f t="array" ref="AL8">IF($AH8="","",IF(AK8=0,"{}",LET(m,AK8,s,MMULT(SEQUENCE(1,m,1,0),$B$12:$V$16),"{"&amp;TEXTJOIN(", ",TRUE,IF(s&gt;0,$B$11:$V$11&amp;": "&amp;ROUND(s,2),""))&amp;"}")))</f>
        <v>{Red: 1, Unlimited Lives: 60, COOP Token: 5}</v>
      </c>
      <c r="AM8" s="136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137" t="str">
        <f t="array" ref="AN8">IF($AH8="","",IF(AM8=0,"{}",LET(m,AM8,s,MMULT(SEQUENCE(1,m,1,0),$B$12:$V$16),"{"&amp;TEXTJOIN(", ",TRUE,IF(s&gt;0,$B$11:$V$11&amp;": "&amp;ROUND(s,2),""))&amp;"}")))</f>
        <v>{Coins: 10, Red: 1, Chuck: 1, Unlimited Lives: 60, COOP Token: 15}</v>
      </c>
      <c r="AO8" s="136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137" t="str">
        <f t="array" ref="AP8">IF($AH8="","",IF(AO8=0,"{}",LET(m,AO8,s,MMULT(SEQUENCE(1,m,1,0),$B$12:$V$16),"{"&amp;TEXTJOIN(", ",TRUE,IF(s&gt;0,$B$11:$V$11&amp;": "&amp;ROUND(s,2),""))&amp;"}")))</f>
        <v>{Coins: 10, Red: 1, Chuck: 1, Bomb: 1, Comet: 1, Unlimited Lives: 90, COOP Token: 35}</v>
      </c>
      <c r="AQ8" s="136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4</v>
      </c>
      <c r="AR8" s="137" t="str">
        <f t="array" ref="AR8">IF($AH8="","",IF(AQ8=0,"{}",LET(m,AQ8,s,MMULT(SEQUENCE(1,m,1,0),$B$12:$V$16),"{"&amp;TEXTJOIN(", ",TRUE,IF(s&gt;0,$B$11:$V$11&amp;": "&amp;ROUND(s,2),""))&amp;"}")))</f>
        <v>{Coins: 25, Red: 1, Chuck: 1, Bomb: 1, Shuffle: 1, Comet: 1, Unlimited Lives: 90, Unlimited Red: 10, COOP Token: 85}</v>
      </c>
      <c r="AT8" s="142">
        <v>4.0</v>
      </c>
      <c r="AU8" s="143">
        <v>49.0</v>
      </c>
      <c r="AV8" s="144">
        <f t="shared" si="1"/>
        <v>157.5</v>
      </c>
    </row>
    <row r="9">
      <c r="AH9" s="135">
        <f>IF(4&lt;=$B$3,4,"")</f>
        <v>4</v>
      </c>
      <c r="AI9" s="136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0</v>
      </c>
      <c r="AJ9" s="137" t="str">
        <f t="array" ref="AJ9">IF($AH9="","",IF(AI9=0,"{}",LET(m,AI9,s,MMULT(SEQUENCE(1,m,1,0),$B$12:$V$16),"{"&amp;TEXTJOIN(", ",TRUE,IF(s&gt;0,$B$11:$V$11&amp;": "&amp;ROUND(s,2),""))&amp;"}")))</f>
        <v>{}</v>
      </c>
      <c r="AK9" s="136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1</v>
      </c>
      <c r="AL9" s="137" t="str">
        <f t="array" ref="AL9">IF($AH9="","",IF(AK9=0,"{}",LET(m,AK9,s,MMULT(SEQUENCE(1,m,1,0),$B$12:$V$16),"{"&amp;TEXTJOIN(", ",TRUE,IF(s&gt;0,$B$11:$V$11&amp;": "&amp;ROUND(s,2),""))&amp;"}")))</f>
        <v>{Red: 1, Unlimited Lives: 60, COOP Token: 5}</v>
      </c>
      <c r="AM9" s="136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2</v>
      </c>
      <c r="AN9" s="137" t="str">
        <f t="array" ref="AN9">IF($AH9="","",IF(AM9=0,"{}",LET(m,AM9,s,MMULT(SEQUENCE(1,m,1,0),$B$12:$V$16),"{"&amp;TEXTJOIN(", ",TRUE,IF(s&gt;0,$B$11:$V$11&amp;": "&amp;ROUND(s,2),""))&amp;"}")))</f>
        <v>{Coins: 10, Red: 1, Chuck: 1, Unlimited Lives: 60, COOP Token: 15}</v>
      </c>
      <c r="AO9" s="136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3</v>
      </c>
      <c r="AP9" s="137" t="str">
        <f t="array" ref="AP9">IF($AH9="","",IF(AO9=0,"{}",LET(m,AO9,s,MMULT(SEQUENCE(1,m,1,0),$B$12:$V$16),"{"&amp;TEXTJOIN(", ",TRUE,IF(s&gt;0,$B$11:$V$11&amp;": "&amp;ROUND(s,2),""))&amp;"}")))</f>
        <v>{Coins: 10, Red: 1, Chuck: 1, Bomb: 1, Comet: 1, Unlimited Lives: 90, COOP Token: 35}</v>
      </c>
      <c r="AQ9" s="136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137" t="str">
        <f t="array" ref="AR9">IF($AH9="","",IF(AQ9=0,"{}",LET(m,AQ9,s,MMULT(SEQUENCE(1,m,1,0),$B$12:$V$16),"{"&amp;TEXTJOIN(", ",TRUE,IF(s&gt;0,$B$11:$V$11&amp;": "&amp;ROUND(s,2),""))&amp;"}")))</f>
        <v>{Coins: 25, Red: 1, Chuck: 1, Bomb: 1, Shuffle: 1, Comet: 1, Unlimited Lives: 90, Unlimited Red: 10, COOP Token: 85}</v>
      </c>
      <c r="AT9" s="142">
        <v>5.0</v>
      </c>
      <c r="AU9" s="143">
        <v>64.0</v>
      </c>
      <c r="AV9" s="144">
        <f t="shared" si="1"/>
        <v>237.5</v>
      </c>
    </row>
    <row r="10" ht="19.5" customHeight="1">
      <c r="A10" s="92" t="s">
        <v>90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AH10" s="135" t="str">
        <f>IF(5&lt;=$B$3,5,"")</f>
        <v/>
      </c>
      <c r="AI10" s="136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137" t="str">
        <f t="array" ref="AJ10">IF($AH10="","",IF(AI10=0,"{}",LET(m,AI10,s,MMULT(SEQUENCE(1,m,1,0),$B$12:$V$16),"{"&amp;TEXTJOIN(", ",TRUE,IF(s&gt;0,$B$11:$V$11&amp;": "&amp;ROUND(s,2),""))&amp;"}")))</f>
        <v/>
      </c>
      <c r="AK10" s="136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137" t="str">
        <f t="array" ref="AL10">IF($AH10="","",IF(AK10=0,"{}",LET(m,AK10,s,MMULT(SEQUENCE(1,m,1,0),$B$12:$V$16),"{"&amp;TEXTJOIN(", ",TRUE,IF(s&gt;0,$B$11:$V$11&amp;": "&amp;ROUND(s,2),""))&amp;"}")))</f>
        <v/>
      </c>
      <c r="AM10" s="136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137" t="str">
        <f t="array" ref="AN10">IF($AH10="","",IF(AM10=0,"{}",LET(m,AM10,s,MMULT(SEQUENCE(1,m,1,0),$B$12:$V$16),"{"&amp;TEXTJOIN(", ",TRUE,IF(s&gt;0,$B$11:$V$11&amp;": "&amp;ROUND(s,2),""))&amp;"}")))</f>
        <v/>
      </c>
      <c r="AO10" s="136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137" t="str">
        <f t="array" ref="AP10">IF($AH10="","",IF(AO10=0,"{}",LET(m,AO10,s,MMULT(SEQUENCE(1,m,1,0),$B$12:$V$16),"{"&amp;TEXTJOIN(", ",TRUE,IF(s&gt;0,$B$11:$V$11&amp;": "&amp;ROUND(s,2),""))&amp;"}")))</f>
        <v/>
      </c>
      <c r="AQ10" s="136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137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97" t="s">
        <v>152</v>
      </c>
      <c r="B11" s="98" t="s">
        <v>19</v>
      </c>
      <c r="C11" s="99" t="s">
        <v>5</v>
      </c>
      <c r="D11" s="99" t="s">
        <v>77</v>
      </c>
      <c r="E11" s="99" t="s">
        <v>6</v>
      </c>
      <c r="F11" s="99" t="s">
        <v>7</v>
      </c>
      <c r="G11" s="99" t="s">
        <v>8</v>
      </c>
      <c r="H11" s="99" t="s">
        <v>9</v>
      </c>
      <c r="I11" s="99" t="s">
        <v>10</v>
      </c>
      <c r="J11" s="99" t="s">
        <v>11</v>
      </c>
      <c r="K11" s="99" t="s">
        <v>12</v>
      </c>
      <c r="L11" s="99" t="s">
        <v>13</v>
      </c>
      <c r="M11" s="99" t="s">
        <v>14</v>
      </c>
      <c r="N11" s="99" t="s">
        <v>15</v>
      </c>
      <c r="O11" s="99" t="s">
        <v>92</v>
      </c>
      <c r="P11" s="99" t="s">
        <v>78</v>
      </c>
      <c r="Q11" s="99" t="s">
        <v>79</v>
      </c>
      <c r="R11" s="99" t="s">
        <v>80</v>
      </c>
      <c r="S11" s="99" t="s">
        <v>81</v>
      </c>
      <c r="T11" s="99" t="s">
        <v>82</v>
      </c>
      <c r="U11" s="99" t="s">
        <v>83</v>
      </c>
      <c r="V11" s="99" t="s">
        <v>84</v>
      </c>
      <c r="AH11" s="135" t="str">
        <f>IF(6&lt;=$B$3,6,"")</f>
        <v/>
      </c>
      <c r="AI11" s="136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137" t="str">
        <f t="array" ref="AJ11">IF($AH11="","",IF(AI11=0,"{}",LET(m,AI11,s,MMULT(SEQUENCE(1,m,1,0),$B$12:$V$16),"{"&amp;TEXTJOIN(", ",TRUE,IF(s&gt;0,$B$11:$V$11&amp;": "&amp;ROUND(s,2),""))&amp;"}")))</f>
        <v/>
      </c>
      <c r="AK11" s="136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137" t="str">
        <f t="array" ref="AL11">IF($AH11="","",IF(AK11=0,"{}",LET(m,AK11,s,MMULT(SEQUENCE(1,m,1,0),$B$12:$V$16),"{"&amp;TEXTJOIN(", ",TRUE,IF(s&gt;0,$B$11:$V$11&amp;": "&amp;ROUND(s,2),""))&amp;"}")))</f>
        <v/>
      </c>
      <c r="AM11" s="136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137" t="str">
        <f t="array" ref="AN11">IF($AH11="","",IF(AM11=0,"{}",LET(m,AM11,s,MMULT(SEQUENCE(1,m,1,0),$B$12:$V$16),"{"&amp;TEXTJOIN(", ",TRUE,IF(s&gt;0,$B$11:$V$11&amp;": "&amp;ROUND(s,2),""))&amp;"}")))</f>
        <v/>
      </c>
      <c r="AO11" s="136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137" t="str">
        <f t="array" ref="AP11">IF($AH11="","",IF(AO11=0,"{}",LET(m,AO11,s,MMULT(SEQUENCE(1,m,1,0),$B$12:$V$16),"{"&amp;TEXTJOIN(", ",TRUE,IF(s&gt;0,$B$11:$V$11&amp;": "&amp;ROUND(s,2),""))&amp;"}")))</f>
        <v/>
      </c>
      <c r="AQ11" s="136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137" t="str">
        <f t="array" ref="AR11">IF($AH11="","",IF(AQ11=0,"{}",LET(m,AQ11,s,MMULT(SEQUENCE(1,m,1,0),$B$12:$V$16),"{"&amp;TEXTJOIN(", ",TRUE,IF(s&gt;0,$B$11:$V$11&amp;": "&amp;ROUND(s,2),""))&amp;"}")))</f>
        <v/>
      </c>
      <c r="AT11" s="145" t="s">
        <v>162</v>
      </c>
    </row>
    <row r="12">
      <c r="A12" s="138" t="s">
        <v>153</v>
      </c>
      <c r="B12" s="129">
        <v>0.0</v>
      </c>
      <c r="C12" s="101">
        <v>0.0</v>
      </c>
      <c r="D12" s="101">
        <v>0.0</v>
      </c>
      <c r="E12" s="101">
        <v>1.0</v>
      </c>
      <c r="F12" s="101">
        <v>0.0</v>
      </c>
      <c r="G12" s="101">
        <v>0.0</v>
      </c>
      <c r="H12" s="101">
        <v>0.0</v>
      </c>
      <c r="I12" s="101">
        <v>0.0</v>
      </c>
      <c r="J12" s="101">
        <v>0.0</v>
      </c>
      <c r="K12" s="101">
        <v>60.0</v>
      </c>
      <c r="L12" s="101">
        <v>0.0</v>
      </c>
      <c r="M12" s="101">
        <v>0.0</v>
      </c>
      <c r="N12" s="101">
        <v>0.0</v>
      </c>
      <c r="O12" s="139">
        <v>5.0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  <c r="AH12" s="135" t="str">
        <f>IF(7&lt;=$B$3,7,"")</f>
        <v/>
      </c>
      <c r="AI12" s="136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137" t="str">
        <f t="array" ref="AJ12">IF($AH12="","",IF(AI12=0,"{}",LET(m,AI12,s,MMULT(SEQUENCE(1,m,1,0),$B$12:$V$16),"{"&amp;TEXTJOIN(", ",TRUE,IF(s&gt;0,$B$11:$V$11&amp;": "&amp;ROUND(s,2),""))&amp;"}")))</f>
        <v/>
      </c>
      <c r="AK12" s="136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137" t="str">
        <f t="array" ref="AL12">IF($AH12="","",IF(AK12=0,"{}",LET(m,AK12,s,MMULT(SEQUENCE(1,m,1,0),$B$12:$V$16),"{"&amp;TEXTJOIN(", ",TRUE,IF(s&gt;0,$B$11:$V$11&amp;": "&amp;ROUND(s,2),""))&amp;"}")))</f>
        <v/>
      </c>
      <c r="AM12" s="136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137" t="str">
        <f t="array" ref="AN12">IF($AH12="","",IF(AM12=0,"{}",LET(m,AM12,s,MMULT(SEQUENCE(1,m,1,0),$B$12:$V$16),"{"&amp;TEXTJOIN(", ",TRUE,IF(s&gt;0,$B$11:$V$11&amp;": "&amp;ROUND(s,2),""))&amp;"}")))</f>
        <v/>
      </c>
      <c r="AO12" s="136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137" t="str">
        <f t="array" ref="AP12">IF($AH12="","",IF(AO12=0,"{}",LET(m,AO12,s,MMULT(SEQUENCE(1,m,1,0),$B$12:$V$16),"{"&amp;TEXTJOIN(", ",TRUE,IF(s&gt;0,$B$11:$V$11&amp;": "&amp;ROUND(s,2),""))&amp;"}")))</f>
        <v/>
      </c>
      <c r="AQ12" s="136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137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138" t="s">
        <v>154</v>
      </c>
      <c r="B13" s="129">
        <v>10.0</v>
      </c>
      <c r="C13" s="101">
        <v>0.0</v>
      </c>
      <c r="D13" s="101">
        <v>0.0</v>
      </c>
      <c r="E13" s="101">
        <v>0.0</v>
      </c>
      <c r="F13" s="101">
        <v>1.0</v>
      </c>
      <c r="G13" s="101">
        <v>0.0</v>
      </c>
      <c r="H13" s="101">
        <v>0.0</v>
      </c>
      <c r="I13" s="101">
        <v>0.0</v>
      </c>
      <c r="J13" s="101">
        <v>0.0</v>
      </c>
      <c r="K13" s="101">
        <v>0.0</v>
      </c>
      <c r="L13" s="101">
        <v>0.0</v>
      </c>
      <c r="M13" s="101">
        <v>0.0</v>
      </c>
      <c r="N13" s="101">
        <v>0.0</v>
      </c>
      <c r="O13" s="139">
        <v>10.0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</row>
    <row r="14">
      <c r="A14" s="138" t="s">
        <v>155</v>
      </c>
      <c r="B14" s="129">
        <v>0.0</v>
      </c>
      <c r="C14" s="101">
        <v>0.0</v>
      </c>
      <c r="D14" s="101">
        <v>0.0</v>
      </c>
      <c r="E14" s="101">
        <v>0.0</v>
      </c>
      <c r="F14" s="101">
        <v>0.0</v>
      </c>
      <c r="G14" s="101">
        <v>1.0</v>
      </c>
      <c r="H14" s="101">
        <v>0.0</v>
      </c>
      <c r="I14" s="101">
        <v>0.0</v>
      </c>
      <c r="J14" s="101">
        <v>1.0</v>
      </c>
      <c r="K14" s="101">
        <v>30.0</v>
      </c>
      <c r="L14" s="101">
        <v>0.0</v>
      </c>
      <c r="M14" s="101">
        <v>0.0</v>
      </c>
      <c r="N14" s="101">
        <v>0.0</v>
      </c>
      <c r="O14" s="139">
        <v>20.0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</row>
    <row r="15">
      <c r="A15" s="138" t="s">
        <v>156</v>
      </c>
      <c r="B15" s="129">
        <v>15.0</v>
      </c>
      <c r="C15" s="101">
        <v>0.0</v>
      </c>
      <c r="D15" s="101">
        <v>0.0</v>
      </c>
      <c r="E15" s="101">
        <v>0.0</v>
      </c>
      <c r="F15" s="101">
        <v>0.0</v>
      </c>
      <c r="G15" s="101">
        <v>0.0</v>
      </c>
      <c r="H15" s="101">
        <v>0.0</v>
      </c>
      <c r="I15" s="101">
        <v>1.0</v>
      </c>
      <c r="J15" s="101">
        <v>0.0</v>
      </c>
      <c r="K15" s="101">
        <v>0.0</v>
      </c>
      <c r="L15" s="101">
        <v>10.0</v>
      </c>
      <c r="M15" s="101">
        <v>0.0</v>
      </c>
      <c r="N15" s="101">
        <v>0.0</v>
      </c>
      <c r="O15" s="139">
        <v>50.0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</row>
    <row r="16">
      <c r="A16" s="138" t="s">
        <v>157</v>
      </c>
      <c r="B16" s="129">
        <v>40.0</v>
      </c>
      <c r="C16" s="101">
        <v>0.0</v>
      </c>
      <c r="D16" s="101">
        <v>0.0</v>
      </c>
      <c r="E16" s="101">
        <v>0.0</v>
      </c>
      <c r="F16" s="101">
        <v>0.0</v>
      </c>
      <c r="G16" s="101">
        <v>0.0</v>
      </c>
      <c r="H16" s="101">
        <v>1.0</v>
      </c>
      <c r="I16" s="101">
        <v>0.0</v>
      </c>
      <c r="J16" s="101">
        <v>0.0</v>
      </c>
      <c r="K16" s="101">
        <v>0.0</v>
      </c>
      <c r="L16" s="101">
        <v>0.0</v>
      </c>
      <c r="M16" s="101">
        <v>10.0</v>
      </c>
      <c r="N16" s="101">
        <v>0.0</v>
      </c>
      <c r="O16" s="139">
        <v>70.0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</row>
    <row r="21" ht="15.75" customHeight="1">
      <c r="A21" s="1"/>
    </row>
  </sheetData>
  <conditionalFormatting sqref="B12:V16">
    <cfRule type="cellIs" dxfId="1" priority="1" operator="greaterThan">
      <formula>0</formula>
    </cfRule>
  </conditionalFormatting>
  <conditionalFormatting sqref="A12:V16">
    <cfRule type="expression" dxfId="2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1" t="s">
        <v>163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</row>
    <row r="3">
      <c r="A3" s="125" t="s">
        <v>164</v>
      </c>
      <c r="B3" s="133">
        <v>4.0</v>
      </c>
    </row>
    <row r="4">
      <c r="A4" s="125" t="s">
        <v>165</v>
      </c>
      <c r="B4" s="126">
        <v>5.0</v>
      </c>
    </row>
    <row r="5">
      <c r="A5" s="125" t="s">
        <v>166</v>
      </c>
      <c r="B5" s="126" t="b">
        <f>TRUE()</f>
        <v>1</v>
      </c>
    </row>
    <row r="7" ht="19.5" customHeight="1">
      <c r="A7" s="92" t="s">
        <v>90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</row>
    <row r="8" ht="90.0" customHeight="1">
      <c r="A8" s="96" t="s">
        <v>167</v>
      </c>
      <c r="B8" s="97" t="s">
        <v>168</v>
      </c>
      <c r="C8" s="98" t="s">
        <v>19</v>
      </c>
      <c r="D8" s="99" t="s">
        <v>5</v>
      </c>
      <c r="E8" s="99" t="s">
        <v>77</v>
      </c>
      <c r="F8" s="99" t="s">
        <v>6</v>
      </c>
      <c r="G8" s="99" t="s">
        <v>7</v>
      </c>
      <c r="H8" s="99" t="s">
        <v>8</v>
      </c>
      <c r="I8" s="99" t="s">
        <v>9</v>
      </c>
      <c r="J8" s="99" t="s">
        <v>10</v>
      </c>
      <c r="K8" s="99" t="s">
        <v>11</v>
      </c>
      <c r="L8" s="99" t="s">
        <v>12</v>
      </c>
      <c r="M8" s="99" t="s">
        <v>13</v>
      </c>
      <c r="N8" s="99" t="s">
        <v>14</v>
      </c>
      <c r="O8" s="99" t="s">
        <v>15</v>
      </c>
      <c r="P8" s="99" t="s">
        <v>92</v>
      </c>
      <c r="Q8" s="99" t="s">
        <v>78</v>
      </c>
      <c r="R8" s="99" t="s">
        <v>79</v>
      </c>
      <c r="S8" s="99" t="s">
        <v>80</v>
      </c>
      <c r="T8" s="99" t="s">
        <v>81</v>
      </c>
      <c r="U8" s="99" t="s">
        <v>82</v>
      </c>
      <c r="V8" s="99" t="s">
        <v>83</v>
      </c>
      <c r="W8" s="99" t="s">
        <v>84</v>
      </c>
    </row>
    <row r="9">
      <c r="A9" s="101">
        <v>1.0</v>
      </c>
      <c r="B9" s="102">
        <v>15.0</v>
      </c>
      <c r="C9" s="129">
        <v>0.0</v>
      </c>
      <c r="D9" s="101">
        <v>0.0</v>
      </c>
      <c r="E9" s="101">
        <v>0.0</v>
      </c>
      <c r="F9" s="101">
        <v>0.0</v>
      </c>
      <c r="G9" s="101">
        <v>1.0</v>
      </c>
      <c r="H9" s="101">
        <v>0.0</v>
      </c>
      <c r="I9" s="101">
        <v>0.0</v>
      </c>
      <c r="J9" s="101">
        <v>0.0</v>
      </c>
      <c r="K9" s="101">
        <v>0.0</v>
      </c>
      <c r="L9" s="101">
        <v>0.0</v>
      </c>
      <c r="M9" s="101">
        <v>0.0</v>
      </c>
      <c r="N9" s="101">
        <v>0.0</v>
      </c>
      <c r="O9" s="101">
        <v>0.0</v>
      </c>
      <c r="P9" s="101">
        <v>0.0</v>
      </c>
      <c r="Q9" s="101">
        <v>0.0</v>
      </c>
      <c r="R9" s="101">
        <v>0.0</v>
      </c>
      <c r="S9" s="101">
        <v>0.0</v>
      </c>
      <c r="T9" s="101">
        <v>0.0</v>
      </c>
      <c r="U9" s="101">
        <v>0.0</v>
      </c>
      <c r="V9" s="101">
        <v>0.0</v>
      </c>
      <c r="W9" s="101">
        <v>0.0</v>
      </c>
    </row>
    <row r="10">
      <c r="A10" s="101">
        <v>2.0</v>
      </c>
      <c r="B10" s="102">
        <v>40.0</v>
      </c>
      <c r="C10" s="129">
        <v>0.0</v>
      </c>
      <c r="D10" s="101">
        <v>0.0</v>
      </c>
      <c r="E10" s="101">
        <v>0.0</v>
      </c>
      <c r="F10" s="101">
        <v>0.0</v>
      </c>
      <c r="G10" s="101">
        <v>0.0</v>
      </c>
      <c r="H10" s="101">
        <v>0.0</v>
      </c>
      <c r="I10" s="101">
        <v>0.0</v>
      </c>
      <c r="J10" s="101">
        <v>0.0</v>
      </c>
      <c r="K10" s="101">
        <v>0.0</v>
      </c>
      <c r="L10" s="101">
        <v>0.0</v>
      </c>
      <c r="M10" s="101">
        <v>10.0</v>
      </c>
      <c r="N10" s="101">
        <v>0.0</v>
      </c>
      <c r="O10" s="101">
        <v>0.0</v>
      </c>
      <c r="P10" s="101">
        <v>0.0</v>
      </c>
      <c r="Q10" s="101">
        <v>0.0</v>
      </c>
      <c r="R10" s="101">
        <v>0.0</v>
      </c>
      <c r="S10" s="101">
        <v>0.0</v>
      </c>
      <c r="T10" s="101">
        <v>0.0</v>
      </c>
      <c r="U10" s="101">
        <v>0.0</v>
      </c>
      <c r="V10" s="101">
        <v>0.0</v>
      </c>
      <c r="W10" s="101">
        <v>0.0</v>
      </c>
    </row>
    <row r="11">
      <c r="A11" s="101">
        <v>3.0</v>
      </c>
      <c r="B11" s="102">
        <v>70.0</v>
      </c>
      <c r="C11" s="129">
        <v>0.0</v>
      </c>
      <c r="D11" s="101">
        <v>0.0</v>
      </c>
      <c r="E11" s="101">
        <v>0.0</v>
      </c>
      <c r="F11" s="101">
        <v>0.0</v>
      </c>
      <c r="G11" s="101">
        <v>0.0</v>
      </c>
      <c r="H11" s="101">
        <v>0.0</v>
      </c>
      <c r="I11" s="101">
        <v>0.0</v>
      </c>
      <c r="J11" s="101">
        <v>0.0</v>
      </c>
      <c r="K11" s="101">
        <v>0.0</v>
      </c>
      <c r="L11" s="101">
        <v>0.0</v>
      </c>
      <c r="M11" s="101">
        <v>0.0</v>
      </c>
      <c r="N11" s="101">
        <v>10.0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1">
        <v>0.0</v>
      </c>
      <c r="V11" s="101">
        <v>0.0</v>
      </c>
      <c r="W11" s="101">
        <v>0.0</v>
      </c>
    </row>
    <row r="12">
      <c r="A12" s="101">
        <v>4.0</v>
      </c>
      <c r="B12" s="102">
        <v>110.0</v>
      </c>
      <c r="C12" s="129">
        <v>0.0</v>
      </c>
      <c r="D12" s="101">
        <v>0.0</v>
      </c>
      <c r="E12" s="101">
        <v>0.0</v>
      </c>
      <c r="F12" s="101">
        <v>0.0</v>
      </c>
      <c r="G12" s="101">
        <v>0.0</v>
      </c>
      <c r="H12" s="101">
        <v>0.0</v>
      </c>
      <c r="I12" s="101">
        <v>0.0</v>
      </c>
      <c r="J12" s="101">
        <v>0.0</v>
      </c>
      <c r="K12" s="101">
        <v>0.0</v>
      </c>
      <c r="L12" s="101">
        <v>30.0</v>
      </c>
      <c r="M12" s="101">
        <v>0.0</v>
      </c>
      <c r="N12" s="101">
        <v>0.0</v>
      </c>
      <c r="O12" s="101">
        <v>0.0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  <c r="W12" s="101">
        <v>0.0</v>
      </c>
    </row>
    <row r="13">
      <c r="A13" s="101">
        <v>5.0</v>
      </c>
      <c r="B13" s="102">
        <v>160.0</v>
      </c>
      <c r="C13" s="129">
        <v>25.0</v>
      </c>
      <c r="D13" s="101">
        <v>0.0</v>
      </c>
      <c r="E13" s="101">
        <v>0.0</v>
      </c>
      <c r="F13" s="101">
        <v>0.0</v>
      </c>
      <c r="G13" s="101">
        <v>0.0</v>
      </c>
      <c r="H13" s="101">
        <v>0.0</v>
      </c>
      <c r="I13" s="101">
        <v>0.0</v>
      </c>
      <c r="J13" s="101">
        <v>0.0</v>
      </c>
      <c r="K13" s="101">
        <v>0.0</v>
      </c>
      <c r="L13" s="101">
        <v>0.0</v>
      </c>
      <c r="M13" s="101">
        <v>0.0</v>
      </c>
      <c r="N13" s="101">
        <v>0.0</v>
      </c>
      <c r="O13" s="101">
        <v>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  <c r="W13" s="101">
        <v>0.0</v>
      </c>
    </row>
    <row r="14">
      <c r="A14" s="101">
        <v>6.0</v>
      </c>
      <c r="B14" s="102">
        <v>220.0</v>
      </c>
      <c r="C14" s="129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0.0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10.0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  <c r="W14" s="101">
        <v>0.0</v>
      </c>
    </row>
    <row r="15">
      <c r="A15" s="101">
        <v>7.0</v>
      </c>
      <c r="B15" s="102">
        <v>290.0</v>
      </c>
      <c r="C15" s="129">
        <v>0.0</v>
      </c>
      <c r="D15" s="101">
        <v>0.0</v>
      </c>
      <c r="E15" s="101">
        <v>0.0</v>
      </c>
      <c r="F15" s="101">
        <v>1.0</v>
      </c>
      <c r="G15" s="101">
        <v>0.0</v>
      </c>
      <c r="H15" s="101">
        <v>0.0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  <c r="W15" s="101">
        <v>0.0</v>
      </c>
    </row>
    <row r="16">
      <c r="A16" s="101">
        <v>8.0</v>
      </c>
      <c r="B16" s="102">
        <v>370.0</v>
      </c>
      <c r="C16" s="129">
        <v>0.0</v>
      </c>
      <c r="D16" s="101">
        <v>0.0</v>
      </c>
      <c r="E16" s="101">
        <v>0.0</v>
      </c>
      <c r="F16" s="101">
        <v>0.0</v>
      </c>
      <c r="G16" s="101">
        <v>0.0</v>
      </c>
      <c r="H16" s="101">
        <v>0.0</v>
      </c>
      <c r="I16" s="101">
        <v>0.0</v>
      </c>
      <c r="J16" s="101">
        <v>0.0</v>
      </c>
      <c r="K16" s="101">
        <v>0.0</v>
      </c>
      <c r="L16" s="101">
        <v>60.0</v>
      </c>
      <c r="M16" s="101">
        <v>0.0</v>
      </c>
      <c r="N16" s="101">
        <v>0.0</v>
      </c>
      <c r="O16" s="101">
        <v>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  <c r="W16" s="101">
        <v>0.0</v>
      </c>
    </row>
    <row r="17">
      <c r="A17" s="101">
        <v>9.0</v>
      </c>
      <c r="B17" s="102">
        <v>460.0</v>
      </c>
      <c r="C17" s="129">
        <v>0.0</v>
      </c>
      <c r="D17" s="101">
        <v>0.0</v>
      </c>
      <c r="E17" s="101">
        <v>0.0</v>
      </c>
      <c r="F17" s="101">
        <v>0.0</v>
      </c>
      <c r="G17" s="101">
        <v>0.0</v>
      </c>
      <c r="H17" s="101">
        <v>0.0</v>
      </c>
      <c r="I17" s="101">
        <v>0.0</v>
      </c>
      <c r="J17" s="101">
        <v>0.0</v>
      </c>
      <c r="K17" s="101">
        <v>0.0</v>
      </c>
      <c r="L17" s="101">
        <v>0.0</v>
      </c>
      <c r="M17" s="101">
        <v>15.0</v>
      </c>
      <c r="N17" s="101">
        <v>0.0</v>
      </c>
      <c r="O17" s="101">
        <v>0.0</v>
      </c>
      <c r="P17" s="101">
        <v>0.0</v>
      </c>
      <c r="Q17" s="101">
        <v>0.0</v>
      </c>
      <c r="R17" s="101">
        <v>0.0</v>
      </c>
      <c r="S17" s="101">
        <v>0.0</v>
      </c>
      <c r="T17" s="101">
        <v>0.0</v>
      </c>
      <c r="U17" s="101">
        <v>0.0</v>
      </c>
      <c r="V17" s="101">
        <v>0.0</v>
      </c>
      <c r="W17" s="101">
        <v>0.0</v>
      </c>
    </row>
    <row r="18">
      <c r="A18" s="101">
        <v>10.0</v>
      </c>
      <c r="B18" s="102">
        <v>560.0</v>
      </c>
      <c r="C18" s="129">
        <v>25.0</v>
      </c>
      <c r="D18" s="101">
        <v>0.0</v>
      </c>
      <c r="E18" s="101">
        <v>0.0</v>
      </c>
      <c r="F18" s="101">
        <v>0.0</v>
      </c>
      <c r="G18" s="101">
        <v>0.0</v>
      </c>
      <c r="H18" s="101">
        <v>0.0</v>
      </c>
      <c r="I18" s="101">
        <v>0.0</v>
      </c>
      <c r="J18" s="101">
        <v>0.0</v>
      </c>
      <c r="K18" s="101">
        <v>0.0</v>
      </c>
      <c r="L18" s="101">
        <v>0.0</v>
      </c>
      <c r="M18" s="101">
        <v>0.0</v>
      </c>
      <c r="N18" s="101">
        <v>0.0</v>
      </c>
      <c r="O18" s="101">
        <v>0.0</v>
      </c>
      <c r="P18" s="101">
        <v>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  <c r="W18" s="101">
        <v>0.0</v>
      </c>
    </row>
    <row r="19">
      <c r="A19" s="101">
        <v>11.0</v>
      </c>
      <c r="B19" s="102">
        <v>670.0</v>
      </c>
      <c r="C19" s="129">
        <v>0.0</v>
      </c>
      <c r="D19" s="101">
        <v>0.0</v>
      </c>
      <c r="E19" s="101">
        <v>0.0</v>
      </c>
      <c r="F19" s="101">
        <v>0.0</v>
      </c>
      <c r="G19" s="101">
        <v>0.0</v>
      </c>
      <c r="H19" s="101">
        <v>0.0</v>
      </c>
      <c r="I19" s="101">
        <v>0.0</v>
      </c>
      <c r="J19" s="101">
        <v>0.0</v>
      </c>
      <c r="K19" s="101">
        <v>0.0</v>
      </c>
      <c r="L19" s="101">
        <v>0.0</v>
      </c>
      <c r="M19" s="101">
        <v>0.0</v>
      </c>
      <c r="N19" s="101">
        <v>15.0</v>
      </c>
      <c r="O19" s="101">
        <v>0.0</v>
      </c>
      <c r="P19" s="101">
        <v>0.0</v>
      </c>
      <c r="Q19" s="101">
        <v>0.0</v>
      </c>
      <c r="R19" s="101">
        <v>0.0</v>
      </c>
      <c r="S19" s="101">
        <v>0.0</v>
      </c>
      <c r="T19" s="101">
        <v>0.0</v>
      </c>
      <c r="U19" s="101">
        <v>0.0</v>
      </c>
      <c r="V19" s="101">
        <v>0.0</v>
      </c>
      <c r="W19" s="101">
        <v>0.0</v>
      </c>
    </row>
    <row r="20">
      <c r="A20" s="101">
        <v>12.0</v>
      </c>
      <c r="B20" s="102">
        <v>790.0</v>
      </c>
      <c r="C20" s="129">
        <v>0.0</v>
      </c>
      <c r="D20" s="101">
        <v>0.0</v>
      </c>
      <c r="E20" s="101">
        <v>0.0</v>
      </c>
      <c r="F20" s="101">
        <v>0.0</v>
      </c>
      <c r="G20" s="101">
        <v>0.0</v>
      </c>
      <c r="H20" s="101">
        <v>0.0</v>
      </c>
      <c r="I20" s="101">
        <v>0.0</v>
      </c>
      <c r="J20" s="101">
        <v>0.0</v>
      </c>
      <c r="K20" s="101">
        <v>0.0</v>
      </c>
      <c r="L20" s="101">
        <v>0.0</v>
      </c>
      <c r="M20" s="101">
        <v>0.0</v>
      </c>
      <c r="N20" s="101">
        <v>0.0</v>
      </c>
      <c r="O20" s="101">
        <v>15.0</v>
      </c>
      <c r="P20" s="101">
        <v>0.0</v>
      </c>
      <c r="Q20" s="101">
        <v>0.0</v>
      </c>
      <c r="R20" s="101">
        <v>0.0</v>
      </c>
      <c r="S20" s="101">
        <v>0.0</v>
      </c>
      <c r="T20" s="101">
        <v>0.0</v>
      </c>
      <c r="U20" s="101">
        <v>0.0</v>
      </c>
      <c r="V20" s="101">
        <v>0.0</v>
      </c>
      <c r="W20" s="101">
        <v>0.0</v>
      </c>
    </row>
    <row r="21" ht="15.75" customHeight="1">
      <c r="A21" s="101">
        <v>13.0</v>
      </c>
      <c r="B21" s="102">
        <v>920.0</v>
      </c>
      <c r="C21" s="129">
        <v>0.0</v>
      </c>
      <c r="D21" s="101">
        <v>0.0</v>
      </c>
      <c r="E21" s="101">
        <v>0.0</v>
      </c>
      <c r="F21" s="101">
        <v>0.0</v>
      </c>
      <c r="G21" s="101">
        <v>0.0</v>
      </c>
      <c r="H21" s="101">
        <v>0.0</v>
      </c>
      <c r="I21" s="101">
        <v>1.0</v>
      </c>
      <c r="J21" s="101">
        <v>0.0</v>
      </c>
      <c r="K21" s="101">
        <v>0.0</v>
      </c>
      <c r="L21" s="101">
        <v>0.0</v>
      </c>
      <c r="M21" s="101">
        <v>0.0</v>
      </c>
      <c r="N21" s="101">
        <v>0.0</v>
      </c>
      <c r="O21" s="101">
        <v>0.0</v>
      </c>
      <c r="P21" s="101">
        <v>0.0</v>
      </c>
      <c r="Q21" s="101">
        <v>0.0</v>
      </c>
      <c r="R21" s="101">
        <v>0.0</v>
      </c>
      <c r="S21" s="101">
        <v>0.0</v>
      </c>
      <c r="T21" s="101">
        <v>0.0</v>
      </c>
      <c r="U21" s="101">
        <v>0.0</v>
      </c>
      <c r="V21" s="101">
        <v>0.0</v>
      </c>
      <c r="W21" s="101">
        <v>0.0</v>
      </c>
    </row>
    <row r="22" ht="15.75" customHeight="1">
      <c r="A22" s="101">
        <v>14.0</v>
      </c>
      <c r="B22" s="102">
        <v>1060.0</v>
      </c>
      <c r="C22" s="129">
        <v>0.0</v>
      </c>
      <c r="D22" s="101">
        <v>0.0</v>
      </c>
      <c r="E22" s="101">
        <v>0.0</v>
      </c>
      <c r="F22" s="101">
        <v>0.0</v>
      </c>
      <c r="G22" s="101">
        <v>0.0</v>
      </c>
      <c r="H22" s="101">
        <v>0.0</v>
      </c>
      <c r="I22" s="101">
        <v>0.0</v>
      </c>
      <c r="J22" s="101">
        <v>0.0</v>
      </c>
      <c r="K22" s="101">
        <v>0.0</v>
      </c>
      <c r="L22" s="101">
        <v>60.0</v>
      </c>
      <c r="M22" s="101">
        <v>0.0</v>
      </c>
      <c r="N22" s="101">
        <v>0.0</v>
      </c>
      <c r="O22" s="101">
        <v>0.0</v>
      </c>
      <c r="P22" s="101">
        <v>0.0</v>
      </c>
      <c r="Q22" s="101">
        <v>0.0</v>
      </c>
      <c r="R22" s="101">
        <v>0.0</v>
      </c>
      <c r="S22" s="101">
        <v>0.0</v>
      </c>
      <c r="T22" s="101">
        <v>0.0</v>
      </c>
      <c r="U22" s="101">
        <v>0.0</v>
      </c>
      <c r="V22" s="101">
        <v>0.0</v>
      </c>
      <c r="W22" s="101">
        <v>0.0</v>
      </c>
    </row>
    <row r="23" ht="15.75" customHeight="1">
      <c r="A23" s="101">
        <v>15.0</v>
      </c>
      <c r="B23" s="102">
        <v>1210.0</v>
      </c>
      <c r="C23" s="129">
        <v>0.0</v>
      </c>
      <c r="D23" s="101">
        <v>0.0</v>
      </c>
      <c r="E23" s="101">
        <v>0.0</v>
      </c>
      <c r="F23" s="101">
        <v>0.0</v>
      </c>
      <c r="G23" s="101">
        <v>0.0</v>
      </c>
      <c r="H23" s="101">
        <v>0.0</v>
      </c>
      <c r="I23" s="101">
        <v>0.0</v>
      </c>
      <c r="J23" s="101">
        <v>1.0</v>
      </c>
      <c r="K23" s="101">
        <v>0.0</v>
      </c>
      <c r="L23" s="101">
        <v>0.0</v>
      </c>
      <c r="M23" s="101">
        <v>0.0</v>
      </c>
      <c r="N23" s="101">
        <v>0.0</v>
      </c>
      <c r="O23" s="101">
        <v>0.0</v>
      </c>
      <c r="P23" s="101">
        <v>0.0</v>
      </c>
      <c r="Q23" s="101">
        <v>0.0</v>
      </c>
      <c r="R23" s="101">
        <v>0.0</v>
      </c>
      <c r="S23" s="101">
        <v>0.0</v>
      </c>
      <c r="T23" s="101">
        <v>0.0</v>
      </c>
      <c r="U23" s="101">
        <v>0.0</v>
      </c>
      <c r="V23" s="101">
        <v>0.0</v>
      </c>
      <c r="W23" s="101">
        <v>0.0</v>
      </c>
    </row>
    <row r="24" ht="15.75" customHeight="1">
      <c r="A24" s="146" t="s">
        <v>169</v>
      </c>
      <c r="B24" s="102"/>
      <c r="C24" s="129">
        <v>50.0</v>
      </c>
      <c r="D24" s="101">
        <v>0.0</v>
      </c>
      <c r="E24" s="101">
        <v>0.0</v>
      </c>
      <c r="F24" s="101">
        <v>0.0</v>
      </c>
      <c r="G24" s="101">
        <v>0.0</v>
      </c>
      <c r="H24" s="101">
        <v>1.0</v>
      </c>
      <c r="I24" s="101">
        <v>0.0</v>
      </c>
      <c r="J24" s="101">
        <v>0.0</v>
      </c>
      <c r="K24" s="101">
        <v>1.0</v>
      </c>
      <c r="L24" s="101">
        <v>0.0</v>
      </c>
      <c r="M24" s="101">
        <v>0.0</v>
      </c>
      <c r="N24" s="101">
        <v>0.0</v>
      </c>
      <c r="O24" s="101">
        <v>0.0</v>
      </c>
      <c r="P24" s="101">
        <v>0.0</v>
      </c>
      <c r="Q24" s="101">
        <v>0.0</v>
      </c>
      <c r="R24" s="101">
        <v>0.0</v>
      </c>
      <c r="S24" s="101">
        <v>0.0</v>
      </c>
      <c r="T24" s="101">
        <v>0.0</v>
      </c>
      <c r="U24" s="101">
        <v>0.0</v>
      </c>
      <c r="V24" s="101">
        <v>0.0</v>
      </c>
      <c r="W24" s="101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1" priority="1" operator="greaterThan">
      <formula>0</formula>
    </cfRule>
  </conditionalFormatting>
  <conditionalFormatting sqref="A9:W24">
    <cfRule type="expression" dxfId="2" priority="2">
      <formula>ISEVEN(ROW()-9+1)</formula>
    </cfRule>
  </conditionalFormatting>
  <conditionalFormatting sqref="A1:B2 A4:B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9.63"/>
    <col customWidth="1" min="35" max="44" width="11.75"/>
  </cols>
  <sheetData>
    <row r="1" ht="21.75" customHeight="1">
      <c r="A1" s="1" t="s">
        <v>163</v>
      </c>
      <c r="AH1" s="130" t="s">
        <v>133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AH2" s="131" t="s">
        <v>134</v>
      </c>
      <c r="AI2" s="147" t="s">
        <v>170</v>
      </c>
    </row>
    <row r="3">
      <c r="A3" s="125" t="s">
        <v>164</v>
      </c>
      <c r="B3" s="133">
        <v>3.0</v>
      </c>
      <c r="AH3" s="131" t="s">
        <v>136</v>
      </c>
      <c r="AI3" s="132" t="s">
        <v>137</v>
      </c>
    </row>
    <row r="4">
      <c r="A4" s="125" t="s">
        <v>165</v>
      </c>
      <c r="B4" s="126">
        <v>5.0</v>
      </c>
    </row>
    <row r="5">
      <c r="A5" s="125" t="s">
        <v>166</v>
      </c>
      <c r="B5" s="126" t="b">
        <f>TRUE()</f>
        <v>1</v>
      </c>
      <c r="AH5" s="134" t="s">
        <v>138</v>
      </c>
      <c r="AI5" s="134" t="s">
        <v>139</v>
      </c>
      <c r="AJ5" s="134" t="s">
        <v>140</v>
      </c>
      <c r="AK5" s="134" t="s">
        <v>141</v>
      </c>
      <c r="AL5" s="134" t="s">
        <v>142</v>
      </c>
      <c r="AM5" s="134" t="s">
        <v>143</v>
      </c>
      <c r="AN5" s="134" t="s">
        <v>144</v>
      </c>
      <c r="AO5" s="134" t="s">
        <v>145</v>
      </c>
      <c r="AP5" s="134" t="s">
        <v>146</v>
      </c>
      <c r="AQ5" s="134" t="s">
        <v>147</v>
      </c>
      <c r="AR5" s="134" t="s">
        <v>148</v>
      </c>
    </row>
    <row r="6">
      <c r="AH6" s="135">
        <f>IF(1&lt;=$B$3,1,"")</f>
        <v>1</v>
      </c>
      <c r="AI6" s="136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137" t="str">
        <f t="array" ref="AJ6">IF($AH6="","",IF(AI6=0,"{}",LET(m,IF(AI6=15,16,AI6),s,MMULT(SEQUENCE(1,m,1,0),$C$9:$W$24),"{"&amp;TEXTJOIN(", ",TRUE,IF(s&gt;0,$C$8:$W$8&amp;": "&amp;ROUND(s,2),""))&amp;"}")))</f>
        <v>{}</v>
      </c>
      <c r="AK6" s="136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137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136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2</v>
      </c>
      <c r="AN6" s="137" t="str">
        <f t="array" ref="AN6">IF($AH6="","",IF(AM6=0,"{}",LET(m,IF(AM6=15,16,AM6),s,MMULT(SEQUENCE(1,m,1,0),$C$9:$W$24),"{"&amp;TEXTJOIN(", ",TRUE,IF(s&gt;0,$C$8:$W$8&amp;": "&amp;ROUND(s,2),""))&amp;"}")))</f>
        <v>{Chuck: 1, Unlimited Red: 10}</v>
      </c>
      <c r="AO6" s="136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4</v>
      </c>
      <c r="AP6" s="137" t="str">
        <f t="array" ref="AP6">IF($AH6="","",IF(AO6=0,"{}",LET(m,IF(AO6=15,16,AO6),s,MMULT(SEQUENCE(1,m,1,0),$C$9:$W$24),"{"&amp;TEXTJOIN(", ",TRUE,IF(s&gt;0,$C$8:$W$8&amp;": "&amp;ROUND(s,2),""))&amp;"}")))</f>
        <v>{Chuck: 1, Unlimited Lives: 30, Unlimited Red: 10, Unlimited Chuck: 10}</v>
      </c>
      <c r="AQ6" s="136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6</v>
      </c>
      <c r="AR6" s="137" t="str">
        <f t="array" ref="AR6">IF($AH6="","",IF(AQ6=0,"{}",LET(m,IF(AQ6=15,16,AQ6),s,MMULT(SEQUENCE(1,m,1,0),$C$9:$W$24),"{"&amp;TEXTJOIN(", ",TRUE,IF(s&gt;0,$C$8:$W$8&amp;": "&amp;ROUND(s,2),""))&amp;"}")))</f>
        <v>{Coins: 25, Chuck: 1, Unlimited Lives: 30, Unlimited Red: 10, Unlimited Chuck: 10, Unlimited Bomb: 10}</v>
      </c>
    </row>
    <row r="7" ht="19.5" customHeight="1">
      <c r="A7" s="92" t="s">
        <v>90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AH7" s="135">
        <f>IF(2&lt;=$B$3,2,"")</f>
        <v>2</v>
      </c>
      <c r="AI7" s="136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137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136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137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10}</v>
      </c>
      <c r="AM7" s="136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5</v>
      </c>
      <c r="AN7" s="137" t="str">
        <f t="array" ref="AN7">IF($AH7="","",IF(AM7=0,"{}",LET(m,IF(AM7=15,16,AM7),s,MMULT(SEQUENCE(1,m,1,0),$C$9:$W$24),"{"&amp;TEXTJOIN(", ",TRUE,IF(s&gt;0,$C$8:$W$8&amp;": "&amp;ROUND(s,2),""))&amp;"}")))</f>
        <v>{Coins: 25, Chuck: 1, Unlimited Lives: 30, Unlimited Red: 10, Unlimited Chuck: 10}</v>
      </c>
      <c r="AO7" s="136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7</v>
      </c>
      <c r="AP7" s="137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30, Unlimited Red: 10, Unlimited Chuck: 10, Unlimited Bomb: 10}</v>
      </c>
      <c r="AQ7" s="136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10</v>
      </c>
      <c r="AR7" s="137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25, Unlimited Chuck: 10, Unlimited Bomb: 10}</v>
      </c>
    </row>
    <row r="8" ht="90.0" customHeight="1">
      <c r="A8" s="96" t="s">
        <v>167</v>
      </c>
      <c r="B8" s="97" t="s">
        <v>168</v>
      </c>
      <c r="C8" s="98" t="s">
        <v>19</v>
      </c>
      <c r="D8" s="99" t="s">
        <v>5</v>
      </c>
      <c r="E8" s="99" t="s">
        <v>77</v>
      </c>
      <c r="F8" s="99" t="s">
        <v>6</v>
      </c>
      <c r="G8" s="99" t="s">
        <v>7</v>
      </c>
      <c r="H8" s="99" t="s">
        <v>8</v>
      </c>
      <c r="I8" s="99" t="s">
        <v>9</v>
      </c>
      <c r="J8" s="99" t="s">
        <v>10</v>
      </c>
      <c r="K8" s="99" t="s">
        <v>11</v>
      </c>
      <c r="L8" s="99" t="s">
        <v>12</v>
      </c>
      <c r="M8" s="99" t="s">
        <v>13</v>
      </c>
      <c r="N8" s="99" t="s">
        <v>14</v>
      </c>
      <c r="O8" s="99" t="s">
        <v>15</v>
      </c>
      <c r="P8" s="99" t="s">
        <v>92</v>
      </c>
      <c r="Q8" s="99" t="s">
        <v>78</v>
      </c>
      <c r="R8" s="99" t="s">
        <v>79</v>
      </c>
      <c r="S8" s="99" t="s">
        <v>80</v>
      </c>
      <c r="T8" s="99" t="s">
        <v>81</v>
      </c>
      <c r="U8" s="99" t="s">
        <v>82</v>
      </c>
      <c r="V8" s="99" t="s">
        <v>83</v>
      </c>
      <c r="W8" s="99" t="s">
        <v>84</v>
      </c>
      <c r="AH8" s="135">
        <f>IF(3&lt;=$B$3,3,"")</f>
        <v>3</v>
      </c>
      <c r="AI8" s="136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137" t="str">
        <f t="array" ref="AJ8">IF($AH8="","",IF(AI8=0,"{}",LET(m,IF(AI8=15,16,AI8),s,MMULT(SEQUENCE(1,m,1,0),$C$9:$W$24),"{"&amp;TEXTJOIN(", ",TRUE,IF(s&gt;0,$C$8:$W$8&amp;": "&amp;ROUND(s,2),""))&amp;"}")))</f>
        <v>{Chuck: 1, Unlimited Red: 10}</v>
      </c>
      <c r="AK8" s="136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4</v>
      </c>
      <c r="AL8" s="137" t="str">
        <f t="array" ref="AL8">IF($AH8="","",IF(AK8=0,"{}",LET(m,IF(AK8=15,16,AK8),s,MMULT(SEQUENCE(1,m,1,0),$C$9:$W$24),"{"&amp;TEXTJOIN(", ",TRUE,IF(s&gt;0,$C$8:$W$8&amp;": "&amp;ROUND(s,2),""))&amp;"}")))</f>
        <v>{Chuck: 1, Unlimited Lives: 30, Unlimited Red: 10, Unlimited Chuck: 10}</v>
      </c>
      <c r="AM8" s="136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6</v>
      </c>
      <c r="AN8" s="137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10, Unlimited Bomb: 10}</v>
      </c>
      <c r="AO8" s="136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9</v>
      </c>
      <c r="AP8" s="137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25, Unlimited Chuck: 10, Unlimited Bomb: 10}</v>
      </c>
      <c r="AQ8" s="136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12</v>
      </c>
      <c r="AR8" s="137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25, Unlimited Chuck: 25, Unlimited Bomb: 25}</v>
      </c>
    </row>
    <row r="9">
      <c r="A9" s="101">
        <v>1.0</v>
      </c>
      <c r="B9" s="102">
        <v>15.0</v>
      </c>
      <c r="C9" s="129">
        <v>0.0</v>
      </c>
      <c r="D9" s="101">
        <v>0.0</v>
      </c>
      <c r="E9" s="101">
        <v>0.0</v>
      </c>
      <c r="F9" s="101">
        <v>0.0</v>
      </c>
      <c r="G9" s="101">
        <v>1.0</v>
      </c>
      <c r="H9" s="101">
        <v>0.0</v>
      </c>
      <c r="I9" s="101">
        <v>0.0</v>
      </c>
      <c r="J9" s="101">
        <v>0.0</v>
      </c>
      <c r="K9" s="101">
        <v>0.0</v>
      </c>
      <c r="L9" s="101">
        <v>0.0</v>
      </c>
      <c r="M9" s="101">
        <v>0.0</v>
      </c>
      <c r="N9" s="101">
        <v>0.0</v>
      </c>
      <c r="O9" s="101">
        <v>0.0</v>
      </c>
      <c r="P9" s="101">
        <v>0.0</v>
      </c>
      <c r="Q9" s="101">
        <v>0.0</v>
      </c>
      <c r="R9" s="101">
        <v>0.0</v>
      </c>
      <c r="S9" s="101">
        <v>0.0</v>
      </c>
      <c r="T9" s="101">
        <v>0.0</v>
      </c>
      <c r="U9" s="101">
        <v>0.0</v>
      </c>
      <c r="V9" s="101">
        <v>0.0</v>
      </c>
      <c r="W9" s="101">
        <v>0.0</v>
      </c>
      <c r="AH9" s="135" t="str">
        <f>IF(4&lt;=$B$3,4,"")</f>
        <v/>
      </c>
      <c r="AI9" s="136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137" t="str">
        <f t="array" ref="AJ9">IF($AH9="","",IF(AI9=0,"{}",LET(m,IF(AI9=15,16,AI9),s,MMULT(SEQUENCE(1,m,1,0),$C$9:$W$24),"{"&amp;TEXTJOIN(", ",TRUE,IF(s&gt;0,$C$8:$W$8&amp;": "&amp;ROUND(s,2),""))&amp;"}")))</f>
        <v/>
      </c>
      <c r="AK9" s="136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137" t="str">
        <f t="array" ref="AL9">IF($AH9="","",IF(AK9=0,"{}",LET(m,IF(AK9=15,16,AK9),s,MMULT(SEQUENCE(1,m,1,0),$C$9:$W$24),"{"&amp;TEXTJOIN(", ",TRUE,IF(s&gt;0,$C$8:$W$8&amp;": "&amp;ROUND(s,2),""))&amp;"}")))</f>
        <v/>
      </c>
      <c r="AM9" s="136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137" t="str">
        <f t="array" ref="AN9">IF($AH9="","",IF(AM9=0,"{}",LET(m,IF(AM9=15,16,AM9),s,MMULT(SEQUENCE(1,m,1,0),$C$9:$W$24),"{"&amp;TEXTJOIN(", ",TRUE,IF(s&gt;0,$C$8:$W$8&amp;": "&amp;ROUND(s,2),""))&amp;"}")))</f>
        <v/>
      </c>
      <c r="AO9" s="136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137" t="str">
        <f t="array" ref="AP9">IF($AH9="","",IF(AO9=0,"{}",LET(m,IF(AO9=15,16,AO9),s,MMULT(SEQUENCE(1,m,1,0),$C$9:$W$24),"{"&amp;TEXTJOIN(", ",TRUE,IF(s&gt;0,$C$8:$W$8&amp;": "&amp;ROUND(s,2),""))&amp;"}")))</f>
        <v/>
      </c>
      <c r="AQ9" s="136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137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101">
        <v>2.0</v>
      </c>
      <c r="B10" s="102">
        <v>40.0</v>
      </c>
      <c r="C10" s="129">
        <v>0.0</v>
      </c>
      <c r="D10" s="101">
        <v>0.0</v>
      </c>
      <c r="E10" s="101">
        <v>0.0</v>
      </c>
      <c r="F10" s="101">
        <v>0.0</v>
      </c>
      <c r="G10" s="101">
        <v>0.0</v>
      </c>
      <c r="H10" s="101">
        <v>0.0</v>
      </c>
      <c r="I10" s="101">
        <v>0.0</v>
      </c>
      <c r="J10" s="101">
        <v>0.0</v>
      </c>
      <c r="K10" s="101">
        <v>0.0</v>
      </c>
      <c r="L10" s="101">
        <v>0.0</v>
      </c>
      <c r="M10" s="101">
        <v>10.0</v>
      </c>
      <c r="N10" s="101">
        <v>0.0</v>
      </c>
      <c r="O10" s="101">
        <v>0.0</v>
      </c>
      <c r="P10" s="101">
        <v>0.0</v>
      </c>
      <c r="Q10" s="101">
        <v>0.0</v>
      </c>
      <c r="R10" s="101">
        <v>0.0</v>
      </c>
      <c r="S10" s="101">
        <v>0.0</v>
      </c>
      <c r="T10" s="101">
        <v>0.0</v>
      </c>
      <c r="U10" s="101">
        <v>0.0</v>
      </c>
      <c r="V10" s="101">
        <v>0.0</v>
      </c>
      <c r="W10" s="101">
        <v>0.0</v>
      </c>
      <c r="AH10" s="135" t="str">
        <f>IF(5&lt;=$B$3,5,"")</f>
        <v/>
      </c>
      <c r="AI10" s="136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137" t="str">
        <f t="array" ref="AJ10">IF($AH10="","",IF(AI10=0,"{}",LET(m,IF(AI10=15,16,AI10),s,MMULT(SEQUENCE(1,m,1,0),$C$9:$W$24),"{"&amp;TEXTJOIN(", ",TRUE,IF(s&gt;0,$C$8:$W$8&amp;": "&amp;ROUND(s,2),""))&amp;"}")))</f>
        <v/>
      </c>
      <c r="AK10" s="136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137" t="str">
        <f t="array" ref="AL10">IF($AH10="","",IF(AK10=0,"{}",LET(m,IF(AK10=15,16,AK10),s,MMULT(SEQUENCE(1,m,1,0),$C$9:$W$24),"{"&amp;TEXTJOIN(", ",TRUE,IF(s&gt;0,$C$8:$W$8&amp;": "&amp;ROUND(s,2),""))&amp;"}")))</f>
        <v/>
      </c>
      <c r="AM10" s="136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137" t="str">
        <f t="array" ref="AN10">IF($AH10="","",IF(AM10=0,"{}",LET(m,IF(AM10=15,16,AM10),s,MMULT(SEQUENCE(1,m,1,0),$C$9:$W$24),"{"&amp;TEXTJOIN(", ",TRUE,IF(s&gt;0,$C$8:$W$8&amp;": "&amp;ROUND(s,2),""))&amp;"}")))</f>
        <v/>
      </c>
      <c r="AO10" s="136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137" t="str">
        <f t="array" ref="AP10">IF($AH10="","",IF(AO10=0,"{}",LET(m,IF(AO10=15,16,AO10),s,MMULT(SEQUENCE(1,m,1,0),$C$9:$W$24),"{"&amp;TEXTJOIN(", ",TRUE,IF(s&gt;0,$C$8:$W$8&amp;": "&amp;ROUND(s,2),""))&amp;"}")))</f>
        <v/>
      </c>
      <c r="AQ10" s="136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137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101">
        <v>3.0</v>
      </c>
      <c r="B11" s="102">
        <v>70.0</v>
      </c>
      <c r="C11" s="129">
        <v>0.0</v>
      </c>
      <c r="D11" s="101">
        <v>0.0</v>
      </c>
      <c r="E11" s="101">
        <v>0.0</v>
      </c>
      <c r="F11" s="101">
        <v>0.0</v>
      </c>
      <c r="G11" s="101">
        <v>0.0</v>
      </c>
      <c r="H11" s="101">
        <v>0.0</v>
      </c>
      <c r="I11" s="101">
        <v>0.0</v>
      </c>
      <c r="J11" s="101">
        <v>0.0</v>
      </c>
      <c r="K11" s="101">
        <v>0.0</v>
      </c>
      <c r="L11" s="101">
        <v>0.0</v>
      </c>
      <c r="M11" s="101">
        <v>0.0</v>
      </c>
      <c r="N11" s="101">
        <v>10.0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1">
        <v>0.0</v>
      </c>
      <c r="V11" s="101">
        <v>0.0</v>
      </c>
      <c r="W11" s="101">
        <v>0.0</v>
      </c>
      <c r="AH11" s="135" t="str">
        <f>IF(6&lt;=$B$3,6,"")</f>
        <v/>
      </c>
      <c r="AI11" s="136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137" t="str">
        <f t="array" ref="AJ11">IF($AH11="","",IF(AI11=0,"{}",LET(m,IF(AI11=15,16,AI11),s,MMULT(SEQUENCE(1,m,1,0),$C$9:$W$24),"{"&amp;TEXTJOIN(", ",TRUE,IF(s&gt;0,$C$8:$W$8&amp;": "&amp;ROUND(s,2),""))&amp;"}")))</f>
        <v/>
      </c>
      <c r="AK11" s="136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137" t="str">
        <f t="array" ref="AL11">IF($AH11="","",IF(AK11=0,"{}",LET(m,IF(AK11=15,16,AK11),s,MMULT(SEQUENCE(1,m,1,0),$C$9:$W$24),"{"&amp;TEXTJOIN(", ",TRUE,IF(s&gt;0,$C$8:$W$8&amp;": "&amp;ROUND(s,2),""))&amp;"}")))</f>
        <v/>
      </c>
      <c r="AM11" s="136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137" t="str">
        <f t="array" ref="AN11">IF($AH11="","",IF(AM11=0,"{}",LET(m,IF(AM11=15,16,AM11),s,MMULT(SEQUENCE(1,m,1,0),$C$9:$W$24),"{"&amp;TEXTJOIN(", ",TRUE,IF(s&gt;0,$C$8:$W$8&amp;": "&amp;ROUND(s,2),""))&amp;"}")))</f>
        <v/>
      </c>
      <c r="AO11" s="136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137" t="str">
        <f t="array" ref="AP11">IF($AH11="","",IF(AO11=0,"{}",LET(m,IF(AO11=15,16,AO11),s,MMULT(SEQUENCE(1,m,1,0),$C$9:$W$24),"{"&amp;TEXTJOIN(", ",TRUE,IF(s&gt;0,$C$8:$W$8&amp;": "&amp;ROUND(s,2),""))&amp;"}")))</f>
        <v/>
      </c>
      <c r="AQ11" s="136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137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101">
        <v>4.0</v>
      </c>
      <c r="B12" s="102">
        <v>110.0</v>
      </c>
      <c r="C12" s="129">
        <v>0.0</v>
      </c>
      <c r="D12" s="101">
        <v>0.0</v>
      </c>
      <c r="E12" s="101">
        <v>0.0</v>
      </c>
      <c r="F12" s="101">
        <v>0.0</v>
      </c>
      <c r="G12" s="101">
        <v>0.0</v>
      </c>
      <c r="H12" s="101">
        <v>0.0</v>
      </c>
      <c r="I12" s="101">
        <v>0.0</v>
      </c>
      <c r="J12" s="101">
        <v>0.0</v>
      </c>
      <c r="K12" s="101">
        <v>0.0</v>
      </c>
      <c r="L12" s="101">
        <v>30.0</v>
      </c>
      <c r="M12" s="101">
        <v>0.0</v>
      </c>
      <c r="N12" s="101">
        <v>0.0</v>
      </c>
      <c r="O12" s="101">
        <v>0.0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  <c r="W12" s="101">
        <v>0.0</v>
      </c>
      <c r="AH12" s="135" t="str">
        <f>IF(7&lt;=$B$3,7,"")</f>
        <v/>
      </c>
      <c r="AI12" s="136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137" t="str">
        <f t="array" ref="AJ12">IF($AH12="","",IF(AI12=0,"{}",LET(m,IF(AI12=15,16,AI12),s,MMULT(SEQUENCE(1,m,1,0),$C$9:$W$24),"{"&amp;TEXTJOIN(", ",TRUE,IF(s&gt;0,$C$8:$W$8&amp;": "&amp;ROUND(s,2),""))&amp;"}")))</f>
        <v/>
      </c>
      <c r="AK12" s="136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137" t="str">
        <f t="array" ref="AL12">IF($AH12="","",IF(AK12=0,"{}",LET(m,IF(AK12=15,16,AK12),s,MMULT(SEQUENCE(1,m,1,0),$C$9:$W$24),"{"&amp;TEXTJOIN(", ",TRUE,IF(s&gt;0,$C$8:$W$8&amp;": "&amp;ROUND(s,2),""))&amp;"}")))</f>
        <v/>
      </c>
      <c r="AM12" s="136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137" t="str">
        <f t="array" ref="AN12">IF($AH12="","",IF(AM12=0,"{}",LET(m,IF(AM12=15,16,AM12),s,MMULT(SEQUENCE(1,m,1,0),$C$9:$W$24),"{"&amp;TEXTJOIN(", ",TRUE,IF(s&gt;0,$C$8:$W$8&amp;": "&amp;ROUND(s,2),""))&amp;"}")))</f>
        <v/>
      </c>
      <c r="AO12" s="136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137" t="str">
        <f t="array" ref="AP12">IF($AH12="","",IF(AO12=0,"{}",LET(m,IF(AO12=15,16,AO12),s,MMULT(SEQUENCE(1,m,1,0),$C$9:$W$24),"{"&amp;TEXTJOIN(", ",TRUE,IF(s&gt;0,$C$8:$W$8&amp;": "&amp;ROUND(s,2),""))&amp;"}")))</f>
        <v/>
      </c>
      <c r="AQ12" s="136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137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101">
        <v>5.0</v>
      </c>
      <c r="B13" s="102">
        <v>160.0</v>
      </c>
      <c r="C13" s="129">
        <v>25.0</v>
      </c>
      <c r="D13" s="101">
        <v>0.0</v>
      </c>
      <c r="E13" s="101">
        <v>0.0</v>
      </c>
      <c r="F13" s="101">
        <v>0.0</v>
      </c>
      <c r="G13" s="101">
        <v>0.0</v>
      </c>
      <c r="H13" s="101">
        <v>0.0</v>
      </c>
      <c r="I13" s="101">
        <v>0.0</v>
      </c>
      <c r="J13" s="101">
        <v>0.0</v>
      </c>
      <c r="K13" s="101">
        <v>0.0</v>
      </c>
      <c r="L13" s="101">
        <v>0.0</v>
      </c>
      <c r="M13" s="101">
        <v>0.0</v>
      </c>
      <c r="N13" s="101">
        <v>0.0</v>
      </c>
      <c r="O13" s="101">
        <v>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  <c r="W13" s="101">
        <v>0.0</v>
      </c>
    </row>
    <row r="14">
      <c r="A14" s="101">
        <v>6.0</v>
      </c>
      <c r="B14" s="102">
        <v>220.0</v>
      </c>
      <c r="C14" s="129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0.0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10.0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  <c r="W14" s="101">
        <v>0.0</v>
      </c>
    </row>
    <row r="15">
      <c r="A15" s="101">
        <v>7.0</v>
      </c>
      <c r="B15" s="102">
        <v>290.0</v>
      </c>
      <c r="C15" s="129">
        <v>0.0</v>
      </c>
      <c r="D15" s="101">
        <v>0.0</v>
      </c>
      <c r="E15" s="101">
        <v>0.0</v>
      </c>
      <c r="F15" s="101">
        <v>1.0</v>
      </c>
      <c r="G15" s="101">
        <v>0.0</v>
      </c>
      <c r="H15" s="101">
        <v>0.0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  <c r="W15" s="101">
        <v>0.0</v>
      </c>
    </row>
    <row r="16">
      <c r="A16" s="101">
        <v>8.0</v>
      </c>
      <c r="B16" s="102">
        <v>370.0</v>
      </c>
      <c r="C16" s="129">
        <v>0.0</v>
      </c>
      <c r="D16" s="101">
        <v>0.0</v>
      </c>
      <c r="E16" s="101">
        <v>0.0</v>
      </c>
      <c r="F16" s="101">
        <v>0.0</v>
      </c>
      <c r="G16" s="101">
        <v>0.0</v>
      </c>
      <c r="H16" s="101">
        <v>0.0</v>
      </c>
      <c r="I16" s="101">
        <v>0.0</v>
      </c>
      <c r="J16" s="101">
        <v>0.0</v>
      </c>
      <c r="K16" s="101">
        <v>0.0</v>
      </c>
      <c r="L16" s="101">
        <v>60.0</v>
      </c>
      <c r="M16" s="101">
        <v>0.0</v>
      </c>
      <c r="N16" s="101">
        <v>0.0</v>
      </c>
      <c r="O16" s="101">
        <v>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  <c r="W16" s="101">
        <v>0.0</v>
      </c>
    </row>
    <row r="17">
      <c r="A17" s="101">
        <v>9.0</v>
      </c>
      <c r="B17" s="102">
        <v>460.0</v>
      </c>
      <c r="C17" s="129">
        <v>0.0</v>
      </c>
      <c r="D17" s="101">
        <v>0.0</v>
      </c>
      <c r="E17" s="101">
        <v>0.0</v>
      </c>
      <c r="F17" s="101">
        <v>0.0</v>
      </c>
      <c r="G17" s="101">
        <v>0.0</v>
      </c>
      <c r="H17" s="101">
        <v>0.0</v>
      </c>
      <c r="I17" s="101">
        <v>0.0</v>
      </c>
      <c r="J17" s="101">
        <v>0.0</v>
      </c>
      <c r="K17" s="101">
        <v>0.0</v>
      </c>
      <c r="L17" s="101">
        <v>0.0</v>
      </c>
      <c r="M17" s="101">
        <v>15.0</v>
      </c>
      <c r="N17" s="101">
        <v>0.0</v>
      </c>
      <c r="O17" s="101">
        <v>0.0</v>
      </c>
      <c r="P17" s="101">
        <v>0.0</v>
      </c>
      <c r="Q17" s="101">
        <v>0.0</v>
      </c>
      <c r="R17" s="101">
        <v>0.0</v>
      </c>
      <c r="S17" s="101">
        <v>0.0</v>
      </c>
      <c r="T17" s="101">
        <v>0.0</v>
      </c>
      <c r="U17" s="101">
        <v>0.0</v>
      </c>
      <c r="V17" s="101">
        <v>0.0</v>
      </c>
      <c r="W17" s="101">
        <v>0.0</v>
      </c>
    </row>
    <row r="18">
      <c r="A18" s="101">
        <v>10.0</v>
      </c>
      <c r="B18" s="102">
        <v>560.0</v>
      </c>
      <c r="C18" s="129">
        <v>25.0</v>
      </c>
      <c r="D18" s="101">
        <v>0.0</v>
      </c>
      <c r="E18" s="101">
        <v>0.0</v>
      </c>
      <c r="F18" s="101">
        <v>0.0</v>
      </c>
      <c r="G18" s="101">
        <v>0.0</v>
      </c>
      <c r="H18" s="101">
        <v>0.0</v>
      </c>
      <c r="I18" s="101">
        <v>0.0</v>
      </c>
      <c r="J18" s="101">
        <v>0.0</v>
      </c>
      <c r="K18" s="101">
        <v>0.0</v>
      </c>
      <c r="L18" s="101">
        <v>0.0</v>
      </c>
      <c r="M18" s="101">
        <v>0.0</v>
      </c>
      <c r="N18" s="101">
        <v>0.0</v>
      </c>
      <c r="O18" s="101">
        <v>0.0</v>
      </c>
      <c r="P18" s="101">
        <v>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  <c r="W18" s="101">
        <v>0.0</v>
      </c>
    </row>
    <row r="19">
      <c r="A19" s="101">
        <v>11.0</v>
      </c>
      <c r="B19" s="102">
        <v>670.0</v>
      </c>
      <c r="C19" s="129">
        <v>0.0</v>
      </c>
      <c r="D19" s="101">
        <v>0.0</v>
      </c>
      <c r="E19" s="101">
        <v>0.0</v>
      </c>
      <c r="F19" s="101">
        <v>0.0</v>
      </c>
      <c r="G19" s="101">
        <v>0.0</v>
      </c>
      <c r="H19" s="101">
        <v>0.0</v>
      </c>
      <c r="I19" s="101">
        <v>0.0</v>
      </c>
      <c r="J19" s="101">
        <v>0.0</v>
      </c>
      <c r="K19" s="101">
        <v>0.0</v>
      </c>
      <c r="L19" s="101">
        <v>0.0</v>
      </c>
      <c r="M19" s="101">
        <v>0.0</v>
      </c>
      <c r="N19" s="101">
        <v>15.0</v>
      </c>
      <c r="O19" s="101">
        <v>0.0</v>
      </c>
      <c r="P19" s="101">
        <v>0.0</v>
      </c>
      <c r="Q19" s="101">
        <v>0.0</v>
      </c>
      <c r="R19" s="101">
        <v>0.0</v>
      </c>
      <c r="S19" s="101">
        <v>0.0</v>
      </c>
      <c r="T19" s="101">
        <v>0.0</v>
      </c>
      <c r="U19" s="101">
        <v>0.0</v>
      </c>
      <c r="V19" s="101">
        <v>0.0</v>
      </c>
      <c r="W19" s="101">
        <v>0.0</v>
      </c>
    </row>
    <row r="20">
      <c r="A20" s="101">
        <v>12.0</v>
      </c>
      <c r="B20" s="102">
        <v>790.0</v>
      </c>
      <c r="C20" s="129">
        <v>0.0</v>
      </c>
      <c r="D20" s="101">
        <v>0.0</v>
      </c>
      <c r="E20" s="101">
        <v>0.0</v>
      </c>
      <c r="F20" s="101">
        <v>0.0</v>
      </c>
      <c r="G20" s="101">
        <v>0.0</v>
      </c>
      <c r="H20" s="101">
        <v>0.0</v>
      </c>
      <c r="I20" s="101">
        <v>0.0</v>
      </c>
      <c r="J20" s="101">
        <v>0.0</v>
      </c>
      <c r="K20" s="101">
        <v>0.0</v>
      </c>
      <c r="L20" s="101">
        <v>0.0</v>
      </c>
      <c r="M20" s="101">
        <v>0.0</v>
      </c>
      <c r="N20" s="101">
        <v>0.0</v>
      </c>
      <c r="O20" s="101">
        <v>15.0</v>
      </c>
      <c r="P20" s="101">
        <v>0.0</v>
      </c>
      <c r="Q20" s="101">
        <v>0.0</v>
      </c>
      <c r="R20" s="101">
        <v>0.0</v>
      </c>
      <c r="S20" s="101">
        <v>0.0</v>
      </c>
      <c r="T20" s="101">
        <v>0.0</v>
      </c>
      <c r="U20" s="101">
        <v>0.0</v>
      </c>
      <c r="V20" s="101">
        <v>0.0</v>
      </c>
      <c r="W20" s="101">
        <v>0.0</v>
      </c>
    </row>
    <row r="21" ht="15.75" customHeight="1">
      <c r="A21" s="101">
        <v>13.0</v>
      </c>
      <c r="B21" s="102">
        <v>920.0</v>
      </c>
      <c r="C21" s="129">
        <v>0.0</v>
      </c>
      <c r="D21" s="101">
        <v>0.0</v>
      </c>
      <c r="E21" s="101">
        <v>0.0</v>
      </c>
      <c r="F21" s="101">
        <v>0.0</v>
      </c>
      <c r="G21" s="101">
        <v>0.0</v>
      </c>
      <c r="H21" s="101">
        <v>0.0</v>
      </c>
      <c r="I21" s="101">
        <v>1.0</v>
      </c>
      <c r="J21" s="101">
        <v>0.0</v>
      </c>
      <c r="K21" s="101">
        <v>0.0</v>
      </c>
      <c r="L21" s="101">
        <v>0.0</v>
      </c>
      <c r="M21" s="101">
        <v>0.0</v>
      </c>
      <c r="N21" s="101">
        <v>0.0</v>
      </c>
      <c r="O21" s="101">
        <v>0.0</v>
      </c>
      <c r="P21" s="101">
        <v>0.0</v>
      </c>
      <c r="Q21" s="101">
        <v>0.0</v>
      </c>
      <c r="R21" s="101">
        <v>0.0</v>
      </c>
      <c r="S21" s="101">
        <v>0.0</v>
      </c>
      <c r="T21" s="101">
        <v>0.0</v>
      </c>
      <c r="U21" s="101">
        <v>0.0</v>
      </c>
      <c r="V21" s="101">
        <v>0.0</v>
      </c>
      <c r="W21" s="101">
        <v>0.0</v>
      </c>
    </row>
    <row r="22" ht="15.75" customHeight="1">
      <c r="A22" s="101">
        <v>14.0</v>
      </c>
      <c r="B22" s="102">
        <v>1060.0</v>
      </c>
      <c r="C22" s="129">
        <v>0.0</v>
      </c>
      <c r="D22" s="101">
        <v>0.0</v>
      </c>
      <c r="E22" s="101">
        <v>0.0</v>
      </c>
      <c r="F22" s="101">
        <v>0.0</v>
      </c>
      <c r="G22" s="101">
        <v>0.0</v>
      </c>
      <c r="H22" s="101">
        <v>0.0</v>
      </c>
      <c r="I22" s="101">
        <v>0.0</v>
      </c>
      <c r="J22" s="101">
        <v>0.0</v>
      </c>
      <c r="K22" s="101">
        <v>0.0</v>
      </c>
      <c r="L22" s="101">
        <v>60.0</v>
      </c>
      <c r="M22" s="101">
        <v>0.0</v>
      </c>
      <c r="N22" s="101">
        <v>0.0</v>
      </c>
      <c r="O22" s="101">
        <v>0.0</v>
      </c>
      <c r="P22" s="101">
        <v>0.0</v>
      </c>
      <c r="Q22" s="101">
        <v>0.0</v>
      </c>
      <c r="R22" s="101">
        <v>0.0</v>
      </c>
      <c r="S22" s="101">
        <v>0.0</v>
      </c>
      <c r="T22" s="101">
        <v>0.0</v>
      </c>
      <c r="U22" s="101">
        <v>0.0</v>
      </c>
      <c r="V22" s="101">
        <v>0.0</v>
      </c>
      <c r="W22" s="101">
        <v>0.0</v>
      </c>
    </row>
    <row r="23" ht="15.75" customHeight="1">
      <c r="A23" s="101">
        <v>15.0</v>
      </c>
      <c r="B23" s="102">
        <v>1210.0</v>
      </c>
      <c r="C23" s="129">
        <v>0.0</v>
      </c>
      <c r="D23" s="101">
        <v>0.0</v>
      </c>
      <c r="E23" s="101">
        <v>0.0</v>
      </c>
      <c r="F23" s="101">
        <v>0.0</v>
      </c>
      <c r="G23" s="101">
        <v>0.0</v>
      </c>
      <c r="H23" s="101">
        <v>0.0</v>
      </c>
      <c r="I23" s="101">
        <v>0.0</v>
      </c>
      <c r="J23" s="101">
        <v>1.0</v>
      </c>
      <c r="K23" s="101">
        <v>0.0</v>
      </c>
      <c r="L23" s="101">
        <v>0.0</v>
      </c>
      <c r="M23" s="101">
        <v>0.0</v>
      </c>
      <c r="N23" s="101">
        <v>0.0</v>
      </c>
      <c r="O23" s="101">
        <v>0.0</v>
      </c>
      <c r="P23" s="101">
        <v>0.0</v>
      </c>
      <c r="Q23" s="101">
        <v>0.0</v>
      </c>
      <c r="R23" s="101">
        <v>0.0</v>
      </c>
      <c r="S23" s="101">
        <v>0.0</v>
      </c>
      <c r="T23" s="101">
        <v>0.0</v>
      </c>
      <c r="U23" s="101">
        <v>0.0</v>
      </c>
      <c r="V23" s="101">
        <v>0.0</v>
      </c>
      <c r="W23" s="101">
        <v>0.0</v>
      </c>
    </row>
    <row r="24" ht="15.75" customHeight="1">
      <c r="A24" s="146" t="s">
        <v>169</v>
      </c>
      <c r="B24" s="102"/>
      <c r="C24" s="129">
        <v>50.0</v>
      </c>
      <c r="D24" s="101">
        <v>0.0</v>
      </c>
      <c r="E24" s="101">
        <v>0.0</v>
      </c>
      <c r="F24" s="101">
        <v>0.0</v>
      </c>
      <c r="G24" s="101">
        <v>0.0</v>
      </c>
      <c r="H24" s="101">
        <v>1.0</v>
      </c>
      <c r="I24" s="101">
        <v>0.0</v>
      </c>
      <c r="J24" s="101">
        <v>0.0</v>
      </c>
      <c r="K24" s="101">
        <v>1.0</v>
      </c>
      <c r="L24" s="101">
        <v>0.0</v>
      </c>
      <c r="M24" s="101">
        <v>0.0</v>
      </c>
      <c r="N24" s="101">
        <v>0.0</v>
      </c>
      <c r="O24" s="101">
        <v>0.0</v>
      </c>
      <c r="P24" s="101">
        <v>0.0</v>
      </c>
      <c r="Q24" s="101">
        <v>0.0</v>
      </c>
      <c r="R24" s="101">
        <v>0.0</v>
      </c>
      <c r="S24" s="101">
        <v>0.0</v>
      </c>
      <c r="T24" s="101">
        <v>0.0</v>
      </c>
      <c r="U24" s="101">
        <v>0.0</v>
      </c>
      <c r="V24" s="101">
        <v>0.0</v>
      </c>
      <c r="W24" s="101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1" priority="1" operator="greaterThan">
      <formula>0</formula>
    </cfRule>
  </conditionalFormatting>
  <conditionalFormatting sqref="A9:W24">
    <cfRule type="expression" dxfId="2" priority="2">
      <formula>ISEVEN(ROW()-9+1)</formula>
    </cfRule>
  </conditionalFormatting>
  <conditionalFormatting sqref="A1:B2 A4:B24">
    <cfRule type="expression" dxfId="3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148" t="s">
        <v>38</v>
      </c>
    </row>
    <row r="2" ht="19.5" customHeight="1">
      <c r="A2" s="149" t="s">
        <v>88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</row>
    <row r="3">
      <c r="A3" s="150" t="s">
        <v>127</v>
      </c>
      <c r="B3" s="151">
        <v>1.0</v>
      </c>
    </row>
    <row r="4">
      <c r="A4" s="150" t="s">
        <v>128</v>
      </c>
      <c r="B4" s="151">
        <v>42.0</v>
      </c>
    </row>
    <row r="5">
      <c r="A5" s="150" t="s">
        <v>171</v>
      </c>
      <c r="B5" s="151">
        <v>60.0</v>
      </c>
    </row>
    <row r="6">
      <c r="A6" s="150" t="s">
        <v>172</v>
      </c>
      <c r="B6" s="151">
        <v>7.0</v>
      </c>
    </row>
    <row r="7">
      <c r="A7" s="150" t="s">
        <v>173</v>
      </c>
      <c r="B7" s="151">
        <v>1.0</v>
      </c>
    </row>
    <row r="8">
      <c r="A8" s="150" t="s">
        <v>174</v>
      </c>
      <c r="B8" s="151">
        <v>1000.0</v>
      </c>
    </row>
    <row r="9">
      <c r="A9" s="150" t="s">
        <v>175</v>
      </c>
      <c r="B9" s="151" t="s">
        <v>176</v>
      </c>
    </row>
    <row r="10">
      <c r="A10" s="150" t="s">
        <v>177</v>
      </c>
      <c r="B10" s="151" t="s">
        <v>178</v>
      </c>
    </row>
    <row r="12" ht="19.5" customHeight="1">
      <c r="A12" s="149" t="s">
        <v>179</v>
      </c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</row>
    <row r="13">
      <c r="A13" s="96" t="s">
        <v>180</v>
      </c>
      <c r="B13" s="96" t="s">
        <v>181</v>
      </c>
    </row>
    <row r="14">
      <c r="A14" s="152" t="s">
        <v>182</v>
      </c>
      <c r="B14" s="153">
        <v>1.0</v>
      </c>
    </row>
    <row r="15">
      <c r="A15" s="152" t="s">
        <v>183</v>
      </c>
      <c r="B15" s="153">
        <v>10.0</v>
      </c>
    </row>
    <row r="16">
      <c r="A16" s="152" t="s">
        <v>184</v>
      </c>
      <c r="B16" s="153">
        <v>100.0</v>
      </c>
    </row>
    <row r="17">
      <c r="A17" s="152" t="s">
        <v>185</v>
      </c>
      <c r="B17" s="153">
        <v>200.0</v>
      </c>
    </row>
    <row r="18">
      <c r="A18" s="152" t="s">
        <v>186</v>
      </c>
      <c r="B18" s="153">
        <v>500.0</v>
      </c>
    </row>
    <row r="19">
      <c r="A19" s="152" t="s">
        <v>187</v>
      </c>
      <c r="B19" s="153">
        <v>1000.0</v>
      </c>
    </row>
    <row r="21" ht="19.5" customHeight="1">
      <c r="A21" s="149" t="s">
        <v>188</v>
      </c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</row>
    <row r="22" ht="90.0" customHeight="1">
      <c r="A22" s="96" t="s">
        <v>131</v>
      </c>
      <c r="B22" s="96" t="s">
        <v>189</v>
      </c>
      <c r="C22" s="154" t="s">
        <v>19</v>
      </c>
      <c r="D22" s="154" t="s">
        <v>5</v>
      </c>
      <c r="E22" s="154" t="s">
        <v>77</v>
      </c>
      <c r="F22" s="154" t="s">
        <v>6</v>
      </c>
      <c r="G22" s="154" t="s">
        <v>7</v>
      </c>
      <c r="H22" s="154" t="s">
        <v>8</v>
      </c>
      <c r="I22" s="154" t="s">
        <v>9</v>
      </c>
      <c r="J22" s="154" t="s">
        <v>10</v>
      </c>
      <c r="K22" s="154" t="s">
        <v>11</v>
      </c>
      <c r="L22" s="154" t="s">
        <v>12</v>
      </c>
      <c r="M22" s="154" t="s">
        <v>13</v>
      </c>
      <c r="N22" s="154" t="s">
        <v>14</v>
      </c>
      <c r="O22" s="154" t="s">
        <v>15</v>
      </c>
      <c r="P22" s="154" t="s">
        <v>92</v>
      </c>
      <c r="Q22" s="154" t="s">
        <v>78</v>
      </c>
      <c r="R22" s="154" t="s">
        <v>79</v>
      </c>
      <c r="S22" s="154" t="s">
        <v>80</v>
      </c>
      <c r="T22" s="154" t="s">
        <v>81</v>
      </c>
      <c r="U22" s="154" t="s">
        <v>82</v>
      </c>
      <c r="V22" s="154" t="s">
        <v>83</v>
      </c>
      <c r="W22" s="154" t="s">
        <v>84</v>
      </c>
    </row>
    <row r="23" ht="15.75" customHeight="1">
      <c r="A23" s="152">
        <v>1.0</v>
      </c>
      <c r="B23" s="152">
        <v>100.0</v>
      </c>
      <c r="C23" s="152">
        <v>0.0</v>
      </c>
      <c r="D23" s="152">
        <v>0.0</v>
      </c>
      <c r="E23" s="152">
        <v>0.0</v>
      </c>
      <c r="F23" s="152">
        <v>0.0</v>
      </c>
      <c r="G23" s="152">
        <v>0.0</v>
      </c>
      <c r="H23" s="152">
        <v>0.0</v>
      </c>
      <c r="I23" s="152">
        <v>0.0</v>
      </c>
      <c r="J23" s="152">
        <v>0.0</v>
      </c>
      <c r="K23" s="152">
        <v>0.0</v>
      </c>
      <c r="L23" s="152">
        <v>30.0</v>
      </c>
      <c r="M23" s="152">
        <v>0.0</v>
      </c>
      <c r="N23" s="152">
        <v>0.0</v>
      </c>
      <c r="O23" s="152">
        <v>0.0</v>
      </c>
      <c r="P23" s="152">
        <v>0.0</v>
      </c>
      <c r="Q23" s="152">
        <v>0.0</v>
      </c>
      <c r="R23" s="152">
        <v>0.0</v>
      </c>
      <c r="S23" s="152">
        <v>0.0</v>
      </c>
      <c r="T23" s="152">
        <v>0.0</v>
      </c>
      <c r="U23" s="152">
        <v>0.0</v>
      </c>
      <c r="V23" s="152">
        <v>0.0</v>
      </c>
      <c r="W23" s="152">
        <v>0.0</v>
      </c>
    </row>
    <row r="24" ht="15.75" customHeight="1"/>
    <row r="25" ht="19.5" customHeight="1">
      <c r="A25" s="149" t="s">
        <v>190</v>
      </c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</row>
    <row r="26" ht="90.0" customHeight="1">
      <c r="A26" s="96" t="s">
        <v>191</v>
      </c>
      <c r="C26" s="154" t="s">
        <v>19</v>
      </c>
      <c r="D26" s="154" t="s">
        <v>5</v>
      </c>
      <c r="E26" s="154" t="s">
        <v>77</v>
      </c>
      <c r="F26" s="154" t="s">
        <v>6</v>
      </c>
      <c r="G26" s="154" t="s">
        <v>7</v>
      </c>
      <c r="H26" s="154" t="s">
        <v>8</v>
      </c>
      <c r="I26" s="154" t="s">
        <v>9</v>
      </c>
      <c r="J26" s="154" t="s">
        <v>10</v>
      </c>
      <c r="K26" s="154" t="s">
        <v>11</v>
      </c>
      <c r="L26" s="154" t="s">
        <v>12</v>
      </c>
      <c r="M26" s="154" t="s">
        <v>13</v>
      </c>
      <c r="N26" s="154" t="s">
        <v>14</v>
      </c>
      <c r="O26" s="154" t="s">
        <v>15</v>
      </c>
      <c r="P26" s="154" t="s">
        <v>92</v>
      </c>
      <c r="Q26" s="154" t="s">
        <v>78</v>
      </c>
      <c r="R26" s="154" t="s">
        <v>79</v>
      </c>
      <c r="S26" s="154" t="s">
        <v>80</v>
      </c>
      <c r="T26" s="154" t="s">
        <v>81</v>
      </c>
      <c r="U26" s="154" t="s">
        <v>82</v>
      </c>
      <c r="V26" s="154" t="s">
        <v>83</v>
      </c>
      <c r="W26" s="154" t="s">
        <v>84</v>
      </c>
    </row>
    <row r="27" ht="15.75" customHeight="1">
      <c r="A27" s="152">
        <v>1.0</v>
      </c>
      <c r="C27" s="152">
        <v>300.0</v>
      </c>
      <c r="D27" s="152">
        <v>400.0</v>
      </c>
      <c r="E27" s="152">
        <v>0.0</v>
      </c>
      <c r="F27" s="152">
        <v>0.0</v>
      </c>
      <c r="G27" s="152">
        <v>0.0</v>
      </c>
      <c r="H27" s="152">
        <v>0.0</v>
      </c>
      <c r="I27" s="152">
        <v>0.0</v>
      </c>
      <c r="J27" s="152">
        <v>0.0</v>
      </c>
      <c r="K27" s="152">
        <v>1.0</v>
      </c>
      <c r="L27" s="152">
        <v>0.0</v>
      </c>
      <c r="M27" s="152">
        <v>0.0</v>
      </c>
      <c r="N27" s="152">
        <v>0.0</v>
      </c>
      <c r="O27" s="152">
        <v>0.0</v>
      </c>
      <c r="P27" s="152">
        <v>0.0</v>
      </c>
      <c r="Q27" s="152">
        <v>0.0</v>
      </c>
      <c r="R27" s="152">
        <v>0.0</v>
      </c>
      <c r="S27" s="152">
        <v>0.0</v>
      </c>
      <c r="T27" s="152">
        <v>0.0</v>
      </c>
      <c r="U27" s="152">
        <v>0.0</v>
      </c>
      <c r="V27" s="152">
        <v>0.0</v>
      </c>
      <c r="W27" s="152">
        <v>0.0</v>
      </c>
    </row>
    <row r="28" ht="15.75" customHeight="1">
      <c r="A28" s="152">
        <f t="shared" ref="A28:A86" si="1">A27+1</f>
        <v>2</v>
      </c>
      <c r="B28" s="155"/>
      <c r="C28" s="152">
        <v>200.0</v>
      </c>
      <c r="D28" s="152">
        <v>300.0</v>
      </c>
      <c r="E28" s="152">
        <v>0.0</v>
      </c>
      <c r="F28" s="152">
        <v>0.0</v>
      </c>
      <c r="G28" s="152">
        <v>0.0</v>
      </c>
      <c r="H28" s="152">
        <v>0.0</v>
      </c>
      <c r="I28" s="152">
        <v>0.0</v>
      </c>
      <c r="J28" s="152">
        <v>1.0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  <c r="W28" s="152">
        <v>0.0</v>
      </c>
    </row>
    <row r="29" ht="15.75" customHeight="1">
      <c r="A29" s="152">
        <f t="shared" si="1"/>
        <v>3</v>
      </c>
      <c r="C29" s="152">
        <v>150.0</v>
      </c>
      <c r="D29" s="152">
        <v>240.0</v>
      </c>
      <c r="E29" s="152">
        <v>0.0</v>
      </c>
      <c r="F29" s="152">
        <v>0.0</v>
      </c>
      <c r="G29" s="152">
        <v>0.0</v>
      </c>
      <c r="H29" s="152">
        <v>0.0</v>
      </c>
      <c r="I29" s="152">
        <v>0.0</v>
      </c>
      <c r="J29" s="152">
        <v>1.0</v>
      </c>
      <c r="K29" s="152">
        <v>0.0</v>
      </c>
      <c r="L29" s="152">
        <v>0.0</v>
      </c>
      <c r="M29" s="152">
        <v>0.0</v>
      </c>
      <c r="N29" s="152">
        <v>0.0</v>
      </c>
      <c r="O29" s="152">
        <v>0.0</v>
      </c>
      <c r="P29" s="152">
        <v>0.0</v>
      </c>
      <c r="Q29" s="152">
        <v>0.0</v>
      </c>
      <c r="R29" s="152">
        <v>0.0</v>
      </c>
      <c r="S29" s="152">
        <v>0.0</v>
      </c>
      <c r="T29" s="152">
        <v>0.0</v>
      </c>
      <c r="U29" s="152">
        <v>0.0</v>
      </c>
      <c r="V29" s="152">
        <v>0.0</v>
      </c>
      <c r="W29" s="152">
        <v>0.0</v>
      </c>
    </row>
    <row r="30" ht="15.75" customHeight="1">
      <c r="A30" s="152">
        <f t="shared" si="1"/>
        <v>4</v>
      </c>
      <c r="B30" s="155"/>
      <c r="C30" s="152">
        <v>125.0</v>
      </c>
      <c r="D30" s="152">
        <v>200.0</v>
      </c>
      <c r="E30" s="152">
        <v>0.0</v>
      </c>
      <c r="F30" s="152">
        <v>0.0</v>
      </c>
      <c r="G30" s="152">
        <v>0.0</v>
      </c>
      <c r="H30" s="152">
        <v>0.0</v>
      </c>
      <c r="I30" s="152">
        <v>0.0</v>
      </c>
      <c r="J30" s="152">
        <v>1.0</v>
      </c>
      <c r="K30" s="152">
        <v>0.0</v>
      </c>
      <c r="L30" s="152">
        <v>0.0</v>
      </c>
      <c r="M30" s="152">
        <v>0.0</v>
      </c>
      <c r="N30" s="152">
        <v>0.0</v>
      </c>
      <c r="O30" s="152">
        <v>0.0</v>
      </c>
      <c r="P30" s="152">
        <v>0.0</v>
      </c>
      <c r="Q30" s="152">
        <v>0.0</v>
      </c>
      <c r="R30" s="152">
        <v>0.0</v>
      </c>
      <c r="S30" s="152">
        <v>0.0</v>
      </c>
      <c r="T30" s="152">
        <v>0.0</v>
      </c>
      <c r="U30" s="152">
        <v>0.0</v>
      </c>
      <c r="V30" s="152">
        <v>0.0</v>
      </c>
      <c r="W30" s="152">
        <v>0.0</v>
      </c>
    </row>
    <row r="31" ht="15.75" customHeight="1">
      <c r="A31" s="152">
        <f t="shared" si="1"/>
        <v>5</v>
      </c>
      <c r="C31" s="152">
        <v>100.0</v>
      </c>
      <c r="D31" s="152">
        <v>160.0</v>
      </c>
      <c r="E31" s="152">
        <v>0.0</v>
      </c>
      <c r="F31" s="152">
        <v>0.0</v>
      </c>
      <c r="G31" s="152">
        <v>0.0</v>
      </c>
      <c r="H31" s="152">
        <v>0.0</v>
      </c>
      <c r="I31" s="152">
        <v>0.0</v>
      </c>
      <c r="J31" s="152">
        <v>1.0</v>
      </c>
      <c r="K31" s="152">
        <v>0.0</v>
      </c>
      <c r="L31" s="152">
        <v>0.0</v>
      </c>
      <c r="M31" s="152">
        <v>0.0</v>
      </c>
      <c r="N31" s="152">
        <v>0.0</v>
      </c>
      <c r="O31" s="152">
        <v>0.0</v>
      </c>
      <c r="P31" s="152">
        <v>0.0</v>
      </c>
      <c r="Q31" s="152">
        <v>0.0</v>
      </c>
      <c r="R31" s="152">
        <v>0.0</v>
      </c>
      <c r="S31" s="152">
        <v>0.0</v>
      </c>
      <c r="T31" s="152">
        <v>0.0</v>
      </c>
      <c r="U31" s="152">
        <v>0.0</v>
      </c>
      <c r="V31" s="152">
        <v>0.0</v>
      </c>
      <c r="W31" s="152">
        <v>0.0</v>
      </c>
    </row>
    <row r="32" ht="15.75" customHeight="1">
      <c r="A32" s="152">
        <f t="shared" si="1"/>
        <v>6</v>
      </c>
      <c r="B32" s="155"/>
      <c r="C32" s="152">
        <v>0.0</v>
      </c>
      <c r="D32" s="152">
        <v>140.0</v>
      </c>
      <c r="E32" s="152">
        <v>0.0</v>
      </c>
      <c r="F32" s="152">
        <v>0.0</v>
      </c>
      <c r="G32" s="152">
        <v>0.0</v>
      </c>
      <c r="H32" s="152">
        <v>0.0</v>
      </c>
      <c r="I32" s="152">
        <v>1.0</v>
      </c>
      <c r="J32" s="152">
        <v>0.0</v>
      </c>
      <c r="K32" s="152">
        <v>0.0</v>
      </c>
      <c r="L32" s="152">
        <v>0.0</v>
      </c>
      <c r="M32" s="152">
        <v>0.0</v>
      </c>
      <c r="N32" s="152">
        <v>0.0</v>
      </c>
      <c r="O32" s="152">
        <v>0.0</v>
      </c>
      <c r="P32" s="152">
        <v>0.0</v>
      </c>
      <c r="Q32" s="152">
        <v>0.0</v>
      </c>
      <c r="R32" s="152">
        <v>0.0</v>
      </c>
      <c r="S32" s="152">
        <v>0.0</v>
      </c>
      <c r="T32" s="152">
        <v>0.0</v>
      </c>
      <c r="U32" s="152">
        <v>0.0</v>
      </c>
      <c r="V32" s="152">
        <v>0.0</v>
      </c>
      <c r="W32" s="152">
        <v>0.0</v>
      </c>
    </row>
    <row r="33" ht="15.75" customHeight="1">
      <c r="A33" s="152">
        <f t="shared" si="1"/>
        <v>7</v>
      </c>
      <c r="C33" s="152">
        <v>0.0</v>
      </c>
      <c r="D33" s="152">
        <v>125.0</v>
      </c>
      <c r="E33" s="152">
        <v>0.0</v>
      </c>
      <c r="F33" s="152">
        <v>0.0</v>
      </c>
      <c r="G33" s="152">
        <v>0.0</v>
      </c>
      <c r="H33" s="152">
        <v>0.0</v>
      </c>
      <c r="I33" s="152">
        <v>1.0</v>
      </c>
      <c r="J33" s="152">
        <v>0.0</v>
      </c>
      <c r="K33" s="152">
        <v>0.0</v>
      </c>
      <c r="L33" s="152">
        <v>0.0</v>
      </c>
      <c r="M33" s="152">
        <v>0.0</v>
      </c>
      <c r="N33" s="152">
        <v>0.0</v>
      </c>
      <c r="O33" s="152">
        <v>0.0</v>
      </c>
      <c r="P33" s="152">
        <v>0.0</v>
      </c>
      <c r="Q33" s="152">
        <v>0.0</v>
      </c>
      <c r="R33" s="152">
        <v>0.0</v>
      </c>
      <c r="S33" s="152">
        <v>0.0</v>
      </c>
      <c r="T33" s="152">
        <v>0.0</v>
      </c>
      <c r="U33" s="152">
        <v>0.0</v>
      </c>
      <c r="V33" s="152">
        <v>0.0</v>
      </c>
      <c r="W33" s="152">
        <v>0.0</v>
      </c>
    </row>
    <row r="34" ht="15.75" customHeight="1">
      <c r="A34" s="152">
        <f t="shared" si="1"/>
        <v>8</v>
      </c>
      <c r="B34" s="155"/>
      <c r="C34" s="152">
        <v>0.0</v>
      </c>
      <c r="D34" s="152">
        <v>120.0</v>
      </c>
      <c r="E34" s="152">
        <v>0.0</v>
      </c>
      <c r="F34" s="152">
        <v>0.0</v>
      </c>
      <c r="G34" s="152">
        <v>0.0</v>
      </c>
      <c r="H34" s="152">
        <v>0.0</v>
      </c>
      <c r="I34" s="152">
        <v>1.0</v>
      </c>
      <c r="J34" s="152">
        <v>0.0</v>
      </c>
      <c r="K34" s="152">
        <v>0.0</v>
      </c>
      <c r="L34" s="152">
        <v>0.0</v>
      </c>
      <c r="M34" s="152">
        <v>0.0</v>
      </c>
      <c r="N34" s="152">
        <v>0.0</v>
      </c>
      <c r="O34" s="152">
        <v>0.0</v>
      </c>
      <c r="P34" s="152">
        <v>0.0</v>
      </c>
      <c r="Q34" s="152">
        <v>0.0</v>
      </c>
      <c r="R34" s="152">
        <v>0.0</v>
      </c>
      <c r="S34" s="152">
        <v>0.0</v>
      </c>
      <c r="T34" s="152">
        <v>0.0</v>
      </c>
      <c r="U34" s="152">
        <v>0.0</v>
      </c>
      <c r="V34" s="152">
        <v>0.0</v>
      </c>
      <c r="W34" s="152">
        <v>0.0</v>
      </c>
    </row>
    <row r="35" ht="15.75" customHeight="1">
      <c r="A35" s="152">
        <f t="shared" si="1"/>
        <v>9</v>
      </c>
      <c r="C35" s="152">
        <v>0.0</v>
      </c>
      <c r="D35" s="152">
        <v>115.0</v>
      </c>
      <c r="E35" s="152">
        <v>0.0</v>
      </c>
      <c r="F35" s="152">
        <v>0.0</v>
      </c>
      <c r="G35" s="152">
        <v>0.0</v>
      </c>
      <c r="H35" s="152">
        <v>0.0</v>
      </c>
      <c r="I35" s="152">
        <v>1.0</v>
      </c>
      <c r="J35" s="152">
        <v>0.0</v>
      </c>
      <c r="K35" s="152">
        <v>0.0</v>
      </c>
      <c r="L35" s="152">
        <v>0.0</v>
      </c>
      <c r="M35" s="152">
        <v>0.0</v>
      </c>
      <c r="N35" s="152">
        <v>0.0</v>
      </c>
      <c r="O35" s="152">
        <v>0.0</v>
      </c>
      <c r="P35" s="152">
        <v>0.0</v>
      </c>
      <c r="Q35" s="152">
        <v>0.0</v>
      </c>
      <c r="R35" s="152">
        <v>0.0</v>
      </c>
      <c r="S35" s="152">
        <v>0.0</v>
      </c>
      <c r="T35" s="152">
        <v>0.0</v>
      </c>
      <c r="U35" s="152">
        <v>0.0</v>
      </c>
      <c r="V35" s="152">
        <v>0.0</v>
      </c>
      <c r="W35" s="152">
        <v>0.0</v>
      </c>
    </row>
    <row r="36" ht="15.75" customHeight="1">
      <c r="A36" s="152">
        <f t="shared" si="1"/>
        <v>10</v>
      </c>
      <c r="B36" s="155"/>
      <c r="C36" s="152">
        <v>0.0</v>
      </c>
      <c r="D36" s="152">
        <v>110.0</v>
      </c>
      <c r="E36" s="152">
        <v>0.0</v>
      </c>
      <c r="F36" s="152">
        <v>0.0</v>
      </c>
      <c r="G36" s="152">
        <v>0.0</v>
      </c>
      <c r="H36" s="152">
        <v>0.0</v>
      </c>
      <c r="I36" s="152">
        <v>1.0</v>
      </c>
      <c r="J36" s="152">
        <v>0.0</v>
      </c>
      <c r="K36" s="152">
        <v>0.0</v>
      </c>
      <c r="L36" s="152">
        <v>0.0</v>
      </c>
      <c r="M36" s="152">
        <v>0.0</v>
      </c>
      <c r="N36" s="152">
        <v>0.0</v>
      </c>
      <c r="O36" s="152">
        <v>0.0</v>
      </c>
      <c r="P36" s="152">
        <v>0.0</v>
      </c>
      <c r="Q36" s="152">
        <v>0.0</v>
      </c>
      <c r="R36" s="152">
        <v>0.0</v>
      </c>
      <c r="S36" s="152">
        <v>0.0</v>
      </c>
      <c r="T36" s="152">
        <v>0.0</v>
      </c>
      <c r="U36" s="152">
        <v>0.0</v>
      </c>
      <c r="V36" s="152">
        <v>0.0</v>
      </c>
      <c r="W36" s="152">
        <v>0.0</v>
      </c>
    </row>
    <row r="37" ht="15.75" customHeight="1">
      <c r="A37" s="152">
        <f t="shared" si="1"/>
        <v>11</v>
      </c>
      <c r="C37" s="152">
        <v>0.0</v>
      </c>
      <c r="D37" s="152">
        <v>105.0</v>
      </c>
      <c r="E37" s="152">
        <v>0.0</v>
      </c>
      <c r="F37" s="152">
        <v>0.0</v>
      </c>
      <c r="G37" s="152">
        <v>0.0</v>
      </c>
      <c r="H37" s="152">
        <v>1.0</v>
      </c>
      <c r="I37" s="152">
        <v>0.0</v>
      </c>
      <c r="J37" s="152">
        <v>0.0</v>
      </c>
      <c r="K37" s="152">
        <v>0.0</v>
      </c>
      <c r="L37" s="152">
        <v>0.0</v>
      </c>
      <c r="M37" s="152">
        <v>0.0</v>
      </c>
      <c r="N37" s="152">
        <v>0.0</v>
      </c>
      <c r="O37" s="152">
        <v>0.0</v>
      </c>
      <c r="P37" s="152">
        <v>0.0</v>
      </c>
      <c r="Q37" s="152">
        <v>0.0</v>
      </c>
      <c r="R37" s="152">
        <v>0.0</v>
      </c>
      <c r="S37" s="152">
        <v>0.0</v>
      </c>
      <c r="T37" s="152">
        <v>0.0</v>
      </c>
      <c r="U37" s="152">
        <v>0.0</v>
      </c>
      <c r="V37" s="152">
        <v>0.0</v>
      </c>
      <c r="W37" s="152">
        <v>0.0</v>
      </c>
    </row>
    <row r="38" ht="15.75" customHeight="1">
      <c r="A38" s="152">
        <f t="shared" si="1"/>
        <v>12</v>
      </c>
      <c r="B38" s="155"/>
      <c r="C38" s="152">
        <v>0.0</v>
      </c>
      <c r="D38" s="152">
        <v>100.0</v>
      </c>
      <c r="E38" s="152">
        <v>0.0</v>
      </c>
      <c r="F38" s="152">
        <v>0.0</v>
      </c>
      <c r="G38" s="152">
        <v>0.0</v>
      </c>
      <c r="H38" s="152">
        <v>1.0</v>
      </c>
      <c r="I38" s="152">
        <v>0.0</v>
      </c>
      <c r="J38" s="152">
        <v>0.0</v>
      </c>
      <c r="K38" s="152">
        <v>0.0</v>
      </c>
      <c r="L38" s="152">
        <v>0.0</v>
      </c>
      <c r="M38" s="152">
        <v>0.0</v>
      </c>
      <c r="N38" s="152">
        <v>0.0</v>
      </c>
      <c r="O38" s="152">
        <v>0.0</v>
      </c>
      <c r="P38" s="152">
        <v>0.0</v>
      </c>
      <c r="Q38" s="152">
        <v>0.0</v>
      </c>
      <c r="R38" s="152">
        <v>0.0</v>
      </c>
      <c r="S38" s="152">
        <v>0.0</v>
      </c>
      <c r="T38" s="152">
        <v>0.0</v>
      </c>
      <c r="U38" s="152">
        <v>0.0</v>
      </c>
      <c r="V38" s="152">
        <v>0.0</v>
      </c>
      <c r="W38" s="152">
        <v>0.0</v>
      </c>
    </row>
    <row r="39" ht="15.75" customHeight="1">
      <c r="A39" s="152">
        <f t="shared" si="1"/>
        <v>13</v>
      </c>
      <c r="C39" s="152">
        <v>0.0</v>
      </c>
      <c r="D39" s="152">
        <v>95.0</v>
      </c>
      <c r="E39" s="152">
        <v>0.0</v>
      </c>
      <c r="F39" s="152">
        <v>0.0</v>
      </c>
      <c r="G39" s="152">
        <v>1.0</v>
      </c>
      <c r="H39" s="152">
        <v>0.0</v>
      </c>
      <c r="I39" s="152">
        <v>0.0</v>
      </c>
      <c r="J39" s="152">
        <v>0.0</v>
      </c>
      <c r="K39" s="152">
        <v>0.0</v>
      </c>
      <c r="L39" s="152">
        <v>0.0</v>
      </c>
      <c r="M39" s="152">
        <v>0.0</v>
      </c>
      <c r="N39" s="152">
        <v>0.0</v>
      </c>
      <c r="O39" s="152">
        <v>0.0</v>
      </c>
      <c r="P39" s="152">
        <v>0.0</v>
      </c>
      <c r="Q39" s="152">
        <v>0.0</v>
      </c>
      <c r="R39" s="152">
        <v>0.0</v>
      </c>
      <c r="S39" s="152">
        <v>0.0</v>
      </c>
      <c r="T39" s="152">
        <v>0.0</v>
      </c>
      <c r="U39" s="152">
        <v>0.0</v>
      </c>
      <c r="V39" s="152">
        <v>0.0</v>
      </c>
      <c r="W39" s="152">
        <v>0.0</v>
      </c>
    </row>
    <row r="40" ht="15.75" customHeight="1">
      <c r="A40" s="152">
        <f t="shared" si="1"/>
        <v>14</v>
      </c>
      <c r="B40" s="155"/>
      <c r="C40" s="152">
        <v>0.0</v>
      </c>
      <c r="D40" s="152">
        <v>90.0</v>
      </c>
      <c r="E40" s="152">
        <v>0.0</v>
      </c>
      <c r="F40" s="152">
        <v>0.0</v>
      </c>
      <c r="G40" s="152">
        <v>1.0</v>
      </c>
      <c r="H40" s="152">
        <v>0.0</v>
      </c>
      <c r="I40" s="152">
        <v>0.0</v>
      </c>
      <c r="J40" s="152">
        <v>0.0</v>
      </c>
      <c r="K40" s="152">
        <v>0.0</v>
      </c>
      <c r="L40" s="152">
        <v>0.0</v>
      </c>
      <c r="M40" s="152">
        <v>0.0</v>
      </c>
      <c r="N40" s="152">
        <v>0.0</v>
      </c>
      <c r="O40" s="152">
        <v>0.0</v>
      </c>
      <c r="P40" s="152">
        <v>0.0</v>
      </c>
      <c r="Q40" s="152">
        <v>0.0</v>
      </c>
      <c r="R40" s="152">
        <v>0.0</v>
      </c>
      <c r="S40" s="152">
        <v>0.0</v>
      </c>
      <c r="T40" s="152">
        <v>0.0</v>
      </c>
      <c r="U40" s="152">
        <v>0.0</v>
      </c>
      <c r="V40" s="152">
        <v>0.0</v>
      </c>
      <c r="W40" s="152">
        <v>0.0</v>
      </c>
    </row>
    <row r="41" ht="15.75" customHeight="1">
      <c r="A41" s="152">
        <f t="shared" si="1"/>
        <v>15</v>
      </c>
      <c r="C41" s="152">
        <v>0.0</v>
      </c>
      <c r="D41" s="152">
        <v>85.0</v>
      </c>
      <c r="E41" s="152">
        <v>0.0</v>
      </c>
      <c r="F41" s="152">
        <v>1.0</v>
      </c>
      <c r="G41" s="152">
        <v>0.0</v>
      </c>
      <c r="H41" s="152">
        <v>0.0</v>
      </c>
      <c r="I41" s="152">
        <v>0.0</v>
      </c>
      <c r="J41" s="152">
        <v>0.0</v>
      </c>
      <c r="K41" s="152">
        <v>0.0</v>
      </c>
      <c r="L41" s="152">
        <v>0.0</v>
      </c>
      <c r="M41" s="152">
        <v>0.0</v>
      </c>
      <c r="N41" s="152">
        <v>0.0</v>
      </c>
      <c r="O41" s="152">
        <v>0.0</v>
      </c>
      <c r="P41" s="152">
        <v>0.0</v>
      </c>
      <c r="Q41" s="152">
        <v>0.0</v>
      </c>
      <c r="R41" s="152">
        <v>0.0</v>
      </c>
      <c r="S41" s="152">
        <v>0.0</v>
      </c>
      <c r="T41" s="152">
        <v>0.0</v>
      </c>
      <c r="U41" s="152">
        <v>0.0</v>
      </c>
      <c r="V41" s="152">
        <v>0.0</v>
      </c>
      <c r="W41" s="152">
        <v>0.0</v>
      </c>
    </row>
    <row r="42" ht="15.75" customHeight="1">
      <c r="A42" s="152">
        <f t="shared" si="1"/>
        <v>16</v>
      </c>
      <c r="B42" s="155"/>
      <c r="C42" s="152">
        <v>0.0</v>
      </c>
      <c r="D42" s="152">
        <v>80.0</v>
      </c>
      <c r="E42" s="152">
        <v>0.0</v>
      </c>
      <c r="F42" s="152">
        <v>1.0</v>
      </c>
      <c r="G42" s="152">
        <v>0.0</v>
      </c>
      <c r="H42" s="152">
        <v>0.0</v>
      </c>
      <c r="I42" s="152">
        <v>0.0</v>
      </c>
      <c r="J42" s="152">
        <v>0.0</v>
      </c>
      <c r="K42" s="152">
        <v>0.0</v>
      </c>
      <c r="L42" s="152">
        <v>0.0</v>
      </c>
      <c r="M42" s="152">
        <v>0.0</v>
      </c>
      <c r="N42" s="152">
        <v>0.0</v>
      </c>
      <c r="O42" s="152">
        <v>0.0</v>
      </c>
      <c r="P42" s="152">
        <v>0.0</v>
      </c>
      <c r="Q42" s="152">
        <v>0.0</v>
      </c>
      <c r="R42" s="152">
        <v>0.0</v>
      </c>
      <c r="S42" s="152">
        <v>0.0</v>
      </c>
      <c r="T42" s="152">
        <v>0.0</v>
      </c>
      <c r="U42" s="152">
        <v>0.0</v>
      </c>
      <c r="V42" s="152">
        <v>0.0</v>
      </c>
      <c r="W42" s="152">
        <v>0.0</v>
      </c>
    </row>
    <row r="43" ht="15.75" customHeight="1">
      <c r="A43" s="152">
        <f t="shared" si="1"/>
        <v>17</v>
      </c>
      <c r="C43" s="152">
        <v>0.0</v>
      </c>
      <c r="D43" s="152">
        <v>75.0</v>
      </c>
      <c r="E43" s="152">
        <v>0.0</v>
      </c>
      <c r="F43" s="152">
        <v>0.0</v>
      </c>
      <c r="G43" s="152">
        <v>0.0</v>
      </c>
      <c r="H43" s="152">
        <v>0.0</v>
      </c>
      <c r="I43" s="152">
        <v>0.0</v>
      </c>
      <c r="J43" s="152">
        <v>0.0</v>
      </c>
      <c r="K43" s="152">
        <v>0.0</v>
      </c>
      <c r="L43" s="152">
        <v>0.0</v>
      </c>
      <c r="M43" s="152">
        <v>0.0</v>
      </c>
      <c r="N43" s="152">
        <v>0.0</v>
      </c>
      <c r="O43" s="152">
        <v>0.0</v>
      </c>
      <c r="P43" s="152">
        <v>0.0</v>
      </c>
      <c r="Q43" s="152">
        <v>0.0</v>
      </c>
      <c r="R43" s="152">
        <v>0.0</v>
      </c>
      <c r="S43" s="152">
        <v>0.0</v>
      </c>
      <c r="T43" s="152">
        <v>0.0</v>
      </c>
      <c r="U43" s="152">
        <v>0.0</v>
      </c>
      <c r="V43" s="152">
        <v>0.0</v>
      </c>
      <c r="W43" s="152">
        <v>0.0</v>
      </c>
    </row>
    <row r="44" ht="15.75" customHeight="1">
      <c r="A44" s="152">
        <f t="shared" si="1"/>
        <v>18</v>
      </c>
      <c r="B44" s="155"/>
      <c r="C44" s="152">
        <v>0.0</v>
      </c>
      <c r="D44" s="152">
        <v>70.0</v>
      </c>
      <c r="E44" s="152">
        <v>0.0</v>
      </c>
      <c r="F44" s="152">
        <v>0.0</v>
      </c>
      <c r="G44" s="152">
        <v>0.0</v>
      </c>
      <c r="H44" s="152">
        <v>0.0</v>
      </c>
      <c r="I44" s="152">
        <v>0.0</v>
      </c>
      <c r="J44" s="152">
        <v>0.0</v>
      </c>
      <c r="K44" s="152">
        <v>0.0</v>
      </c>
      <c r="L44" s="152">
        <v>0.0</v>
      </c>
      <c r="M44" s="152">
        <v>0.0</v>
      </c>
      <c r="N44" s="152">
        <v>0.0</v>
      </c>
      <c r="O44" s="152">
        <v>0.0</v>
      </c>
      <c r="P44" s="152">
        <v>0.0</v>
      </c>
      <c r="Q44" s="152">
        <v>0.0</v>
      </c>
      <c r="R44" s="152">
        <v>0.0</v>
      </c>
      <c r="S44" s="152">
        <v>0.0</v>
      </c>
      <c r="T44" s="152">
        <v>0.0</v>
      </c>
      <c r="U44" s="152">
        <v>0.0</v>
      </c>
      <c r="V44" s="152">
        <v>0.0</v>
      </c>
      <c r="W44" s="152">
        <v>0.0</v>
      </c>
    </row>
    <row r="45" ht="15.75" customHeight="1">
      <c r="A45" s="152">
        <f t="shared" si="1"/>
        <v>19</v>
      </c>
      <c r="C45" s="152">
        <v>0.0</v>
      </c>
      <c r="D45" s="152">
        <v>65.0</v>
      </c>
      <c r="E45" s="152">
        <v>0.0</v>
      </c>
      <c r="F45" s="152">
        <v>0.0</v>
      </c>
      <c r="G45" s="152">
        <v>0.0</v>
      </c>
      <c r="H45" s="152">
        <v>0.0</v>
      </c>
      <c r="I45" s="152">
        <v>0.0</v>
      </c>
      <c r="J45" s="152">
        <v>0.0</v>
      </c>
      <c r="K45" s="152">
        <v>0.0</v>
      </c>
      <c r="L45" s="152">
        <v>0.0</v>
      </c>
      <c r="M45" s="152">
        <v>0.0</v>
      </c>
      <c r="N45" s="152">
        <v>0.0</v>
      </c>
      <c r="O45" s="152">
        <v>0.0</v>
      </c>
      <c r="P45" s="152">
        <v>0.0</v>
      </c>
      <c r="Q45" s="152">
        <v>0.0</v>
      </c>
      <c r="R45" s="152">
        <v>0.0</v>
      </c>
      <c r="S45" s="152">
        <v>0.0</v>
      </c>
      <c r="T45" s="152">
        <v>0.0</v>
      </c>
      <c r="U45" s="152">
        <v>0.0</v>
      </c>
      <c r="V45" s="152">
        <v>0.0</v>
      </c>
      <c r="W45" s="152">
        <v>0.0</v>
      </c>
    </row>
    <row r="46" ht="15.75" customHeight="1">
      <c r="A46" s="152">
        <f t="shared" si="1"/>
        <v>20</v>
      </c>
      <c r="B46" s="155"/>
      <c r="C46" s="152">
        <v>0.0</v>
      </c>
      <c r="D46" s="152">
        <v>60.0</v>
      </c>
      <c r="E46" s="152">
        <v>0.0</v>
      </c>
      <c r="F46" s="152">
        <v>0.0</v>
      </c>
      <c r="G46" s="152">
        <v>0.0</v>
      </c>
      <c r="H46" s="152">
        <v>0.0</v>
      </c>
      <c r="I46" s="152">
        <v>0.0</v>
      </c>
      <c r="J46" s="152">
        <v>0.0</v>
      </c>
      <c r="K46" s="152">
        <v>0.0</v>
      </c>
      <c r="L46" s="152">
        <v>0.0</v>
      </c>
      <c r="M46" s="152">
        <v>0.0</v>
      </c>
      <c r="N46" s="152">
        <v>0.0</v>
      </c>
      <c r="O46" s="152">
        <v>0.0</v>
      </c>
      <c r="P46" s="152">
        <v>0.0</v>
      </c>
      <c r="Q46" s="152">
        <v>0.0</v>
      </c>
      <c r="R46" s="152">
        <v>0.0</v>
      </c>
      <c r="S46" s="152">
        <v>0.0</v>
      </c>
      <c r="T46" s="152">
        <v>0.0</v>
      </c>
      <c r="U46" s="152">
        <v>0.0</v>
      </c>
      <c r="V46" s="152">
        <v>0.0</v>
      </c>
      <c r="W46" s="152">
        <v>0.0</v>
      </c>
    </row>
    <row r="47" ht="15.75" customHeight="1">
      <c r="A47" s="152">
        <f t="shared" si="1"/>
        <v>21</v>
      </c>
      <c r="C47" s="152">
        <v>0.0</v>
      </c>
      <c r="D47" s="152">
        <v>55.0</v>
      </c>
      <c r="E47" s="152">
        <v>0.0</v>
      </c>
      <c r="F47" s="152">
        <v>0.0</v>
      </c>
      <c r="G47" s="152">
        <v>0.0</v>
      </c>
      <c r="H47" s="152">
        <v>0.0</v>
      </c>
      <c r="I47" s="152">
        <v>0.0</v>
      </c>
      <c r="J47" s="152">
        <v>0.0</v>
      </c>
      <c r="K47" s="152">
        <v>0.0</v>
      </c>
      <c r="L47" s="152">
        <v>0.0</v>
      </c>
      <c r="M47" s="152">
        <v>0.0</v>
      </c>
      <c r="N47" s="152">
        <v>0.0</v>
      </c>
      <c r="O47" s="152">
        <v>0.0</v>
      </c>
      <c r="P47" s="152">
        <v>0.0</v>
      </c>
      <c r="Q47" s="152">
        <v>0.0</v>
      </c>
      <c r="R47" s="152">
        <v>0.0</v>
      </c>
      <c r="S47" s="152">
        <v>0.0</v>
      </c>
      <c r="T47" s="152">
        <v>0.0</v>
      </c>
      <c r="U47" s="152">
        <v>0.0</v>
      </c>
      <c r="V47" s="152">
        <v>0.0</v>
      </c>
      <c r="W47" s="152">
        <v>0.0</v>
      </c>
    </row>
    <row r="48" ht="15.75" customHeight="1">
      <c r="A48" s="152">
        <f t="shared" si="1"/>
        <v>22</v>
      </c>
      <c r="B48" s="155"/>
      <c r="C48" s="152">
        <v>0.0</v>
      </c>
      <c r="D48" s="152">
        <v>50.0</v>
      </c>
      <c r="E48" s="152">
        <v>0.0</v>
      </c>
      <c r="F48" s="152">
        <v>0.0</v>
      </c>
      <c r="G48" s="152">
        <v>0.0</v>
      </c>
      <c r="H48" s="152">
        <v>0.0</v>
      </c>
      <c r="I48" s="152">
        <v>0.0</v>
      </c>
      <c r="J48" s="152">
        <v>0.0</v>
      </c>
      <c r="K48" s="152">
        <v>0.0</v>
      </c>
      <c r="L48" s="152">
        <v>0.0</v>
      </c>
      <c r="M48" s="152">
        <v>0.0</v>
      </c>
      <c r="N48" s="152">
        <v>0.0</v>
      </c>
      <c r="O48" s="152">
        <v>0.0</v>
      </c>
      <c r="P48" s="152">
        <v>0.0</v>
      </c>
      <c r="Q48" s="152">
        <v>0.0</v>
      </c>
      <c r="R48" s="152">
        <v>0.0</v>
      </c>
      <c r="S48" s="152">
        <v>0.0</v>
      </c>
      <c r="T48" s="152">
        <v>0.0</v>
      </c>
      <c r="U48" s="152">
        <v>0.0</v>
      </c>
      <c r="V48" s="152">
        <v>0.0</v>
      </c>
      <c r="W48" s="152">
        <v>0.0</v>
      </c>
    </row>
    <row r="49" ht="15.75" customHeight="1">
      <c r="A49" s="152">
        <f t="shared" si="1"/>
        <v>23</v>
      </c>
      <c r="C49" s="152">
        <v>0.0</v>
      </c>
      <c r="D49" s="152">
        <v>45.0</v>
      </c>
      <c r="E49" s="152">
        <v>0.0</v>
      </c>
      <c r="F49" s="152">
        <v>0.0</v>
      </c>
      <c r="G49" s="152">
        <v>0.0</v>
      </c>
      <c r="H49" s="152">
        <v>0.0</v>
      </c>
      <c r="I49" s="152">
        <v>0.0</v>
      </c>
      <c r="J49" s="152">
        <v>0.0</v>
      </c>
      <c r="K49" s="152">
        <v>0.0</v>
      </c>
      <c r="L49" s="152">
        <v>0.0</v>
      </c>
      <c r="M49" s="152">
        <v>0.0</v>
      </c>
      <c r="N49" s="152">
        <v>0.0</v>
      </c>
      <c r="O49" s="152">
        <v>0.0</v>
      </c>
      <c r="P49" s="152">
        <v>0.0</v>
      </c>
      <c r="Q49" s="152">
        <v>0.0</v>
      </c>
      <c r="R49" s="152">
        <v>0.0</v>
      </c>
      <c r="S49" s="152">
        <v>0.0</v>
      </c>
      <c r="T49" s="152">
        <v>0.0</v>
      </c>
      <c r="U49" s="152">
        <v>0.0</v>
      </c>
      <c r="V49" s="152">
        <v>0.0</v>
      </c>
      <c r="W49" s="152">
        <v>0.0</v>
      </c>
    </row>
    <row r="50" ht="15.75" customHeight="1">
      <c r="A50" s="152">
        <f t="shared" si="1"/>
        <v>24</v>
      </c>
      <c r="B50" s="155"/>
      <c r="C50" s="152">
        <v>0.0</v>
      </c>
      <c r="D50" s="152">
        <v>40.0</v>
      </c>
      <c r="E50" s="152">
        <v>0.0</v>
      </c>
      <c r="F50" s="152">
        <v>0.0</v>
      </c>
      <c r="G50" s="152">
        <v>0.0</v>
      </c>
      <c r="H50" s="152">
        <v>0.0</v>
      </c>
      <c r="I50" s="152">
        <v>0.0</v>
      </c>
      <c r="J50" s="152">
        <v>0.0</v>
      </c>
      <c r="K50" s="152">
        <v>0.0</v>
      </c>
      <c r="L50" s="152">
        <v>0.0</v>
      </c>
      <c r="M50" s="152">
        <v>0.0</v>
      </c>
      <c r="N50" s="152">
        <v>0.0</v>
      </c>
      <c r="O50" s="152">
        <v>0.0</v>
      </c>
      <c r="P50" s="152">
        <v>0.0</v>
      </c>
      <c r="Q50" s="152">
        <v>0.0</v>
      </c>
      <c r="R50" s="152">
        <v>0.0</v>
      </c>
      <c r="S50" s="152">
        <v>0.0</v>
      </c>
      <c r="T50" s="152">
        <v>0.0</v>
      </c>
      <c r="U50" s="152">
        <v>0.0</v>
      </c>
      <c r="V50" s="152">
        <v>0.0</v>
      </c>
      <c r="W50" s="152">
        <v>0.0</v>
      </c>
    </row>
    <row r="51" ht="15.75" customHeight="1">
      <c r="A51" s="152">
        <f t="shared" si="1"/>
        <v>25</v>
      </c>
      <c r="C51" s="152">
        <v>0.0</v>
      </c>
      <c r="D51" s="152">
        <v>35.0</v>
      </c>
      <c r="E51" s="152">
        <v>0.0</v>
      </c>
      <c r="F51" s="152">
        <v>0.0</v>
      </c>
      <c r="G51" s="152">
        <v>0.0</v>
      </c>
      <c r="H51" s="152">
        <v>0.0</v>
      </c>
      <c r="I51" s="152">
        <v>0.0</v>
      </c>
      <c r="J51" s="152">
        <v>0.0</v>
      </c>
      <c r="K51" s="152">
        <v>0.0</v>
      </c>
      <c r="L51" s="152">
        <v>0.0</v>
      </c>
      <c r="M51" s="152">
        <v>0.0</v>
      </c>
      <c r="N51" s="152">
        <v>0.0</v>
      </c>
      <c r="O51" s="152">
        <v>0.0</v>
      </c>
      <c r="P51" s="152">
        <v>0.0</v>
      </c>
      <c r="Q51" s="152">
        <v>0.0</v>
      </c>
      <c r="R51" s="152">
        <v>0.0</v>
      </c>
      <c r="S51" s="152">
        <v>0.0</v>
      </c>
      <c r="T51" s="152">
        <v>0.0</v>
      </c>
      <c r="U51" s="152">
        <v>0.0</v>
      </c>
      <c r="V51" s="152">
        <v>0.0</v>
      </c>
      <c r="W51" s="152">
        <v>0.0</v>
      </c>
    </row>
    <row r="52" ht="15.75" customHeight="1">
      <c r="A52" s="152">
        <f t="shared" si="1"/>
        <v>26</v>
      </c>
      <c r="B52" s="155"/>
      <c r="C52" s="152">
        <v>0.0</v>
      </c>
      <c r="D52" s="152">
        <v>0.0</v>
      </c>
      <c r="E52" s="152">
        <v>0.0</v>
      </c>
      <c r="F52" s="152">
        <v>0.0</v>
      </c>
      <c r="G52" s="152">
        <v>0.0</v>
      </c>
      <c r="H52" s="152">
        <v>0.0</v>
      </c>
      <c r="I52" s="152">
        <v>0.0</v>
      </c>
      <c r="J52" s="152">
        <v>0.0</v>
      </c>
      <c r="K52" s="152">
        <v>0.0</v>
      </c>
      <c r="L52" s="152">
        <v>0.0</v>
      </c>
      <c r="M52" s="152">
        <v>0.0</v>
      </c>
      <c r="N52" s="152">
        <v>0.0</v>
      </c>
      <c r="O52" s="152">
        <v>0.0</v>
      </c>
      <c r="P52" s="152">
        <v>0.0</v>
      </c>
      <c r="Q52" s="152">
        <v>0.0</v>
      </c>
      <c r="R52" s="152">
        <v>0.0</v>
      </c>
      <c r="S52" s="152">
        <v>0.0</v>
      </c>
      <c r="T52" s="152">
        <v>0.0</v>
      </c>
      <c r="U52" s="152">
        <v>0.0</v>
      </c>
      <c r="V52" s="152">
        <v>0.0</v>
      </c>
      <c r="W52" s="152">
        <v>0.0</v>
      </c>
    </row>
    <row r="53" ht="15.75" customHeight="1">
      <c r="A53" s="152">
        <f t="shared" si="1"/>
        <v>27</v>
      </c>
      <c r="C53" s="152">
        <v>0.0</v>
      </c>
      <c r="D53" s="152">
        <v>0.0</v>
      </c>
      <c r="E53" s="152">
        <v>0.0</v>
      </c>
      <c r="F53" s="152">
        <v>0.0</v>
      </c>
      <c r="G53" s="152">
        <v>0.0</v>
      </c>
      <c r="H53" s="152">
        <v>0.0</v>
      </c>
      <c r="I53" s="152">
        <v>0.0</v>
      </c>
      <c r="J53" s="152">
        <v>0.0</v>
      </c>
      <c r="K53" s="152">
        <v>0.0</v>
      </c>
      <c r="L53" s="152">
        <v>0.0</v>
      </c>
      <c r="M53" s="152">
        <v>0.0</v>
      </c>
      <c r="N53" s="152">
        <v>0.0</v>
      </c>
      <c r="O53" s="152">
        <v>0.0</v>
      </c>
      <c r="P53" s="152">
        <v>0.0</v>
      </c>
      <c r="Q53" s="152">
        <v>0.0</v>
      </c>
      <c r="R53" s="152">
        <v>0.0</v>
      </c>
      <c r="S53" s="152">
        <v>0.0</v>
      </c>
      <c r="T53" s="152">
        <v>0.0</v>
      </c>
      <c r="U53" s="152">
        <v>0.0</v>
      </c>
      <c r="V53" s="152">
        <v>0.0</v>
      </c>
      <c r="W53" s="152">
        <v>0.0</v>
      </c>
    </row>
    <row r="54" ht="15.75" customHeight="1">
      <c r="A54" s="152">
        <f t="shared" si="1"/>
        <v>28</v>
      </c>
      <c r="B54" s="155"/>
      <c r="C54" s="152">
        <v>0.0</v>
      </c>
      <c r="D54" s="152">
        <v>0.0</v>
      </c>
      <c r="E54" s="152">
        <v>0.0</v>
      </c>
      <c r="F54" s="152">
        <v>0.0</v>
      </c>
      <c r="G54" s="152">
        <v>0.0</v>
      </c>
      <c r="H54" s="152">
        <v>0.0</v>
      </c>
      <c r="I54" s="152">
        <v>0.0</v>
      </c>
      <c r="J54" s="152">
        <v>0.0</v>
      </c>
      <c r="K54" s="152">
        <v>0.0</v>
      </c>
      <c r="L54" s="152">
        <v>0.0</v>
      </c>
      <c r="M54" s="152">
        <v>0.0</v>
      </c>
      <c r="N54" s="152">
        <v>0.0</v>
      </c>
      <c r="O54" s="152">
        <v>0.0</v>
      </c>
      <c r="P54" s="152">
        <v>0.0</v>
      </c>
      <c r="Q54" s="152">
        <v>0.0</v>
      </c>
      <c r="R54" s="152">
        <v>0.0</v>
      </c>
      <c r="S54" s="152">
        <v>0.0</v>
      </c>
      <c r="T54" s="152">
        <v>0.0</v>
      </c>
      <c r="U54" s="152">
        <v>0.0</v>
      </c>
      <c r="V54" s="152">
        <v>0.0</v>
      </c>
      <c r="W54" s="152">
        <v>0.0</v>
      </c>
    </row>
    <row r="55" ht="15.75" customHeight="1">
      <c r="A55" s="152">
        <f t="shared" si="1"/>
        <v>29</v>
      </c>
      <c r="C55" s="152">
        <v>0.0</v>
      </c>
      <c r="D55" s="152">
        <v>0.0</v>
      </c>
      <c r="E55" s="152">
        <v>0.0</v>
      </c>
      <c r="F55" s="152">
        <v>0.0</v>
      </c>
      <c r="G55" s="152">
        <v>0.0</v>
      </c>
      <c r="H55" s="152">
        <v>0.0</v>
      </c>
      <c r="I55" s="152">
        <v>0.0</v>
      </c>
      <c r="J55" s="152">
        <v>0.0</v>
      </c>
      <c r="K55" s="152">
        <v>0.0</v>
      </c>
      <c r="L55" s="152">
        <v>0.0</v>
      </c>
      <c r="M55" s="152">
        <v>0.0</v>
      </c>
      <c r="N55" s="152">
        <v>0.0</v>
      </c>
      <c r="O55" s="152">
        <v>0.0</v>
      </c>
      <c r="P55" s="152">
        <v>0.0</v>
      </c>
      <c r="Q55" s="152">
        <v>0.0</v>
      </c>
      <c r="R55" s="152">
        <v>0.0</v>
      </c>
      <c r="S55" s="152">
        <v>0.0</v>
      </c>
      <c r="T55" s="152">
        <v>0.0</v>
      </c>
      <c r="U55" s="152">
        <v>0.0</v>
      </c>
      <c r="V55" s="152">
        <v>0.0</v>
      </c>
      <c r="W55" s="152">
        <v>0.0</v>
      </c>
    </row>
    <row r="56" ht="15.75" customHeight="1">
      <c r="A56" s="152">
        <f t="shared" si="1"/>
        <v>30</v>
      </c>
      <c r="B56" s="155"/>
      <c r="C56" s="152">
        <v>0.0</v>
      </c>
      <c r="D56" s="152">
        <v>0.0</v>
      </c>
      <c r="E56" s="152">
        <v>0.0</v>
      </c>
      <c r="F56" s="152">
        <v>0.0</v>
      </c>
      <c r="G56" s="152">
        <v>0.0</v>
      </c>
      <c r="H56" s="152">
        <v>0.0</v>
      </c>
      <c r="I56" s="152">
        <v>0.0</v>
      </c>
      <c r="J56" s="152">
        <v>0.0</v>
      </c>
      <c r="K56" s="152">
        <v>0.0</v>
      </c>
      <c r="L56" s="152">
        <v>0.0</v>
      </c>
      <c r="M56" s="152">
        <v>0.0</v>
      </c>
      <c r="N56" s="152">
        <v>0.0</v>
      </c>
      <c r="O56" s="152">
        <v>0.0</v>
      </c>
      <c r="P56" s="152">
        <v>0.0</v>
      </c>
      <c r="Q56" s="152">
        <v>0.0</v>
      </c>
      <c r="R56" s="152">
        <v>0.0</v>
      </c>
      <c r="S56" s="152">
        <v>0.0</v>
      </c>
      <c r="T56" s="152">
        <v>0.0</v>
      </c>
      <c r="U56" s="152">
        <v>0.0</v>
      </c>
      <c r="V56" s="152">
        <v>0.0</v>
      </c>
      <c r="W56" s="152">
        <v>0.0</v>
      </c>
    </row>
    <row r="57" ht="15.75" customHeight="1">
      <c r="A57" s="152">
        <f t="shared" si="1"/>
        <v>31</v>
      </c>
      <c r="C57" s="152">
        <v>0.0</v>
      </c>
      <c r="D57" s="152">
        <v>0.0</v>
      </c>
      <c r="E57" s="152">
        <v>0.0</v>
      </c>
      <c r="F57" s="152">
        <v>0.0</v>
      </c>
      <c r="G57" s="152">
        <v>0.0</v>
      </c>
      <c r="H57" s="152">
        <v>0.0</v>
      </c>
      <c r="I57" s="152">
        <v>0.0</v>
      </c>
      <c r="J57" s="152">
        <v>0.0</v>
      </c>
      <c r="K57" s="152">
        <v>0.0</v>
      </c>
      <c r="L57" s="152">
        <v>0.0</v>
      </c>
      <c r="M57" s="152">
        <v>0.0</v>
      </c>
      <c r="N57" s="152">
        <v>0.0</v>
      </c>
      <c r="O57" s="152">
        <v>0.0</v>
      </c>
      <c r="P57" s="152">
        <v>0.0</v>
      </c>
      <c r="Q57" s="152">
        <v>0.0</v>
      </c>
      <c r="R57" s="152">
        <v>0.0</v>
      </c>
      <c r="S57" s="152">
        <v>0.0</v>
      </c>
      <c r="T57" s="152">
        <v>0.0</v>
      </c>
      <c r="U57" s="152">
        <v>0.0</v>
      </c>
      <c r="V57" s="152">
        <v>0.0</v>
      </c>
      <c r="W57" s="152">
        <v>0.0</v>
      </c>
    </row>
    <row r="58" ht="15.75" customHeight="1">
      <c r="A58" s="152">
        <f t="shared" si="1"/>
        <v>32</v>
      </c>
      <c r="B58" s="155"/>
      <c r="C58" s="152">
        <v>0.0</v>
      </c>
      <c r="D58" s="152">
        <v>0.0</v>
      </c>
      <c r="E58" s="152">
        <v>0.0</v>
      </c>
      <c r="F58" s="152">
        <v>0.0</v>
      </c>
      <c r="G58" s="152">
        <v>0.0</v>
      </c>
      <c r="H58" s="152">
        <v>0.0</v>
      </c>
      <c r="I58" s="152">
        <v>0.0</v>
      </c>
      <c r="J58" s="152">
        <v>0.0</v>
      </c>
      <c r="K58" s="152">
        <v>0.0</v>
      </c>
      <c r="L58" s="152">
        <v>0.0</v>
      </c>
      <c r="M58" s="152">
        <v>0.0</v>
      </c>
      <c r="N58" s="152">
        <v>0.0</v>
      </c>
      <c r="O58" s="152">
        <v>0.0</v>
      </c>
      <c r="P58" s="152">
        <v>0.0</v>
      </c>
      <c r="Q58" s="152">
        <v>0.0</v>
      </c>
      <c r="R58" s="152">
        <v>0.0</v>
      </c>
      <c r="S58" s="152">
        <v>0.0</v>
      </c>
      <c r="T58" s="152">
        <v>0.0</v>
      </c>
      <c r="U58" s="152">
        <v>0.0</v>
      </c>
      <c r="V58" s="152">
        <v>0.0</v>
      </c>
      <c r="W58" s="152">
        <v>0.0</v>
      </c>
    </row>
    <row r="59" ht="15.75" customHeight="1">
      <c r="A59" s="152">
        <f t="shared" si="1"/>
        <v>33</v>
      </c>
      <c r="C59" s="152">
        <v>0.0</v>
      </c>
      <c r="D59" s="152">
        <v>0.0</v>
      </c>
      <c r="E59" s="152">
        <v>0.0</v>
      </c>
      <c r="F59" s="152">
        <v>0.0</v>
      </c>
      <c r="G59" s="152">
        <v>0.0</v>
      </c>
      <c r="H59" s="152">
        <v>0.0</v>
      </c>
      <c r="I59" s="152">
        <v>0.0</v>
      </c>
      <c r="J59" s="152">
        <v>0.0</v>
      </c>
      <c r="K59" s="152">
        <v>0.0</v>
      </c>
      <c r="L59" s="152">
        <v>0.0</v>
      </c>
      <c r="M59" s="152">
        <v>0.0</v>
      </c>
      <c r="N59" s="152">
        <v>0.0</v>
      </c>
      <c r="O59" s="152">
        <v>0.0</v>
      </c>
      <c r="P59" s="152">
        <v>0.0</v>
      </c>
      <c r="Q59" s="152">
        <v>0.0</v>
      </c>
      <c r="R59" s="152">
        <v>0.0</v>
      </c>
      <c r="S59" s="152">
        <v>0.0</v>
      </c>
      <c r="T59" s="152">
        <v>0.0</v>
      </c>
      <c r="U59" s="152">
        <v>0.0</v>
      </c>
      <c r="V59" s="152">
        <v>0.0</v>
      </c>
      <c r="W59" s="152">
        <v>0.0</v>
      </c>
    </row>
    <row r="60" ht="15.75" customHeight="1">
      <c r="A60" s="152">
        <f t="shared" si="1"/>
        <v>34</v>
      </c>
      <c r="B60" s="155"/>
      <c r="C60" s="152">
        <v>0.0</v>
      </c>
      <c r="D60" s="152">
        <v>0.0</v>
      </c>
      <c r="E60" s="152">
        <v>0.0</v>
      </c>
      <c r="F60" s="152">
        <v>0.0</v>
      </c>
      <c r="G60" s="152">
        <v>0.0</v>
      </c>
      <c r="H60" s="152">
        <v>0.0</v>
      </c>
      <c r="I60" s="152">
        <v>0.0</v>
      </c>
      <c r="J60" s="152">
        <v>0.0</v>
      </c>
      <c r="K60" s="152">
        <v>0.0</v>
      </c>
      <c r="L60" s="152">
        <v>0.0</v>
      </c>
      <c r="M60" s="152">
        <v>0.0</v>
      </c>
      <c r="N60" s="152">
        <v>0.0</v>
      </c>
      <c r="O60" s="152">
        <v>0.0</v>
      </c>
      <c r="P60" s="152">
        <v>0.0</v>
      </c>
      <c r="Q60" s="152">
        <v>0.0</v>
      </c>
      <c r="R60" s="152">
        <v>0.0</v>
      </c>
      <c r="S60" s="152">
        <v>0.0</v>
      </c>
      <c r="T60" s="152">
        <v>0.0</v>
      </c>
      <c r="U60" s="152">
        <v>0.0</v>
      </c>
      <c r="V60" s="152">
        <v>0.0</v>
      </c>
      <c r="W60" s="152">
        <v>0.0</v>
      </c>
    </row>
    <row r="61" ht="15.75" customHeight="1">
      <c r="A61" s="152">
        <f t="shared" si="1"/>
        <v>35</v>
      </c>
      <c r="C61" s="152">
        <v>0.0</v>
      </c>
      <c r="D61" s="152">
        <v>0.0</v>
      </c>
      <c r="E61" s="152">
        <v>0.0</v>
      </c>
      <c r="F61" s="152">
        <v>0.0</v>
      </c>
      <c r="G61" s="152">
        <v>0.0</v>
      </c>
      <c r="H61" s="152">
        <v>0.0</v>
      </c>
      <c r="I61" s="152">
        <v>0.0</v>
      </c>
      <c r="J61" s="152">
        <v>0.0</v>
      </c>
      <c r="K61" s="152">
        <v>0.0</v>
      </c>
      <c r="L61" s="152">
        <v>0.0</v>
      </c>
      <c r="M61" s="152">
        <v>0.0</v>
      </c>
      <c r="N61" s="152">
        <v>0.0</v>
      </c>
      <c r="O61" s="152">
        <v>0.0</v>
      </c>
      <c r="P61" s="152">
        <v>0.0</v>
      </c>
      <c r="Q61" s="152">
        <v>0.0</v>
      </c>
      <c r="R61" s="152">
        <v>0.0</v>
      </c>
      <c r="S61" s="152">
        <v>0.0</v>
      </c>
      <c r="T61" s="152">
        <v>0.0</v>
      </c>
      <c r="U61" s="152">
        <v>0.0</v>
      </c>
      <c r="V61" s="152">
        <v>0.0</v>
      </c>
      <c r="W61" s="152">
        <v>0.0</v>
      </c>
    </row>
    <row r="62" ht="15.75" customHeight="1">
      <c r="A62" s="152">
        <f t="shared" si="1"/>
        <v>36</v>
      </c>
      <c r="B62" s="155"/>
      <c r="C62" s="152">
        <v>0.0</v>
      </c>
      <c r="D62" s="152">
        <v>0.0</v>
      </c>
      <c r="E62" s="152">
        <v>0.0</v>
      </c>
      <c r="F62" s="152">
        <v>0.0</v>
      </c>
      <c r="G62" s="152">
        <v>0.0</v>
      </c>
      <c r="H62" s="152">
        <v>0.0</v>
      </c>
      <c r="I62" s="152">
        <v>0.0</v>
      </c>
      <c r="J62" s="152">
        <v>0.0</v>
      </c>
      <c r="K62" s="152">
        <v>0.0</v>
      </c>
      <c r="L62" s="152">
        <v>0.0</v>
      </c>
      <c r="M62" s="152">
        <v>0.0</v>
      </c>
      <c r="N62" s="152">
        <v>0.0</v>
      </c>
      <c r="O62" s="152">
        <v>0.0</v>
      </c>
      <c r="P62" s="152">
        <v>0.0</v>
      </c>
      <c r="Q62" s="152">
        <v>0.0</v>
      </c>
      <c r="R62" s="152">
        <v>0.0</v>
      </c>
      <c r="S62" s="152">
        <v>0.0</v>
      </c>
      <c r="T62" s="152">
        <v>0.0</v>
      </c>
      <c r="U62" s="152">
        <v>0.0</v>
      </c>
      <c r="V62" s="152">
        <v>0.0</v>
      </c>
      <c r="W62" s="152">
        <v>0.0</v>
      </c>
    </row>
    <row r="63" ht="15.75" customHeight="1">
      <c r="A63" s="152">
        <f t="shared" si="1"/>
        <v>37</v>
      </c>
      <c r="C63" s="152">
        <v>0.0</v>
      </c>
      <c r="D63" s="152">
        <v>0.0</v>
      </c>
      <c r="E63" s="152">
        <v>0.0</v>
      </c>
      <c r="F63" s="152">
        <v>0.0</v>
      </c>
      <c r="G63" s="152">
        <v>0.0</v>
      </c>
      <c r="H63" s="152">
        <v>0.0</v>
      </c>
      <c r="I63" s="152">
        <v>0.0</v>
      </c>
      <c r="J63" s="152">
        <v>0.0</v>
      </c>
      <c r="K63" s="152">
        <v>0.0</v>
      </c>
      <c r="L63" s="152">
        <v>0.0</v>
      </c>
      <c r="M63" s="152">
        <v>0.0</v>
      </c>
      <c r="N63" s="152">
        <v>0.0</v>
      </c>
      <c r="O63" s="152">
        <v>0.0</v>
      </c>
      <c r="P63" s="152">
        <v>0.0</v>
      </c>
      <c r="Q63" s="152">
        <v>0.0</v>
      </c>
      <c r="R63" s="152">
        <v>0.0</v>
      </c>
      <c r="S63" s="152">
        <v>0.0</v>
      </c>
      <c r="T63" s="152">
        <v>0.0</v>
      </c>
      <c r="U63" s="152">
        <v>0.0</v>
      </c>
      <c r="V63" s="152">
        <v>0.0</v>
      </c>
      <c r="W63" s="152">
        <v>0.0</v>
      </c>
    </row>
    <row r="64" ht="15.75" customHeight="1">
      <c r="A64" s="152">
        <f t="shared" si="1"/>
        <v>38</v>
      </c>
      <c r="B64" s="155"/>
      <c r="C64" s="152">
        <v>0.0</v>
      </c>
      <c r="D64" s="152">
        <v>0.0</v>
      </c>
      <c r="E64" s="152">
        <v>0.0</v>
      </c>
      <c r="F64" s="152">
        <v>0.0</v>
      </c>
      <c r="G64" s="152">
        <v>0.0</v>
      </c>
      <c r="H64" s="152">
        <v>0.0</v>
      </c>
      <c r="I64" s="152">
        <v>0.0</v>
      </c>
      <c r="J64" s="152">
        <v>0.0</v>
      </c>
      <c r="K64" s="152">
        <v>0.0</v>
      </c>
      <c r="L64" s="152">
        <v>0.0</v>
      </c>
      <c r="M64" s="152">
        <v>0.0</v>
      </c>
      <c r="N64" s="152">
        <v>0.0</v>
      </c>
      <c r="O64" s="152">
        <v>0.0</v>
      </c>
      <c r="P64" s="152">
        <v>0.0</v>
      </c>
      <c r="Q64" s="152">
        <v>0.0</v>
      </c>
      <c r="R64" s="152">
        <v>0.0</v>
      </c>
      <c r="S64" s="152">
        <v>0.0</v>
      </c>
      <c r="T64" s="152">
        <v>0.0</v>
      </c>
      <c r="U64" s="152">
        <v>0.0</v>
      </c>
      <c r="V64" s="152">
        <v>0.0</v>
      </c>
      <c r="W64" s="152">
        <v>0.0</v>
      </c>
    </row>
    <row r="65" ht="15.75" customHeight="1">
      <c r="A65" s="152">
        <f t="shared" si="1"/>
        <v>39</v>
      </c>
      <c r="C65" s="152">
        <v>0.0</v>
      </c>
      <c r="D65" s="152">
        <v>0.0</v>
      </c>
      <c r="E65" s="152">
        <v>0.0</v>
      </c>
      <c r="F65" s="152">
        <v>0.0</v>
      </c>
      <c r="G65" s="152">
        <v>0.0</v>
      </c>
      <c r="H65" s="152">
        <v>0.0</v>
      </c>
      <c r="I65" s="152">
        <v>0.0</v>
      </c>
      <c r="J65" s="152">
        <v>0.0</v>
      </c>
      <c r="K65" s="152">
        <v>0.0</v>
      </c>
      <c r="L65" s="152">
        <v>0.0</v>
      </c>
      <c r="M65" s="152">
        <v>0.0</v>
      </c>
      <c r="N65" s="152">
        <v>0.0</v>
      </c>
      <c r="O65" s="152">
        <v>0.0</v>
      </c>
      <c r="P65" s="152">
        <v>0.0</v>
      </c>
      <c r="Q65" s="152">
        <v>0.0</v>
      </c>
      <c r="R65" s="152">
        <v>0.0</v>
      </c>
      <c r="S65" s="152">
        <v>0.0</v>
      </c>
      <c r="T65" s="152">
        <v>0.0</v>
      </c>
      <c r="U65" s="152">
        <v>0.0</v>
      </c>
      <c r="V65" s="152">
        <v>0.0</v>
      </c>
      <c r="W65" s="152">
        <v>0.0</v>
      </c>
    </row>
    <row r="66" ht="15.75" customHeight="1">
      <c r="A66" s="152">
        <f t="shared" si="1"/>
        <v>40</v>
      </c>
      <c r="B66" s="155"/>
      <c r="C66" s="152">
        <v>0.0</v>
      </c>
      <c r="D66" s="152">
        <v>0.0</v>
      </c>
      <c r="E66" s="152">
        <v>0.0</v>
      </c>
      <c r="F66" s="152">
        <v>0.0</v>
      </c>
      <c r="G66" s="152">
        <v>0.0</v>
      </c>
      <c r="H66" s="152">
        <v>0.0</v>
      </c>
      <c r="I66" s="152">
        <v>0.0</v>
      </c>
      <c r="J66" s="152">
        <v>0.0</v>
      </c>
      <c r="K66" s="152">
        <v>0.0</v>
      </c>
      <c r="L66" s="152">
        <v>0.0</v>
      </c>
      <c r="M66" s="152">
        <v>0.0</v>
      </c>
      <c r="N66" s="152">
        <v>0.0</v>
      </c>
      <c r="O66" s="152">
        <v>0.0</v>
      </c>
      <c r="P66" s="152">
        <v>0.0</v>
      </c>
      <c r="Q66" s="152">
        <v>0.0</v>
      </c>
      <c r="R66" s="152">
        <v>0.0</v>
      </c>
      <c r="S66" s="152">
        <v>0.0</v>
      </c>
      <c r="T66" s="152">
        <v>0.0</v>
      </c>
      <c r="U66" s="152">
        <v>0.0</v>
      </c>
      <c r="V66" s="152">
        <v>0.0</v>
      </c>
      <c r="W66" s="152">
        <v>0.0</v>
      </c>
    </row>
    <row r="67" ht="15.75" customHeight="1">
      <c r="A67" s="152">
        <f t="shared" si="1"/>
        <v>41</v>
      </c>
      <c r="C67" s="152">
        <v>0.0</v>
      </c>
      <c r="D67" s="152">
        <v>0.0</v>
      </c>
      <c r="E67" s="152">
        <v>0.0</v>
      </c>
      <c r="F67" s="152">
        <v>0.0</v>
      </c>
      <c r="G67" s="152">
        <v>0.0</v>
      </c>
      <c r="H67" s="152">
        <v>0.0</v>
      </c>
      <c r="I67" s="152">
        <v>0.0</v>
      </c>
      <c r="J67" s="152">
        <v>0.0</v>
      </c>
      <c r="K67" s="152">
        <v>0.0</v>
      </c>
      <c r="L67" s="152">
        <v>0.0</v>
      </c>
      <c r="M67" s="152">
        <v>0.0</v>
      </c>
      <c r="N67" s="152">
        <v>0.0</v>
      </c>
      <c r="O67" s="152">
        <v>0.0</v>
      </c>
      <c r="P67" s="152">
        <v>0.0</v>
      </c>
      <c r="Q67" s="152">
        <v>0.0</v>
      </c>
      <c r="R67" s="152">
        <v>0.0</v>
      </c>
      <c r="S67" s="152">
        <v>0.0</v>
      </c>
      <c r="T67" s="152">
        <v>0.0</v>
      </c>
      <c r="U67" s="152">
        <v>0.0</v>
      </c>
      <c r="V67" s="152">
        <v>0.0</v>
      </c>
      <c r="W67" s="152">
        <v>0.0</v>
      </c>
    </row>
    <row r="68" ht="15.75" customHeight="1">
      <c r="A68" s="152">
        <f t="shared" si="1"/>
        <v>42</v>
      </c>
      <c r="B68" s="155"/>
      <c r="C68" s="152">
        <v>0.0</v>
      </c>
      <c r="D68" s="152">
        <v>0.0</v>
      </c>
      <c r="E68" s="152">
        <v>0.0</v>
      </c>
      <c r="F68" s="152">
        <v>0.0</v>
      </c>
      <c r="G68" s="152">
        <v>0.0</v>
      </c>
      <c r="H68" s="152">
        <v>0.0</v>
      </c>
      <c r="I68" s="152">
        <v>0.0</v>
      </c>
      <c r="J68" s="152">
        <v>0.0</v>
      </c>
      <c r="K68" s="152">
        <v>0.0</v>
      </c>
      <c r="L68" s="152">
        <v>0.0</v>
      </c>
      <c r="M68" s="152">
        <v>0.0</v>
      </c>
      <c r="N68" s="152">
        <v>0.0</v>
      </c>
      <c r="O68" s="152">
        <v>0.0</v>
      </c>
      <c r="P68" s="152">
        <v>0.0</v>
      </c>
      <c r="Q68" s="152">
        <v>0.0</v>
      </c>
      <c r="R68" s="152">
        <v>0.0</v>
      </c>
      <c r="S68" s="152">
        <v>0.0</v>
      </c>
      <c r="T68" s="152">
        <v>0.0</v>
      </c>
      <c r="U68" s="152">
        <v>0.0</v>
      </c>
      <c r="V68" s="152">
        <v>0.0</v>
      </c>
      <c r="W68" s="152">
        <v>0.0</v>
      </c>
    </row>
    <row r="69" ht="15.75" customHeight="1">
      <c r="A69" s="152">
        <f t="shared" si="1"/>
        <v>43</v>
      </c>
      <c r="C69" s="152">
        <v>0.0</v>
      </c>
      <c r="D69" s="152">
        <v>0.0</v>
      </c>
      <c r="E69" s="152">
        <v>0.0</v>
      </c>
      <c r="F69" s="152">
        <v>0.0</v>
      </c>
      <c r="G69" s="152">
        <v>0.0</v>
      </c>
      <c r="H69" s="152">
        <v>0.0</v>
      </c>
      <c r="I69" s="152">
        <v>0.0</v>
      </c>
      <c r="J69" s="152">
        <v>0.0</v>
      </c>
      <c r="K69" s="152">
        <v>0.0</v>
      </c>
      <c r="L69" s="152">
        <v>0.0</v>
      </c>
      <c r="M69" s="152">
        <v>0.0</v>
      </c>
      <c r="N69" s="152">
        <v>0.0</v>
      </c>
      <c r="O69" s="152">
        <v>0.0</v>
      </c>
      <c r="P69" s="152">
        <v>0.0</v>
      </c>
      <c r="Q69" s="152">
        <v>0.0</v>
      </c>
      <c r="R69" s="152">
        <v>0.0</v>
      </c>
      <c r="S69" s="152">
        <v>0.0</v>
      </c>
      <c r="T69" s="152">
        <v>0.0</v>
      </c>
      <c r="U69" s="152">
        <v>0.0</v>
      </c>
      <c r="V69" s="152">
        <v>0.0</v>
      </c>
      <c r="W69" s="152">
        <v>0.0</v>
      </c>
    </row>
    <row r="70" ht="15.75" customHeight="1">
      <c r="A70" s="152">
        <f t="shared" si="1"/>
        <v>44</v>
      </c>
      <c r="B70" s="155"/>
      <c r="C70" s="152">
        <v>0.0</v>
      </c>
      <c r="D70" s="152">
        <v>0.0</v>
      </c>
      <c r="E70" s="152">
        <v>0.0</v>
      </c>
      <c r="F70" s="152">
        <v>0.0</v>
      </c>
      <c r="G70" s="152">
        <v>0.0</v>
      </c>
      <c r="H70" s="152">
        <v>0.0</v>
      </c>
      <c r="I70" s="152">
        <v>0.0</v>
      </c>
      <c r="J70" s="152">
        <v>0.0</v>
      </c>
      <c r="K70" s="152">
        <v>0.0</v>
      </c>
      <c r="L70" s="152">
        <v>0.0</v>
      </c>
      <c r="M70" s="152">
        <v>0.0</v>
      </c>
      <c r="N70" s="152">
        <v>0.0</v>
      </c>
      <c r="O70" s="152">
        <v>0.0</v>
      </c>
      <c r="P70" s="152">
        <v>0.0</v>
      </c>
      <c r="Q70" s="152">
        <v>0.0</v>
      </c>
      <c r="R70" s="152">
        <v>0.0</v>
      </c>
      <c r="S70" s="152">
        <v>0.0</v>
      </c>
      <c r="T70" s="152">
        <v>0.0</v>
      </c>
      <c r="U70" s="152">
        <v>0.0</v>
      </c>
      <c r="V70" s="152">
        <v>0.0</v>
      </c>
      <c r="W70" s="152">
        <v>0.0</v>
      </c>
    </row>
    <row r="71" ht="15.75" customHeight="1">
      <c r="A71" s="152">
        <f t="shared" si="1"/>
        <v>45</v>
      </c>
      <c r="C71" s="152">
        <v>0.0</v>
      </c>
      <c r="D71" s="152">
        <v>0.0</v>
      </c>
      <c r="E71" s="152">
        <v>0.0</v>
      </c>
      <c r="F71" s="152">
        <v>0.0</v>
      </c>
      <c r="G71" s="152">
        <v>0.0</v>
      </c>
      <c r="H71" s="152">
        <v>0.0</v>
      </c>
      <c r="I71" s="152">
        <v>0.0</v>
      </c>
      <c r="J71" s="152">
        <v>0.0</v>
      </c>
      <c r="K71" s="152">
        <v>0.0</v>
      </c>
      <c r="L71" s="152">
        <v>0.0</v>
      </c>
      <c r="M71" s="152">
        <v>0.0</v>
      </c>
      <c r="N71" s="152">
        <v>0.0</v>
      </c>
      <c r="O71" s="152">
        <v>0.0</v>
      </c>
      <c r="P71" s="152">
        <v>0.0</v>
      </c>
      <c r="Q71" s="152">
        <v>0.0</v>
      </c>
      <c r="R71" s="152">
        <v>0.0</v>
      </c>
      <c r="S71" s="152">
        <v>0.0</v>
      </c>
      <c r="T71" s="152">
        <v>0.0</v>
      </c>
      <c r="U71" s="152">
        <v>0.0</v>
      </c>
      <c r="V71" s="152">
        <v>0.0</v>
      </c>
      <c r="W71" s="152">
        <v>0.0</v>
      </c>
    </row>
    <row r="72" ht="15.75" customHeight="1">
      <c r="A72" s="152">
        <f t="shared" si="1"/>
        <v>46</v>
      </c>
      <c r="B72" s="155"/>
      <c r="C72" s="152">
        <v>0.0</v>
      </c>
      <c r="D72" s="152">
        <v>0.0</v>
      </c>
      <c r="E72" s="152">
        <v>0.0</v>
      </c>
      <c r="F72" s="152">
        <v>0.0</v>
      </c>
      <c r="G72" s="152">
        <v>0.0</v>
      </c>
      <c r="H72" s="152">
        <v>0.0</v>
      </c>
      <c r="I72" s="152">
        <v>0.0</v>
      </c>
      <c r="J72" s="152">
        <v>0.0</v>
      </c>
      <c r="K72" s="152">
        <v>0.0</v>
      </c>
      <c r="L72" s="152">
        <v>0.0</v>
      </c>
      <c r="M72" s="152">
        <v>0.0</v>
      </c>
      <c r="N72" s="152">
        <v>0.0</v>
      </c>
      <c r="O72" s="152">
        <v>0.0</v>
      </c>
      <c r="P72" s="152">
        <v>0.0</v>
      </c>
      <c r="Q72" s="152">
        <v>0.0</v>
      </c>
      <c r="R72" s="152">
        <v>0.0</v>
      </c>
      <c r="S72" s="152">
        <v>0.0</v>
      </c>
      <c r="T72" s="152">
        <v>0.0</v>
      </c>
      <c r="U72" s="152">
        <v>0.0</v>
      </c>
      <c r="V72" s="152">
        <v>0.0</v>
      </c>
      <c r="W72" s="152">
        <v>0.0</v>
      </c>
    </row>
    <row r="73" ht="15.75" customHeight="1">
      <c r="A73" s="152">
        <f t="shared" si="1"/>
        <v>47</v>
      </c>
      <c r="C73" s="152">
        <v>0.0</v>
      </c>
      <c r="D73" s="152">
        <v>0.0</v>
      </c>
      <c r="E73" s="152">
        <v>0.0</v>
      </c>
      <c r="F73" s="152">
        <v>0.0</v>
      </c>
      <c r="G73" s="152">
        <v>0.0</v>
      </c>
      <c r="H73" s="152">
        <v>0.0</v>
      </c>
      <c r="I73" s="152">
        <v>0.0</v>
      </c>
      <c r="J73" s="152">
        <v>0.0</v>
      </c>
      <c r="K73" s="152">
        <v>0.0</v>
      </c>
      <c r="L73" s="152">
        <v>0.0</v>
      </c>
      <c r="M73" s="152">
        <v>0.0</v>
      </c>
      <c r="N73" s="152">
        <v>0.0</v>
      </c>
      <c r="O73" s="152">
        <v>0.0</v>
      </c>
      <c r="P73" s="152">
        <v>0.0</v>
      </c>
      <c r="Q73" s="152">
        <v>0.0</v>
      </c>
      <c r="R73" s="152">
        <v>0.0</v>
      </c>
      <c r="S73" s="152">
        <v>0.0</v>
      </c>
      <c r="T73" s="152">
        <v>0.0</v>
      </c>
      <c r="U73" s="152">
        <v>0.0</v>
      </c>
      <c r="V73" s="152">
        <v>0.0</v>
      </c>
      <c r="W73" s="152">
        <v>0.0</v>
      </c>
    </row>
    <row r="74" ht="15.75" customHeight="1">
      <c r="A74" s="152">
        <f t="shared" si="1"/>
        <v>48</v>
      </c>
      <c r="B74" s="155"/>
      <c r="C74" s="152">
        <v>0.0</v>
      </c>
      <c r="D74" s="152">
        <v>0.0</v>
      </c>
      <c r="E74" s="152">
        <v>0.0</v>
      </c>
      <c r="F74" s="152">
        <v>0.0</v>
      </c>
      <c r="G74" s="152">
        <v>0.0</v>
      </c>
      <c r="H74" s="152">
        <v>0.0</v>
      </c>
      <c r="I74" s="152">
        <v>0.0</v>
      </c>
      <c r="J74" s="152">
        <v>0.0</v>
      </c>
      <c r="K74" s="152">
        <v>0.0</v>
      </c>
      <c r="L74" s="152">
        <v>0.0</v>
      </c>
      <c r="M74" s="152">
        <v>0.0</v>
      </c>
      <c r="N74" s="152">
        <v>0.0</v>
      </c>
      <c r="O74" s="152">
        <v>0.0</v>
      </c>
      <c r="P74" s="152">
        <v>0.0</v>
      </c>
      <c r="Q74" s="152">
        <v>0.0</v>
      </c>
      <c r="R74" s="152">
        <v>0.0</v>
      </c>
      <c r="S74" s="152">
        <v>0.0</v>
      </c>
      <c r="T74" s="152">
        <v>0.0</v>
      </c>
      <c r="U74" s="152">
        <v>0.0</v>
      </c>
      <c r="V74" s="152">
        <v>0.0</v>
      </c>
      <c r="W74" s="152">
        <v>0.0</v>
      </c>
    </row>
    <row r="75" ht="15.75" customHeight="1">
      <c r="A75" s="152">
        <f t="shared" si="1"/>
        <v>49</v>
      </c>
      <c r="C75" s="152">
        <v>0.0</v>
      </c>
      <c r="D75" s="152">
        <v>0.0</v>
      </c>
      <c r="E75" s="152">
        <v>0.0</v>
      </c>
      <c r="F75" s="152">
        <v>0.0</v>
      </c>
      <c r="G75" s="152">
        <v>0.0</v>
      </c>
      <c r="H75" s="152">
        <v>0.0</v>
      </c>
      <c r="I75" s="152">
        <v>0.0</v>
      </c>
      <c r="J75" s="152">
        <v>0.0</v>
      </c>
      <c r="K75" s="152">
        <v>0.0</v>
      </c>
      <c r="L75" s="152">
        <v>0.0</v>
      </c>
      <c r="M75" s="152">
        <v>0.0</v>
      </c>
      <c r="N75" s="152">
        <v>0.0</v>
      </c>
      <c r="O75" s="152">
        <v>0.0</v>
      </c>
      <c r="P75" s="152">
        <v>0.0</v>
      </c>
      <c r="Q75" s="152">
        <v>0.0</v>
      </c>
      <c r="R75" s="152">
        <v>0.0</v>
      </c>
      <c r="S75" s="152">
        <v>0.0</v>
      </c>
      <c r="T75" s="152">
        <v>0.0</v>
      </c>
      <c r="U75" s="152">
        <v>0.0</v>
      </c>
      <c r="V75" s="152">
        <v>0.0</v>
      </c>
      <c r="W75" s="152">
        <v>0.0</v>
      </c>
    </row>
    <row r="76" ht="15.75" customHeight="1">
      <c r="A76" s="152">
        <f t="shared" si="1"/>
        <v>50</v>
      </c>
      <c r="B76" s="155"/>
      <c r="C76" s="152">
        <v>0.0</v>
      </c>
      <c r="D76" s="152">
        <v>0.0</v>
      </c>
      <c r="E76" s="152">
        <v>0.0</v>
      </c>
      <c r="F76" s="152">
        <v>0.0</v>
      </c>
      <c r="G76" s="152">
        <v>0.0</v>
      </c>
      <c r="H76" s="152">
        <v>0.0</v>
      </c>
      <c r="I76" s="152">
        <v>0.0</v>
      </c>
      <c r="J76" s="152">
        <v>0.0</v>
      </c>
      <c r="K76" s="152">
        <v>0.0</v>
      </c>
      <c r="L76" s="152">
        <v>0.0</v>
      </c>
      <c r="M76" s="152">
        <v>0.0</v>
      </c>
      <c r="N76" s="152">
        <v>0.0</v>
      </c>
      <c r="O76" s="152">
        <v>0.0</v>
      </c>
      <c r="P76" s="152">
        <v>0.0</v>
      </c>
      <c r="Q76" s="152">
        <v>0.0</v>
      </c>
      <c r="R76" s="152">
        <v>0.0</v>
      </c>
      <c r="S76" s="152">
        <v>0.0</v>
      </c>
      <c r="T76" s="152">
        <v>0.0</v>
      </c>
      <c r="U76" s="152">
        <v>0.0</v>
      </c>
      <c r="V76" s="152">
        <v>0.0</v>
      </c>
      <c r="W76" s="152">
        <v>0.0</v>
      </c>
    </row>
    <row r="77" ht="15.75" customHeight="1">
      <c r="A77" s="152">
        <f t="shared" si="1"/>
        <v>51</v>
      </c>
      <c r="C77" s="152">
        <v>0.0</v>
      </c>
      <c r="D77" s="152">
        <v>0.0</v>
      </c>
      <c r="E77" s="152">
        <v>0.0</v>
      </c>
      <c r="F77" s="152">
        <v>0.0</v>
      </c>
      <c r="G77" s="152">
        <v>0.0</v>
      </c>
      <c r="H77" s="152">
        <v>0.0</v>
      </c>
      <c r="I77" s="152">
        <v>0.0</v>
      </c>
      <c r="J77" s="152">
        <v>0.0</v>
      </c>
      <c r="K77" s="152">
        <v>0.0</v>
      </c>
      <c r="L77" s="152">
        <v>0.0</v>
      </c>
      <c r="M77" s="152">
        <v>0.0</v>
      </c>
      <c r="N77" s="152">
        <v>0.0</v>
      </c>
      <c r="O77" s="152">
        <v>0.0</v>
      </c>
      <c r="P77" s="152">
        <v>0.0</v>
      </c>
      <c r="Q77" s="152">
        <v>0.0</v>
      </c>
      <c r="R77" s="152">
        <v>0.0</v>
      </c>
      <c r="S77" s="152">
        <v>0.0</v>
      </c>
      <c r="T77" s="152">
        <v>0.0</v>
      </c>
      <c r="U77" s="152">
        <v>0.0</v>
      </c>
      <c r="V77" s="152">
        <v>0.0</v>
      </c>
      <c r="W77" s="152">
        <v>0.0</v>
      </c>
    </row>
    <row r="78" ht="15.75" customHeight="1">
      <c r="A78" s="152">
        <f t="shared" si="1"/>
        <v>52</v>
      </c>
      <c r="B78" s="155"/>
      <c r="C78" s="152">
        <v>0.0</v>
      </c>
      <c r="D78" s="152">
        <v>0.0</v>
      </c>
      <c r="E78" s="152">
        <v>0.0</v>
      </c>
      <c r="F78" s="152">
        <v>0.0</v>
      </c>
      <c r="G78" s="152">
        <v>0.0</v>
      </c>
      <c r="H78" s="152">
        <v>0.0</v>
      </c>
      <c r="I78" s="152">
        <v>0.0</v>
      </c>
      <c r="J78" s="152">
        <v>0.0</v>
      </c>
      <c r="K78" s="152">
        <v>0.0</v>
      </c>
      <c r="L78" s="152">
        <v>0.0</v>
      </c>
      <c r="M78" s="152">
        <v>0.0</v>
      </c>
      <c r="N78" s="152">
        <v>0.0</v>
      </c>
      <c r="O78" s="152">
        <v>0.0</v>
      </c>
      <c r="P78" s="152">
        <v>0.0</v>
      </c>
      <c r="Q78" s="152">
        <v>0.0</v>
      </c>
      <c r="R78" s="152">
        <v>0.0</v>
      </c>
      <c r="S78" s="152">
        <v>0.0</v>
      </c>
      <c r="T78" s="152">
        <v>0.0</v>
      </c>
      <c r="U78" s="152">
        <v>0.0</v>
      </c>
      <c r="V78" s="152">
        <v>0.0</v>
      </c>
      <c r="W78" s="152">
        <v>0.0</v>
      </c>
    </row>
    <row r="79" ht="15.75" customHeight="1">
      <c r="A79" s="152">
        <f t="shared" si="1"/>
        <v>53</v>
      </c>
      <c r="C79" s="152">
        <v>0.0</v>
      </c>
      <c r="D79" s="152">
        <v>0.0</v>
      </c>
      <c r="E79" s="152">
        <v>0.0</v>
      </c>
      <c r="F79" s="152">
        <v>0.0</v>
      </c>
      <c r="G79" s="152">
        <v>0.0</v>
      </c>
      <c r="H79" s="152">
        <v>0.0</v>
      </c>
      <c r="I79" s="152">
        <v>0.0</v>
      </c>
      <c r="J79" s="152">
        <v>0.0</v>
      </c>
      <c r="K79" s="152">
        <v>0.0</v>
      </c>
      <c r="L79" s="152">
        <v>0.0</v>
      </c>
      <c r="M79" s="152">
        <v>0.0</v>
      </c>
      <c r="N79" s="152">
        <v>0.0</v>
      </c>
      <c r="O79" s="152">
        <v>0.0</v>
      </c>
      <c r="P79" s="152">
        <v>0.0</v>
      </c>
      <c r="Q79" s="152">
        <v>0.0</v>
      </c>
      <c r="R79" s="152">
        <v>0.0</v>
      </c>
      <c r="S79" s="152">
        <v>0.0</v>
      </c>
      <c r="T79" s="152">
        <v>0.0</v>
      </c>
      <c r="U79" s="152">
        <v>0.0</v>
      </c>
      <c r="V79" s="152">
        <v>0.0</v>
      </c>
      <c r="W79" s="152">
        <v>0.0</v>
      </c>
    </row>
    <row r="80" ht="15.75" customHeight="1">
      <c r="A80" s="152">
        <f t="shared" si="1"/>
        <v>54</v>
      </c>
      <c r="B80" s="155"/>
      <c r="C80" s="152">
        <v>0.0</v>
      </c>
      <c r="D80" s="152">
        <v>0.0</v>
      </c>
      <c r="E80" s="152">
        <v>0.0</v>
      </c>
      <c r="F80" s="152">
        <v>0.0</v>
      </c>
      <c r="G80" s="152">
        <v>0.0</v>
      </c>
      <c r="H80" s="152">
        <v>0.0</v>
      </c>
      <c r="I80" s="152">
        <v>0.0</v>
      </c>
      <c r="J80" s="152">
        <v>0.0</v>
      </c>
      <c r="K80" s="152">
        <v>0.0</v>
      </c>
      <c r="L80" s="152">
        <v>0.0</v>
      </c>
      <c r="M80" s="152">
        <v>0.0</v>
      </c>
      <c r="N80" s="152">
        <v>0.0</v>
      </c>
      <c r="O80" s="152">
        <v>0.0</v>
      </c>
      <c r="P80" s="152">
        <v>0.0</v>
      </c>
      <c r="Q80" s="152">
        <v>0.0</v>
      </c>
      <c r="R80" s="152">
        <v>0.0</v>
      </c>
      <c r="S80" s="152">
        <v>0.0</v>
      </c>
      <c r="T80" s="152">
        <v>0.0</v>
      </c>
      <c r="U80" s="152">
        <v>0.0</v>
      </c>
      <c r="V80" s="152">
        <v>0.0</v>
      </c>
      <c r="W80" s="152">
        <v>0.0</v>
      </c>
    </row>
    <row r="81" ht="15.75" customHeight="1">
      <c r="A81" s="152">
        <f t="shared" si="1"/>
        <v>55</v>
      </c>
      <c r="C81" s="152">
        <v>0.0</v>
      </c>
      <c r="D81" s="152">
        <v>0.0</v>
      </c>
      <c r="E81" s="152">
        <v>0.0</v>
      </c>
      <c r="F81" s="152">
        <v>0.0</v>
      </c>
      <c r="G81" s="152">
        <v>0.0</v>
      </c>
      <c r="H81" s="152">
        <v>0.0</v>
      </c>
      <c r="I81" s="152">
        <v>0.0</v>
      </c>
      <c r="J81" s="152">
        <v>0.0</v>
      </c>
      <c r="K81" s="152">
        <v>0.0</v>
      </c>
      <c r="L81" s="152">
        <v>0.0</v>
      </c>
      <c r="M81" s="152">
        <v>0.0</v>
      </c>
      <c r="N81" s="152">
        <v>0.0</v>
      </c>
      <c r="O81" s="152">
        <v>0.0</v>
      </c>
      <c r="P81" s="152">
        <v>0.0</v>
      </c>
      <c r="Q81" s="152">
        <v>0.0</v>
      </c>
      <c r="R81" s="152">
        <v>0.0</v>
      </c>
      <c r="S81" s="152">
        <v>0.0</v>
      </c>
      <c r="T81" s="152">
        <v>0.0</v>
      </c>
      <c r="U81" s="152">
        <v>0.0</v>
      </c>
      <c r="V81" s="152">
        <v>0.0</v>
      </c>
      <c r="W81" s="152">
        <v>0.0</v>
      </c>
    </row>
    <row r="82" ht="15.75" customHeight="1">
      <c r="A82" s="152">
        <f t="shared" si="1"/>
        <v>56</v>
      </c>
      <c r="B82" s="155"/>
      <c r="C82" s="152">
        <v>0.0</v>
      </c>
      <c r="D82" s="152">
        <v>0.0</v>
      </c>
      <c r="E82" s="152">
        <v>0.0</v>
      </c>
      <c r="F82" s="152">
        <v>0.0</v>
      </c>
      <c r="G82" s="152">
        <v>0.0</v>
      </c>
      <c r="H82" s="152">
        <v>0.0</v>
      </c>
      <c r="I82" s="152">
        <v>0.0</v>
      </c>
      <c r="J82" s="152">
        <v>0.0</v>
      </c>
      <c r="K82" s="152">
        <v>0.0</v>
      </c>
      <c r="L82" s="152">
        <v>0.0</v>
      </c>
      <c r="M82" s="152">
        <v>0.0</v>
      </c>
      <c r="N82" s="152">
        <v>0.0</v>
      </c>
      <c r="O82" s="152">
        <v>0.0</v>
      </c>
      <c r="P82" s="152">
        <v>0.0</v>
      </c>
      <c r="Q82" s="152">
        <v>0.0</v>
      </c>
      <c r="R82" s="152">
        <v>0.0</v>
      </c>
      <c r="S82" s="152">
        <v>0.0</v>
      </c>
      <c r="T82" s="152">
        <v>0.0</v>
      </c>
      <c r="U82" s="152">
        <v>0.0</v>
      </c>
      <c r="V82" s="152">
        <v>0.0</v>
      </c>
      <c r="W82" s="152">
        <v>0.0</v>
      </c>
    </row>
    <row r="83" ht="15.75" customHeight="1">
      <c r="A83" s="152">
        <f t="shared" si="1"/>
        <v>57</v>
      </c>
      <c r="C83" s="152">
        <v>0.0</v>
      </c>
      <c r="D83" s="152">
        <v>0.0</v>
      </c>
      <c r="E83" s="152">
        <v>0.0</v>
      </c>
      <c r="F83" s="152">
        <v>0.0</v>
      </c>
      <c r="G83" s="152">
        <v>0.0</v>
      </c>
      <c r="H83" s="152">
        <v>0.0</v>
      </c>
      <c r="I83" s="152">
        <v>0.0</v>
      </c>
      <c r="J83" s="152">
        <v>0.0</v>
      </c>
      <c r="K83" s="152">
        <v>0.0</v>
      </c>
      <c r="L83" s="152">
        <v>0.0</v>
      </c>
      <c r="M83" s="152">
        <v>0.0</v>
      </c>
      <c r="N83" s="152">
        <v>0.0</v>
      </c>
      <c r="O83" s="152">
        <v>0.0</v>
      </c>
      <c r="P83" s="152">
        <v>0.0</v>
      </c>
      <c r="Q83" s="152">
        <v>0.0</v>
      </c>
      <c r="R83" s="152">
        <v>0.0</v>
      </c>
      <c r="S83" s="152">
        <v>0.0</v>
      </c>
      <c r="T83" s="152">
        <v>0.0</v>
      </c>
      <c r="U83" s="152">
        <v>0.0</v>
      </c>
      <c r="V83" s="152">
        <v>0.0</v>
      </c>
      <c r="W83" s="152">
        <v>0.0</v>
      </c>
    </row>
    <row r="84" ht="15.75" customHeight="1">
      <c r="A84" s="152">
        <f t="shared" si="1"/>
        <v>58</v>
      </c>
      <c r="B84" s="155"/>
      <c r="C84" s="152">
        <v>0.0</v>
      </c>
      <c r="D84" s="152">
        <v>0.0</v>
      </c>
      <c r="E84" s="152">
        <v>0.0</v>
      </c>
      <c r="F84" s="152">
        <v>0.0</v>
      </c>
      <c r="G84" s="152">
        <v>0.0</v>
      </c>
      <c r="H84" s="152">
        <v>0.0</v>
      </c>
      <c r="I84" s="152">
        <v>0.0</v>
      </c>
      <c r="J84" s="152">
        <v>0.0</v>
      </c>
      <c r="K84" s="152">
        <v>0.0</v>
      </c>
      <c r="L84" s="152">
        <v>0.0</v>
      </c>
      <c r="M84" s="152">
        <v>0.0</v>
      </c>
      <c r="N84" s="152">
        <v>0.0</v>
      </c>
      <c r="O84" s="152">
        <v>0.0</v>
      </c>
      <c r="P84" s="152">
        <v>0.0</v>
      </c>
      <c r="Q84" s="152">
        <v>0.0</v>
      </c>
      <c r="R84" s="152">
        <v>0.0</v>
      </c>
      <c r="S84" s="152">
        <v>0.0</v>
      </c>
      <c r="T84" s="152">
        <v>0.0</v>
      </c>
      <c r="U84" s="152">
        <v>0.0</v>
      </c>
      <c r="V84" s="152">
        <v>0.0</v>
      </c>
      <c r="W84" s="152">
        <v>0.0</v>
      </c>
    </row>
    <row r="85" ht="15.75" customHeight="1">
      <c r="A85" s="152">
        <f t="shared" si="1"/>
        <v>59</v>
      </c>
      <c r="C85" s="152">
        <v>0.0</v>
      </c>
      <c r="D85" s="152">
        <v>0.0</v>
      </c>
      <c r="E85" s="152">
        <v>0.0</v>
      </c>
      <c r="F85" s="152">
        <v>0.0</v>
      </c>
      <c r="G85" s="152">
        <v>0.0</v>
      </c>
      <c r="H85" s="152">
        <v>0.0</v>
      </c>
      <c r="I85" s="152">
        <v>0.0</v>
      </c>
      <c r="J85" s="152">
        <v>0.0</v>
      </c>
      <c r="K85" s="152">
        <v>0.0</v>
      </c>
      <c r="L85" s="152">
        <v>0.0</v>
      </c>
      <c r="M85" s="152">
        <v>0.0</v>
      </c>
      <c r="N85" s="152">
        <v>0.0</v>
      </c>
      <c r="O85" s="152">
        <v>0.0</v>
      </c>
      <c r="P85" s="152">
        <v>0.0</v>
      </c>
      <c r="Q85" s="152">
        <v>0.0</v>
      </c>
      <c r="R85" s="152">
        <v>0.0</v>
      </c>
      <c r="S85" s="152">
        <v>0.0</v>
      </c>
      <c r="T85" s="152">
        <v>0.0</v>
      </c>
      <c r="U85" s="152">
        <v>0.0</v>
      </c>
      <c r="V85" s="152">
        <v>0.0</v>
      </c>
      <c r="W85" s="152">
        <v>0.0</v>
      </c>
    </row>
    <row r="86" ht="15.75" customHeight="1">
      <c r="A86" s="152">
        <f t="shared" si="1"/>
        <v>60</v>
      </c>
      <c r="B86" s="155"/>
      <c r="C86" s="152">
        <v>0.0</v>
      </c>
      <c r="D86" s="152">
        <v>0.0</v>
      </c>
      <c r="E86" s="152">
        <v>0.0</v>
      </c>
      <c r="F86" s="152">
        <v>0.0</v>
      </c>
      <c r="G86" s="152">
        <v>0.0</v>
      </c>
      <c r="H86" s="152">
        <v>0.0</v>
      </c>
      <c r="I86" s="152">
        <v>0.0</v>
      </c>
      <c r="J86" s="152">
        <v>0.0</v>
      </c>
      <c r="K86" s="152">
        <v>0.0</v>
      </c>
      <c r="L86" s="152">
        <v>0.0</v>
      </c>
      <c r="M86" s="152">
        <v>0.0</v>
      </c>
      <c r="N86" s="152">
        <v>0.0</v>
      </c>
      <c r="O86" s="152">
        <v>0.0</v>
      </c>
      <c r="P86" s="152">
        <v>0.0</v>
      </c>
      <c r="Q86" s="152">
        <v>0.0</v>
      </c>
      <c r="R86" s="152">
        <v>0.0</v>
      </c>
      <c r="S86" s="152">
        <v>0.0</v>
      </c>
      <c r="T86" s="152">
        <v>0.0</v>
      </c>
      <c r="U86" s="152">
        <v>0.0</v>
      </c>
      <c r="V86" s="152">
        <v>0.0</v>
      </c>
      <c r="W86" s="152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1" priority="1" stopIfTrue="1" operator="greaterThan">
      <formula>0</formula>
    </cfRule>
  </conditionalFormatting>
  <conditionalFormatting sqref="B27:W86">
    <cfRule type="cellIs" dxfId="1" priority="2" stopIfTrue="1" operator="greaterThan">
      <formula>0</formula>
    </cfRule>
  </conditionalFormatting>
  <conditionalFormatting sqref="A27:W86">
    <cfRule type="expression" dxfId="2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26" width="7.63"/>
  </cols>
  <sheetData>
    <row r="1" ht="21.75" customHeight="1">
      <c r="A1" s="148" t="s">
        <v>38</v>
      </c>
    </row>
    <row r="2" ht="19.5" customHeight="1">
      <c r="A2" s="149" t="s">
        <v>88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</row>
    <row r="3">
      <c r="A3" s="150" t="s">
        <v>127</v>
      </c>
      <c r="B3" s="151">
        <v>1.0</v>
      </c>
    </row>
    <row r="4">
      <c r="A4" s="150" t="s">
        <v>128</v>
      </c>
      <c r="B4" s="151">
        <v>42.0</v>
      </c>
    </row>
    <row r="5">
      <c r="A5" s="150" t="s">
        <v>171</v>
      </c>
      <c r="B5" s="151">
        <v>60.0</v>
      </c>
    </row>
    <row r="6">
      <c r="A6" s="150" t="s">
        <v>172</v>
      </c>
      <c r="B6" s="156">
        <v>3.0</v>
      </c>
    </row>
    <row r="7">
      <c r="A7" s="150" t="s">
        <v>173</v>
      </c>
      <c r="B7" s="151">
        <v>1.0</v>
      </c>
    </row>
    <row r="8">
      <c r="A8" s="150" t="s">
        <v>174</v>
      </c>
      <c r="B8" s="151">
        <v>1000.0</v>
      </c>
    </row>
    <row r="9">
      <c r="A9" s="150" t="s">
        <v>175</v>
      </c>
      <c r="B9" s="151" t="s">
        <v>176</v>
      </c>
    </row>
    <row r="10">
      <c r="A10" s="150" t="s">
        <v>177</v>
      </c>
      <c r="B10" s="151" t="s">
        <v>178</v>
      </c>
    </row>
    <row r="12" ht="19.5" customHeight="1">
      <c r="A12" s="149" t="s">
        <v>179</v>
      </c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</row>
    <row r="13">
      <c r="A13" s="96" t="s">
        <v>180</v>
      </c>
      <c r="B13" s="96" t="s">
        <v>181</v>
      </c>
    </row>
    <row r="14">
      <c r="A14" s="152" t="s">
        <v>182</v>
      </c>
      <c r="B14" s="153">
        <v>1.0</v>
      </c>
    </row>
    <row r="15">
      <c r="A15" s="152" t="s">
        <v>183</v>
      </c>
      <c r="B15" s="153">
        <v>10.0</v>
      </c>
    </row>
    <row r="16">
      <c r="A16" s="152" t="s">
        <v>184</v>
      </c>
      <c r="B16" s="153">
        <v>100.0</v>
      </c>
    </row>
    <row r="17">
      <c r="A17" s="152" t="s">
        <v>185</v>
      </c>
      <c r="B17" s="153">
        <v>200.0</v>
      </c>
    </row>
    <row r="18">
      <c r="A18" s="152" t="s">
        <v>186</v>
      </c>
      <c r="B18" s="153">
        <v>500.0</v>
      </c>
    </row>
    <row r="19">
      <c r="A19" s="152" t="s">
        <v>187</v>
      </c>
      <c r="B19" s="153">
        <v>1000.0</v>
      </c>
    </row>
    <row r="21" ht="19.5" customHeight="1">
      <c r="A21" s="149" t="s">
        <v>188</v>
      </c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</row>
    <row r="22" ht="90.0" customHeight="1">
      <c r="A22" s="96" t="s">
        <v>131</v>
      </c>
      <c r="B22" s="96" t="s">
        <v>189</v>
      </c>
      <c r="C22" s="154" t="s">
        <v>19</v>
      </c>
      <c r="D22" s="154" t="s">
        <v>5</v>
      </c>
      <c r="E22" s="154" t="s">
        <v>77</v>
      </c>
      <c r="F22" s="154" t="s">
        <v>6</v>
      </c>
      <c r="G22" s="154" t="s">
        <v>7</v>
      </c>
      <c r="H22" s="154" t="s">
        <v>8</v>
      </c>
      <c r="I22" s="154" t="s">
        <v>9</v>
      </c>
      <c r="J22" s="154" t="s">
        <v>10</v>
      </c>
      <c r="K22" s="154" t="s">
        <v>11</v>
      </c>
      <c r="L22" s="154" t="s">
        <v>12</v>
      </c>
      <c r="M22" s="154" t="s">
        <v>13</v>
      </c>
      <c r="N22" s="154" t="s">
        <v>14</v>
      </c>
      <c r="O22" s="154" t="s">
        <v>15</v>
      </c>
      <c r="P22" s="154" t="s">
        <v>92</v>
      </c>
      <c r="Q22" s="154" t="s">
        <v>78</v>
      </c>
      <c r="R22" s="154" t="s">
        <v>79</v>
      </c>
      <c r="S22" s="154" t="s">
        <v>80</v>
      </c>
      <c r="T22" s="154" t="s">
        <v>81</v>
      </c>
      <c r="U22" s="154" t="s">
        <v>82</v>
      </c>
      <c r="V22" s="154" t="s">
        <v>83</v>
      </c>
      <c r="W22" s="154" t="s">
        <v>84</v>
      </c>
    </row>
    <row r="23" ht="15.75" customHeight="1">
      <c r="A23" s="152">
        <v>1.0</v>
      </c>
      <c r="B23" s="152">
        <v>100.0</v>
      </c>
      <c r="C23" s="152">
        <v>0.0</v>
      </c>
      <c r="D23" s="152">
        <v>0.0</v>
      </c>
      <c r="E23" s="152">
        <v>0.0</v>
      </c>
      <c r="F23" s="152">
        <v>0.0</v>
      </c>
      <c r="G23" s="152">
        <v>0.0</v>
      </c>
      <c r="H23" s="152">
        <v>0.0</v>
      </c>
      <c r="I23" s="152">
        <v>0.0</v>
      </c>
      <c r="J23" s="152">
        <v>0.0</v>
      </c>
      <c r="K23" s="152">
        <v>0.0</v>
      </c>
      <c r="L23" s="152">
        <v>30.0</v>
      </c>
      <c r="M23" s="152">
        <v>0.0</v>
      </c>
      <c r="N23" s="152">
        <v>0.0</v>
      </c>
      <c r="O23" s="152">
        <v>0.0</v>
      </c>
      <c r="P23" s="152">
        <v>0.0</v>
      </c>
      <c r="Q23" s="152">
        <v>0.0</v>
      </c>
      <c r="R23" s="152">
        <v>0.0</v>
      </c>
      <c r="S23" s="152">
        <v>0.0</v>
      </c>
      <c r="T23" s="152">
        <v>0.0</v>
      </c>
      <c r="U23" s="152">
        <v>0.0</v>
      </c>
      <c r="V23" s="152">
        <v>0.0</v>
      </c>
      <c r="W23" s="152">
        <v>0.0</v>
      </c>
    </row>
    <row r="24" ht="15.75" customHeight="1"/>
    <row r="25" ht="19.5" customHeight="1">
      <c r="A25" s="149" t="s">
        <v>190</v>
      </c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</row>
    <row r="26" ht="90.0" customHeight="1">
      <c r="A26" s="96" t="s">
        <v>191</v>
      </c>
      <c r="C26" s="154" t="s">
        <v>19</v>
      </c>
      <c r="D26" s="154" t="s">
        <v>5</v>
      </c>
      <c r="E26" s="154" t="s">
        <v>77</v>
      </c>
      <c r="F26" s="154" t="s">
        <v>6</v>
      </c>
      <c r="G26" s="154" t="s">
        <v>7</v>
      </c>
      <c r="H26" s="154" t="s">
        <v>8</v>
      </c>
      <c r="I26" s="154" t="s">
        <v>9</v>
      </c>
      <c r="J26" s="154" t="s">
        <v>10</v>
      </c>
      <c r="K26" s="154" t="s">
        <v>11</v>
      </c>
      <c r="L26" s="154" t="s">
        <v>12</v>
      </c>
      <c r="M26" s="154" t="s">
        <v>13</v>
      </c>
      <c r="N26" s="154" t="s">
        <v>14</v>
      </c>
      <c r="O26" s="154" t="s">
        <v>15</v>
      </c>
      <c r="P26" s="154" t="s">
        <v>92</v>
      </c>
      <c r="Q26" s="154" t="s">
        <v>78</v>
      </c>
      <c r="R26" s="154" t="s">
        <v>79</v>
      </c>
      <c r="S26" s="154" t="s">
        <v>80</v>
      </c>
      <c r="T26" s="154" t="s">
        <v>81</v>
      </c>
      <c r="U26" s="154" t="s">
        <v>82</v>
      </c>
      <c r="V26" s="154" t="s">
        <v>83</v>
      </c>
      <c r="W26" s="154" t="s">
        <v>84</v>
      </c>
    </row>
    <row r="27" ht="15.75" customHeight="1">
      <c r="A27" s="152">
        <v>1.0</v>
      </c>
      <c r="C27" s="152">
        <v>300.0</v>
      </c>
      <c r="D27" s="152">
        <v>400.0</v>
      </c>
      <c r="E27" s="152">
        <v>0.0</v>
      </c>
      <c r="F27" s="152">
        <v>0.0</v>
      </c>
      <c r="G27" s="152">
        <v>0.0</v>
      </c>
      <c r="H27" s="152">
        <v>0.0</v>
      </c>
      <c r="I27" s="152">
        <v>0.0</v>
      </c>
      <c r="J27" s="152">
        <v>0.0</v>
      </c>
      <c r="K27" s="152">
        <v>1.0</v>
      </c>
      <c r="L27" s="152">
        <v>0.0</v>
      </c>
      <c r="M27" s="152">
        <v>0.0</v>
      </c>
      <c r="N27" s="152">
        <v>0.0</v>
      </c>
      <c r="O27" s="152">
        <v>0.0</v>
      </c>
      <c r="P27" s="152">
        <v>0.0</v>
      </c>
      <c r="Q27" s="152">
        <v>0.0</v>
      </c>
      <c r="R27" s="152">
        <v>0.0</v>
      </c>
      <c r="S27" s="152">
        <v>0.0</v>
      </c>
      <c r="T27" s="152">
        <v>0.0</v>
      </c>
      <c r="U27" s="152">
        <v>0.0</v>
      </c>
      <c r="V27" s="152">
        <v>0.0</v>
      </c>
      <c r="W27" s="152">
        <v>0.0</v>
      </c>
    </row>
    <row r="28" ht="15.75" customHeight="1">
      <c r="A28" s="152">
        <f t="shared" ref="A28:A86" si="1">A27+1</f>
        <v>2</v>
      </c>
      <c r="B28" s="155"/>
      <c r="C28" s="152">
        <v>200.0</v>
      </c>
      <c r="D28" s="152">
        <v>300.0</v>
      </c>
      <c r="E28" s="152">
        <v>0.0</v>
      </c>
      <c r="F28" s="152">
        <v>0.0</v>
      </c>
      <c r="G28" s="152">
        <v>0.0</v>
      </c>
      <c r="H28" s="152">
        <v>0.0</v>
      </c>
      <c r="I28" s="152">
        <v>0.0</v>
      </c>
      <c r="J28" s="152">
        <v>1.0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  <c r="W28" s="152">
        <v>0.0</v>
      </c>
    </row>
    <row r="29" ht="15.75" customHeight="1">
      <c r="A29" s="152">
        <f t="shared" si="1"/>
        <v>3</v>
      </c>
      <c r="C29" s="152">
        <v>150.0</v>
      </c>
      <c r="D29" s="152">
        <v>240.0</v>
      </c>
      <c r="E29" s="152">
        <v>0.0</v>
      </c>
      <c r="F29" s="152">
        <v>0.0</v>
      </c>
      <c r="G29" s="152">
        <v>0.0</v>
      </c>
      <c r="H29" s="152">
        <v>0.0</v>
      </c>
      <c r="I29" s="152">
        <v>0.0</v>
      </c>
      <c r="J29" s="152">
        <v>1.0</v>
      </c>
      <c r="K29" s="152">
        <v>0.0</v>
      </c>
      <c r="L29" s="152">
        <v>0.0</v>
      </c>
      <c r="M29" s="152">
        <v>0.0</v>
      </c>
      <c r="N29" s="152">
        <v>0.0</v>
      </c>
      <c r="O29" s="152">
        <v>0.0</v>
      </c>
      <c r="P29" s="152">
        <v>0.0</v>
      </c>
      <c r="Q29" s="152">
        <v>0.0</v>
      </c>
      <c r="R29" s="152">
        <v>0.0</v>
      </c>
      <c r="S29" s="152">
        <v>0.0</v>
      </c>
      <c r="T29" s="152">
        <v>0.0</v>
      </c>
      <c r="U29" s="152">
        <v>0.0</v>
      </c>
      <c r="V29" s="152">
        <v>0.0</v>
      </c>
      <c r="W29" s="152">
        <v>0.0</v>
      </c>
    </row>
    <row r="30" ht="15.75" customHeight="1">
      <c r="A30" s="152">
        <f t="shared" si="1"/>
        <v>4</v>
      </c>
      <c r="B30" s="155"/>
      <c r="C30" s="152">
        <v>125.0</v>
      </c>
      <c r="D30" s="152">
        <v>200.0</v>
      </c>
      <c r="E30" s="152">
        <v>0.0</v>
      </c>
      <c r="F30" s="152">
        <v>0.0</v>
      </c>
      <c r="G30" s="152">
        <v>0.0</v>
      </c>
      <c r="H30" s="152">
        <v>0.0</v>
      </c>
      <c r="I30" s="152">
        <v>0.0</v>
      </c>
      <c r="J30" s="152">
        <v>1.0</v>
      </c>
      <c r="K30" s="152">
        <v>0.0</v>
      </c>
      <c r="L30" s="152">
        <v>0.0</v>
      </c>
      <c r="M30" s="152">
        <v>0.0</v>
      </c>
      <c r="N30" s="152">
        <v>0.0</v>
      </c>
      <c r="O30" s="152">
        <v>0.0</v>
      </c>
      <c r="P30" s="152">
        <v>0.0</v>
      </c>
      <c r="Q30" s="152">
        <v>0.0</v>
      </c>
      <c r="R30" s="152">
        <v>0.0</v>
      </c>
      <c r="S30" s="152">
        <v>0.0</v>
      </c>
      <c r="T30" s="152">
        <v>0.0</v>
      </c>
      <c r="U30" s="152">
        <v>0.0</v>
      </c>
      <c r="V30" s="152">
        <v>0.0</v>
      </c>
      <c r="W30" s="152">
        <v>0.0</v>
      </c>
    </row>
    <row r="31" ht="15.75" customHeight="1">
      <c r="A31" s="152">
        <f t="shared" si="1"/>
        <v>5</v>
      </c>
      <c r="C31" s="152">
        <v>100.0</v>
      </c>
      <c r="D31" s="152">
        <v>160.0</v>
      </c>
      <c r="E31" s="152">
        <v>0.0</v>
      </c>
      <c r="F31" s="152">
        <v>0.0</v>
      </c>
      <c r="G31" s="152">
        <v>0.0</v>
      </c>
      <c r="H31" s="152">
        <v>0.0</v>
      </c>
      <c r="I31" s="152">
        <v>0.0</v>
      </c>
      <c r="J31" s="152">
        <v>1.0</v>
      </c>
      <c r="K31" s="152">
        <v>0.0</v>
      </c>
      <c r="L31" s="152">
        <v>0.0</v>
      </c>
      <c r="M31" s="152">
        <v>0.0</v>
      </c>
      <c r="N31" s="152">
        <v>0.0</v>
      </c>
      <c r="O31" s="152">
        <v>0.0</v>
      </c>
      <c r="P31" s="152">
        <v>0.0</v>
      </c>
      <c r="Q31" s="152">
        <v>0.0</v>
      </c>
      <c r="R31" s="152">
        <v>0.0</v>
      </c>
      <c r="S31" s="152">
        <v>0.0</v>
      </c>
      <c r="T31" s="152">
        <v>0.0</v>
      </c>
      <c r="U31" s="152">
        <v>0.0</v>
      </c>
      <c r="V31" s="152">
        <v>0.0</v>
      </c>
      <c r="W31" s="152">
        <v>0.0</v>
      </c>
    </row>
    <row r="32" ht="15.75" customHeight="1">
      <c r="A32" s="152">
        <f t="shared" si="1"/>
        <v>6</v>
      </c>
      <c r="B32" s="155"/>
      <c r="C32" s="152">
        <v>0.0</v>
      </c>
      <c r="D32" s="152">
        <v>140.0</v>
      </c>
      <c r="E32" s="152">
        <v>0.0</v>
      </c>
      <c r="F32" s="152">
        <v>0.0</v>
      </c>
      <c r="G32" s="152">
        <v>0.0</v>
      </c>
      <c r="H32" s="152">
        <v>0.0</v>
      </c>
      <c r="I32" s="152">
        <v>1.0</v>
      </c>
      <c r="J32" s="152">
        <v>0.0</v>
      </c>
      <c r="K32" s="152">
        <v>0.0</v>
      </c>
      <c r="L32" s="152">
        <v>0.0</v>
      </c>
      <c r="M32" s="152">
        <v>0.0</v>
      </c>
      <c r="N32" s="152">
        <v>0.0</v>
      </c>
      <c r="O32" s="152">
        <v>0.0</v>
      </c>
      <c r="P32" s="152">
        <v>0.0</v>
      </c>
      <c r="Q32" s="152">
        <v>0.0</v>
      </c>
      <c r="R32" s="152">
        <v>0.0</v>
      </c>
      <c r="S32" s="152">
        <v>0.0</v>
      </c>
      <c r="T32" s="152">
        <v>0.0</v>
      </c>
      <c r="U32" s="152">
        <v>0.0</v>
      </c>
      <c r="V32" s="152">
        <v>0.0</v>
      </c>
      <c r="W32" s="152">
        <v>0.0</v>
      </c>
    </row>
    <row r="33" ht="15.75" customHeight="1">
      <c r="A33" s="152">
        <f t="shared" si="1"/>
        <v>7</v>
      </c>
      <c r="C33" s="152">
        <v>0.0</v>
      </c>
      <c r="D33" s="152">
        <v>125.0</v>
      </c>
      <c r="E33" s="152">
        <v>0.0</v>
      </c>
      <c r="F33" s="152">
        <v>0.0</v>
      </c>
      <c r="G33" s="152">
        <v>0.0</v>
      </c>
      <c r="H33" s="152">
        <v>0.0</v>
      </c>
      <c r="I33" s="152">
        <v>1.0</v>
      </c>
      <c r="J33" s="152">
        <v>0.0</v>
      </c>
      <c r="K33" s="152">
        <v>0.0</v>
      </c>
      <c r="L33" s="152">
        <v>0.0</v>
      </c>
      <c r="M33" s="152">
        <v>0.0</v>
      </c>
      <c r="N33" s="152">
        <v>0.0</v>
      </c>
      <c r="O33" s="152">
        <v>0.0</v>
      </c>
      <c r="P33" s="152">
        <v>0.0</v>
      </c>
      <c r="Q33" s="152">
        <v>0.0</v>
      </c>
      <c r="R33" s="152">
        <v>0.0</v>
      </c>
      <c r="S33" s="152">
        <v>0.0</v>
      </c>
      <c r="T33" s="152">
        <v>0.0</v>
      </c>
      <c r="U33" s="152">
        <v>0.0</v>
      </c>
      <c r="V33" s="152">
        <v>0.0</v>
      </c>
      <c r="W33" s="152">
        <v>0.0</v>
      </c>
    </row>
    <row r="34" ht="15.75" customHeight="1">
      <c r="A34" s="152">
        <f t="shared" si="1"/>
        <v>8</v>
      </c>
      <c r="B34" s="155"/>
      <c r="C34" s="152">
        <v>0.0</v>
      </c>
      <c r="D34" s="152">
        <v>120.0</v>
      </c>
      <c r="E34" s="152">
        <v>0.0</v>
      </c>
      <c r="F34" s="152">
        <v>0.0</v>
      </c>
      <c r="G34" s="152">
        <v>0.0</v>
      </c>
      <c r="H34" s="152">
        <v>0.0</v>
      </c>
      <c r="I34" s="152">
        <v>1.0</v>
      </c>
      <c r="J34" s="152">
        <v>0.0</v>
      </c>
      <c r="K34" s="152">
        <v>0.0</v>
      </c>
      <c r="L34" s="152">
        <v>0.0</v>
      </c>
      <c r="M34" s="152">
        <v>0.0</v>
      </c>
      <c r="N34" s="152">
        <v>0.0</v>
      </c>
      <c r="O34" s="152">
        <v>0.0</v>
      </c>
      <c r="P34" s="152">
        <v>0.0</v>
      </c>
      <c r="Q34" s="152">
        <v>0.0</v>
      </c>
      <c r="R34" s="152">
        <v>0.0</v>
      </c>
      <c r="S34" s="152">
        <v>0.0</v>
      </c>
      <c r="T34" s="152">
        <v>0.0</v>
      </c>
      <c r="U34" s="152">
        <v>0.0</v>
      </c>
      <c r="V34" s="152">
        <v>0.0</v>
      </c>
      <c r="W34" s="152">
        <v>0.0</v>
      </c>
    </row>
    <row r="35" ht="15.75" customHeight="1">
      <c r="A35" s="152">
        <f t="shared" si="1"/>
        <v>9</v>
      </c>
      <c r="C35" s="152">
        <v>0.0</v>
      </c>
      <c r="D35" s="152">
        <v>115.0</v>
      </c>
      <c r="E35" s="152">
        <v>0.0</v>
      </c>
      <c r="F35" s="152">
        <v>0.0</v>
      </c>
      <c r="G35" s="152">
        <v>0.0</v>
      </c>
      <c r="H35" s="152">
        <v>0.0</v>
      </c>
      <c r="I35" s="152">
        <v>1.0</v>
      </c>
      <c r="J35" s="152">
        <v>0.0</v>
      </c>
      <c r="K35" s="152">
        <v>0.0</v>
      </c>
      <c r="L35" s="152">
        <v>0.0</v>
      </c>
      <c r="M35" s="152">
        <v>0.0</v>
      </c>
      <c r="N35" s="152">
        <v>0.0</v>
      </c>
      <c r="O35" s="152">
        <v>0.0</v>
      </c>
      <c r="P35" s="152">
        <v>0.0</v>
      </c>
      <c r="Q35" s="152">
        <v>0.0</v>
      </c>
      <c r="R35" s="152">
        <v>0.0</v>
      </c>
      <c r="S35" s="152">
        <v>0.0</v>
      </c>
      <c r="T35" s="152">
        <v>0.0</v>
      </c>
      <c r="U35" s="152">
        <v>0.0</v>
      </c>
      <c r="V35" s="152">
        <v>0.0</v>
      </c>
      <c r="W35" s="152">
        <v>0.0</v>
      </c>
    </row>
    <row r="36" ht="15.75" customHeight="1">
      <c r="A36" s="152">
        <f t="shared" si="1"/>
        <v>10</v>
      </c>
      <c r="B36" s="155"/>
      <c r="C36" s="152">
        <v>0.0</v>
      </c>
      <c r="D36" s="152">
        <v>110.0</v>
      </c>
      <c r="E36" s="152">
        <v>0.0</v>
      </c>
      <c r="F36" s="152">
        <v>0.0</v>
      </c>
      <c r="G36" s="152">
        <v>0.0</v>
      </c>
      <c r="H36" s="152">
        <v>0.0</v>
      </c>
      <c r="I36" s="152">
        <v>1.0</v>
      </c>
      <c r="J36" s="152">
        <v>0.0</v>
      </c>
      <c r="K36" s="152">
        <v>0.0</v>
      </c>
      <c r="L36" s="152">
        <v>0.0</v>
      </c>
      <c r="M36" s="152">
        <v>0.0</v>
      </c>
      <c r="N36" s="152">
        <v>0.0</v>
      </c>
      <c r="O36" s="152">
        <v>0.0</v>
      </c>
      <c r="P36" s="152">
        <v>0.0</v>
      </c>
      <c r="Q36" s="152">
        <v>0.0</v>
      </c>
      <c r="R36" s="152">
        <v>0.0</v>
      </c>
      <c r="S36" s="152">
        <v>0.0</v>
      </c>
      <c r="T36" s="152">
        <v>0.0</v>
      </c>
      <c r="U36" s="152">
        <v>0.0</v>
      </c>
      <c r="V36" s="152">
        <v>0.0</v>
      </c>
      <c r="W36" s="152">
        <v>0.0</v>
      </c>
    </row>
    <row r="37" ht="15.75" customHeight="1">
      <c r="A37" s="152">
        <f t="shared" si="1"/>
        <v>11</v>
      </c>
      <c r="C37" s="152">
        <v>0.0</v>
      </c>
      <c r="D37" s="152">
        <v>105.0</v>
      </c>
      <c r="E37" s="152">
        <v>0.0</v>
      </c>
      <c r="F37" s="152">
        <v>0.0</v>
      </c>
      <c r="G37" s="152">
        <v>0.0</v>
      </c>
      <c r="H37" s="152">
        <v>1.0</v>
      </c>
      <c r="I37" s="152">
        <v>0.0</v>
      </c>
      <c r="J37" s="152">
        <v>0.0</v>
      </c>
      <c r="K37" s="152">
        <v>0.0</v>
      </c>
      <c r="L37" s="152">
        <v>0.0</v>
      </c>
      <c r="M37" s="152">
        <v>0.0</v>
      </c>
      <c r="N37" s="152">
        <v>0.0</v>
      </c>
      <c r="O37" s="152">
        <v>0.0</v>
      </c>
      <c r="P37" s="152">
        <v>0.0</v>
      </c>
      <c r="Q37" s="152">
        <v>0.0</v>
      </c>
      <c r="R37" s="152">
        <v>0.0</v>
      </c>
      <c r="S37" s="152">
        <v>0.0</v>
      </c>
      <c r="T37" s="152">
        <v>0.0</v>
      </c>
      <c r="U37" s="152">
        <v>0.0</v>
      </c>
      <c r="V37" s="152">
        <v>0.0</v>
      </c>
      <c r="W37" s="152">
        <v>0.0</v>
      </c>
    </row>
    <row r="38" ht="15.75" customHeight="1">
      <c r="A38" s="152">
        <f t="shared" si="1"/>
        <v>12</v>
      </c>
      <c r="B38" s="155"/>
      <c r="C38" s="152">
        <v>0.0</v>
      </c>
      <c r="D38" s="152">
        <v>100.0</v>
      </c>
      <c r="E38" s="152">
        <v>0.0</v>
      </c>
      <c r="F38" s="152">
        <v>0.0</v>
      </c>
      <c r="G38" s="152">
        <v>0.0</v>
      </c>
      <c r="H38" s="152">
        <v>1.0</v>
      </c>
      <c r="I38" s="152">
        <v>0.0</v>
      </c>
      <c r="J38" s="152">
        <v>0.0</v>
      </c>
      <c r="K38" s="152">
        <v>0.0</v>
      </c>
      <c r="L38" s="152">
        <v>0.0</v>
      </c>
      <c r="M38" s="152">
        <v>0.0</v>
      </c>
      <c r="N38" s="152">
        <v>0.0</v>
      </c>
      <c r="O38" s="152">
        <v>0.0</v>
      </c>
      <c r="P38" s="152">
        <v>0.0</v>
      </c>
      <c r="Q38" s="152">
        <v>0.0</v>
      </c>
      <c r="R38" s="152">
        <v>0.0</v>
      </c>
      <c r="S38" s="152">
        <v>0.0</v>
      </c>
      <c r="T38" s="152">
        <v>0.0</v>
      </c>
      <c r="U38" s="152">
        <v>0.0</v>
      </c>
      <c r="V38" s="152">
        <v>0.0</v>
      </c>
      <c r="W38" s="152">
        <v>0.0</v>
      </c>
    </row>
    <row r="39" ht="15.75" customHeight="1">
      <c r="A39" s="152">
        <f t="shared" si="1"/>
        <v>13</v>
      </c>
      <c r="C39" s="152">
        <v>0.0</v>
      </c>
      <c r="D39" s="152">
        <v>95.0</v>
      </c>
      <c r="E39" s="152">
        <v>0.0</v>
      </c>
      <c r="F39" s="152">
        <v>0.0</v>
      </c>
      <c r="G39" s="152">
        <v>1.0</v>
      </c>
      <c r="H39" s="152">
        <v>0.0</v>
      </c>
      <c r="I39" s="152">
        <v>0.0</v>
      </c>
      <c r="J39" s="152">
        <v>0.0</v>
      </c>
      <c r="K39" s="152">
        <v>0.0</v>
      </c>
      <c r="L39" s="152">
        <v>0.0</v>
      </c>
      <c r="M39" s="152">
        <v>0.0</v>
      </c>
      <c r="N39" s="152">
        <v>0.0</v>
      </c>
      <c r="O39" s="152">
        <v>0.0</v>
      </c>
      <c r="P39" s="152">
        <v>0.0</v>
      </c>
      <c r="Q39" s="152">
        <v>0.0</v>
      </c>
      <c r="R39" s="152">
        <v>0.0</v>
      </c>
      <c r="S39" s="152">
        <v>0.0</v>
      </c>
      <c r="T39" s="152">
        <v>0.0</v>
      </c>
      <c r="U39" s="152">
        <v>0.0</v>
      </c>
      <c r="V39" s="152">
        <v>0.0</v>
      </c>
      <c r="W39" s="152">
        <v>0.0</v>
      </c>
    </row>
    <row r="40" ht="15.75" customHeight="1">
      <c r="A40" s="152">
        <f t="shared" si="1"/>
        <v>14</v>
      </c>
      <c r="B40" s="155"/>
      <c r="C40" s="152">
        <v>0.0</v>
      </c>
      <c r="D40" s="152">
        <v>90.0</v>
      </c>
      <c r="E40" s="152">
        <v>0.0</v>
      </c>
      <c r="F40" s="152">
        <v>0.0</v>
      </c>
      <c r="G40" s="152">
        <v>1.0</v>
      </c>
      <c r="H40" s="152">
        <v>0.0</v>
      </c>
      <c r="I40" s="152">
        <v>0.0</v>
      </c>
      <c r="J40" s="152">
        <v>0.0</v>
      </c>
      <c r="K40" s="152">
        <v>0.0</v>
      </c>
      <c r="L40" s="152">
        <v>0.0</v>
      </c>
      <c r="M40" s="152">
        <v>0.0</v>
      </c>
      <c r="N40" s="152">
        <v>0.0</v>
      </c>
      <c r="O40" s="152">
        <v>0.0</v>
      </c>
      <c r="P40" s="152">
        <v>0.0</v>
      </c>
      <c r="Q40" s="152">
        <v>0.0</v>
      </c>
      <c r="R40" s="152">
        <v>0.0</v>
      </c>
      <c r="S40" s="152">
        <v>0.0</v>
      </c>
      <c r="T40" s="152">
        <v>0.0</v>
      </c>
      <c r="U40" s="152">
        <v>0.0</v>
      </c>
      <c r="V40" s="152">
        <v>0.0</v>
      </c>
      <c r="W40" s="152">
        <v>0.0</v>
      </c>
    </row>
    <row r="41" ht="15.75" customHeight="1">
      <c r="A41" s="152">
        <f t="shared" si="1"/>
        <v>15</v>
      </c>
      <c r="C41" s="152">
        <v>0.0</v>
      </c>
      <c r="D41" s="152">
        <v>85.0</v>
      </c>
      <c r="E41" s="152">
        <v>0.0</v>
      </c>
      <c r="F41" s="152">
        <v>1.0</v>
      </c>
      <c r="G41" s="152">
        <v>0.0</v>
      </c>
      <c r="H41" s="152">
        <v>0.0</v>
      </c>
      <c r="I41" s="152">
        <v>0.0</v>
      </c>
      <c r="J41" s="152">
        <v>0.0</v>
      </c>
      <c r="K41" s="152">
        <v>0.0</v>
      </c>
      <c r="L41" s="152">
        <v>0.0</v>
      </c>
      <c r="M41" s="152">
        <v>0.0</v>
      </c>
      <c r="N41" s="152">
        <v>0.0</v>
      </c>
      <c r="O41" s="152">
        <v>0.0</v>
      </c>
      <c r="P41" s="152">
        <v>0.0</v>
      </c>
      <c r="Q41" s="152">
        <v>0.0</v>
      </c>
      <c r="R41" s="152">
        <v>0.0</v>
      </c>
      <c r="S41" s="152">
        <v>0.0</v>
      </c>
      <c r="T41" s="152">
        <v>0.0</v>
      </c>
      <c r="U41" s="152">
        <v>0.0</v>
      </c>
      <c r="V41" s="152">
        <v>0.0</v>
      </c>
      <c r="W41" s="152">
        <v>0.0</v>
      </c>
    </row>
    <row r="42" ht="15.75" customHeight="1">
      <c r="A42" s="152">
        <f t="shared" si="1"/>
        <v>16</v>
      </c>
      <c r="B42" s="155"/>
      <c r="C42" s="152">
        <v>0.0</v>
      </c>
      <c r="D42" s="152">
        <v>80.0</v>
      </c>
      <c r="E42" s="152">
        <v>0.0</v>
      </c>
      <c r="F42" s="152">
        <v>1.0</v>
      </c>
      <c r="G42" s="152">
        <v>0.0</v>
      </c>
      <c r="H42" s="152">
        <v>0.0</v>
      </c>
      <c r="I42" s="152">
        <v>0.0</v>
      </c>
      <c r="J42" s="152">
        <v>0.0</v>
      </c>
      <c r="K42" s="152">
        <v>0.0</v>
      </c>
      <c r="L42" s="152">
        <v>0.0</v>
      </c>
      <c r="M42" s="152">
        <v>0.0</v>
      </c>
      <c r="N42" s="152">
        <v>0.0</v>
      </c>
      <c r="O42" s="152">
        <v>0.0</v>
      </c>
      <c r="P42" s="152">
        <v>0.0</v>
      </c>
      <c r="Q42" s="152">
        <v>0.0</v>
      </c>
      <c r="R42" s="152">
        <v>0.0</v>
      </c>
      <c r="S42" s="152">
        <v>0.0</v>
      </c>
      <c r="T42" s="152">
        <v>0.0</v>
      </c>
      <c r="U42" s="152">
        <v>0.0</v>
      </c>
      <c r="V42" s="152">
        <v>0.0</v>
      </c>
      <c r="W42" s="152">
        <v>0.0</v>
      </c>
    </row>
    <row r="43" ht="15.75" customHeight="1">
      <c r="A43" s="152">
        <f t="shared" si="1"/>
        <v>17</v>
      </c>
      <c r="C43" s="152">
        <v>0.0</v>
      </c>
      <c r="D43" s="152">
        <v>75.0</v>
      </c>
      <c r="E43" s="152">
        <v>0.0</v>
      </c>
      <c r="F43" s="152">
        <v>0.0</v>
      </c>
      <c r="G43" s="152">
        <v>0.0</v>
      </c>
      <c r="H43" s="152">
        <v>0.0</v>
      </c>
      <c r="I43" s="152">
        <v>0.0</v>
      </c>
      <c r="J43" s="152">
        <v>0.0</v>
      </c>
      <c r="K43" s="152">
        <v>0.0</v>
      </c>
      <c r="L43" s="152">
        <v>0.0</v>
      </c>
      <c r="M43" s="152">
        <v>0.0</v>
      </c>
      <c r="N43" s="152">
        <v>0.0</v>
      </c>
      <c r="O43" s="152">
        <v>0.0</v>
      </c>
      <c r="P43" s="152">
        <v>0.0</v>
      </c>
      <c r="Q43" s="152">
        <v>0.0</v>
      </c>
      <c r="R43" s="152">
        <v>0.0</v>
      </c>
      <c r="S43" s="152">
        <v>0.0</v>
      </c>
      <c r="T43" s="152">
        <v>0.0</v>
      </c>
      <c r="U43" s="152">
        <v>0.0</v>
      </c>
      <c r="V43" s="152">
        <v>0.0</v>
      </c>
      <c r="W43" s="152">
        <v>0.0</v>
      </c>
    </row>
    <row r="44" ht="15.75" customHeight="1">
      <c r="A44" s="152">
        <f t="shared" si="1"/>
        <v>18</v>
      </c>
      <c r="B44" s="155"/>
      <c r="C44" s="152">
        <v>0.0</v>
      </c>
      <c r="D44" s="152">
        <v>70.0</v>
      </c>
      <c r="E44" s="152">
        <v>0.0</v>
      </c>
      <c r="F44" s="152">
        <v>0.0</v>
      </c>
      <c r="G44" s="152">
        <v>0.0</v>
      </c>
      <c r="H44" s="152">
        <v>0.0</v>
      </c>
      <c r="I44" s="152">
        <v>0.0</v>
      </c>
      <c r="J44" s="152">
        <v>0.0</v>
      </c>
      <c r="K44" s="152">
        <v>0.0</v>
      </c>
      <c r="L44" s="152">
        <v>0.0</v>
      </c>
      <c r="M44" s="152">
        <v>0.0</v>
      </c>
      <c r="N44" s="152">
        <v>0.0</v>
      </c>
      <c r="O44" s="152">
        <v>0.0</v>
      </c>
      <c r="P44" s="152">
        <v>0.0</v>
      </c>
      <c r="Q44" s="152">
        <v>0.0</v>
      </c>
      <c r="R44" s="152">
        <v>0.0</v>
      </c>
      <c r="S44" s="152">
        <v>0.0</v>
      </c>
      <c r="T44" s="152">
        <v>0.0</v>
      </c>
      <c r="U44" s="152">
        <v>0.0</v>
      </c>
      <c r="V44" s="152">
        <v>0.0</v>
      </c>
      <c r="W44" s="152">
        <v>0.0</v>
      </c>
    </row>
    <row r="45" ht="15.75" customHeight="1">
      <c r="A45" s="152">
        <f t="shared" si="1"/>
        <v>19</v>
      </c>
      <c r="C45" s="152">
        <v>0.0</v>
      </c>
      <c r="D45" s="152">
        <v>65.0</v>
      </c>
      <c r="E45" s="152">
        <v>0.0</v>
      </c>
      <c r="F45" s="152">
        <v>0.0</v>
      </c>
      <c r="G45" s="152">
        <v>0.0</v>
      </c>
      <c r="H45" s="152">
        <v>0.0</v>
      </c>
      <c r="I45" s="152">
        <v>0.0</v>
      </c>
      <c r="J45" s="152">
        <v>0.0</v>
      </c>
      <c r="K45" s="152">
        <v>0.0</v>
      </c>
      <c r="L45" s="152">
        <v>0.0</v>
      </c>
      <c r="M45" s="152">
        <v>0.0</v>
      </c>
      <c r="N45" s="152">
        <v>0.0</v>
      </c>
      <c r="O45" s="152">
        <v>0.0</v>
      </c>
      <c r="P45" s="152">
        <v>0.0</v>
      </c>
      <c r="Q45" s="152">
        <v>0.0</v>
      </c>
      <c r="R45" s="152">
        <v>0.0</v>
      </c>
      <c r="S45" s="152">
        <v>0.0</v>
      </c>
      <c r="T45" s="152">
        <v>0.0</v>
      </c>
      <c r="U45" s="152">
        <v>0.0</v>
      </c>
      <c r="V45" s="152">
        <v>0.0</v>
      </c>
      <c r="W45" s="152">
        <v>0.0</v>
      </c>
    </row>
    <row r="46" ht="15.75" customHeight="1">
      <c r="A46" s="152">
        <f t="shared" si="1"/>
        <v>20</v>
      </c>
      <c r="B46" s="155"/>
      <c r="C46" s="152">
        <v>0.0</v>
      </c>
      <c r="D46" s="152">
        <v>60.0</v>
      </c>
      <c r="E46" s="152">
        <v>0.0</v>
      </c>
      <c r="F46" s="152">
        <v>0.0</v>
      </c>
      <c r="G46" s="152">
        <v>0.0</v>
      </c>
      <c r="H46" s="152">
        <v>0.0</v>
      </c>
      <c r="I46" s="152">
        <v>0.0</v>
      </c>
      <c r="J46" s="152">
        <v>0.0</v>
      </c>
      <c r="K46" s="152">
        <v>0.0</v>
      </c>
      <c r="L46" s="152">
        <v>0.0</v>
      </c>
      <c r="M46" s="152">
        <v>0.0</v>
      </c>
      <c r="N46" s="152">
        <v>0.0</v>
      </c>
      <c r="O46" s="152">
        <v>0.0</v>
      </c>
      <c r="P46" s="152">
        <v>0.0</v>
      </c>
      <c r="Q46" s="152">
        <v>0.0</v>
      </c>
      <c r="R46" s="152">
        <v>0.0</v>
      </c>
      <c r="S46" s="152">
        <v>0.0</v>
      </c>
      <c r="T46" s="152">
        <v>0.0</v>
      </c>
      <c r="U46" s="152">
        <v>0.0</v>
      </c>
      <c r="V46" s="152">
        <v>0.0</v>
      </c>
      <c r="W46" s="152">
        <v>0.0</v>
      </c>
    </row>
    <row r="47" ht="15.75" customHeight="1">
      <c r="A47" s="152">
        <f t="shared" si="1"/>
        <v>21</v>
      </c>
      <c r="C47" s="152">
        <v>0.0</v>
      </c>
      <c r="D47" s="152">
        <v>55.0</v>
      </c>
      <c r="E47" s="152">
        <v>0.0</v>
      </c>
      <c r="F47" s="152">
        <v>0.0</v>
      </c>
      <c r="G47" s="152">
        <v>0.0</v>
      </c>
      <c r="H47" s="152">
        <v>0.0</v>
      </c>
      <c r="I47" s="152">
        <v>0.0</v>
      </c>
      <c r="J47" s="152">
        <v>0.0</v>
      </c>
      <c r="K47" s="152">
        <v>0.0</v>
      </c>
      <c r="L47" s="152">
        <v>0.0</v>
      </c>
      <c r="M47" s="152">
        <v>0.0</v>
      </c>
      <c r="N47" s="152">
        <v>0.0</v>
      </c>
      <c r="O47" s="152">
        <v>0.0</v>
      </c>
      <c r="P47" s="152">
        <v>0.0</v>
      </c>
      <c r="Q47" s="152">
        <v>0.0</v>
      </c>
      <c r="R47" s="152">
        <v>0.0</v>
      </c>
      <c r="S47" s="152">
        <v>0.0</v>
      </c>
      <c r="T47" s="152">
        <v>0.0</v>
      </c>
      <c r="U47" s="152">
        <v>0.0</v>
      </c>
      <c r="V47" s="152">
        <v>0.0</v>
      </c>
      <c r="W47" s="152">
        <v>0.0</v>
      </c>
    </row>
    <row r="48" ht="15.75" customHeight="1">
      <c r="A48" s="152">
        <f t="shared" si="1"/>
        <v>22</v>
      </c>
      <c r="B48" s="155"/>
      <c r="C48" s="152">
        <v>0.0</v>
      </c>
      <c r="D48" s="152">
        <v>50.0</v>
      </c>
      <c r="E48" s="152">
        <v>0.0</v>
      </c>
      <c r="F48" s="152">
        <v>0.0</v>
      </c>
      <c r="G48" s="152">
        <v>0.0</v>
      </c>
      <c r="H48" s="152">
        <v>0.0</v>
      </c>
      <c r="I48" s="152">
        <v>0.0</v>
      </c>
      <c r="J48" s="152">
        <v>0.0</v>
      </c>
      <c r="K48" s="152">
        <v>0.0</v>
      </c>
      <c r="L48" s="152">
        <v>0.0</v>
      </c>
      <c r="M48" s="152">
        <v>0.0</v>
      </c>
      <c r="N48" s="152">
        <v>0.0</v>
      </c>
      <c r="O48" s="152">
        <v>0.0</v>
      </c>
      <c r="P48" s="152">
        <v>0.0</v>
      </c>
      <c r="Q48" s="152">
        <v>0.0</v>
      </c>
      <c r="R48" s="152">
        <v>0.0</v>
      </c>
      <c r="S48" s="152">
        <v>0.0</v>
      </c>
      <c r="T48" s="152">
        <v>0.0</v>
      </c>
      <c r="U48" s="152">
        <v>0.0</v>
      </c>
      <c r="V48" s="152">
        <v>0.0</v>
      </c>
      <c r="W48" s="152">
        <v>0.0</v>
      </c>
    </row>
    <row r="49" ht="15.75" customHeight="1">
      <c r="A49" s="152">
        <f t="shared" si="1"/>
        <v>23</v>
      </c>
      <c r="C49" s="152">
        <v>0.0</v>
      </c>
      <c r="D49" s="152">
        <v>45.0</v>
      </c>
      <c r="E49" s="152">
        <v>0.0</v>
      </c>
      <c r="F49" s="152">
        <v>0.0</v>
      </c>
      <c r="G49" s="152">
        <v>0.0</v>
      </c>
      <c r="H49" s="152">
        <v>0.0</v>
      </c>
      <c r="I49" s="152">
        <v>0.0</v>
      </c>
      <c r="J49" s="152">
        <v>0.0</v>
      </c>
      <c r="K49" s="152">
        <v>0.0</v>
      </c>
      <c r="L49" s="152">
        <v>0.0</v>
      </c>
      <c r="M49" s="152">
        <v>0.0</v>
      </c>
      <c r="N49" s="152">
        <v>0.0</v>
      </c>
      <c r="O49" s="152">
        <v>0.0</v>
      </c>
      <c r="P49" s="152">
        <v>0.0</v>
      </c>
      <c r="Q49" s="152">
        <v>0.0</v>
      </c>
      <c r="R49" s="152">
        <v>0.0</v>
      </c>
      <c r="S49" s="152">
        <v>0.0</v>
      </c>
      <c r="T49" s="152">
        <v>0.0</v>
      </c>
      <c r="U49" s="152">
        <v>0.0</v>
      </c>
      <c r="V49" s="152">
        <v>0.0</v>
      </c>
      <c r="W49" s="152">
        <v>0.0</v>
      </c>
    </row>
    <row r="50" ht="15.75" customHeight="1">
      <c r="A50" s="152">
        <f t="shared" si="1"/>
        <v>24</v>
      </c>
      <c r="B50" s="155"/>
      <c r="C50" s="152">
        <v>0.0</v>
      </c>
      <c r="D50" s="152">
        <v>40.0</v>
      </c>
      <c r="E50" s="152">
        <v>0.0</v>
      </c>
      <c r="F50" s="152">
        <v>0.0</v>
      </c>
      <c r="G50" s="152">
        <v>0.0</v>
      </c>
      <c r="H50" s="152">
        <v>0.0</v>
      </c>
      <c r="I50" s="152">
        <v>0.0</v>
      </c>
      <c r="J50" s="152">
        <v>0.0</v>
      </c>
      <c r="K50" s="152">
        <v>0.0</v>
      </c>
      <c r="L50" s="152">
        <v>0.0</v>
      </c>
      <c r="M50" s="152">
        <v>0.0</v>
      </c>
      <c r="N50" s="152">
        <v>0.0</v>
      </c>
      <c r="O50" s="152">
        <v>0.0</v>
      </c>
      <c r="P50" s="152">
        <v>0.0</v>
      </c>
      <c r="Q50" s="152">
        <v>0.0</v>
      </c>
      <c r="R50" s="152">
        <v>0.0</v>
      </c>
      <c r="S50" s="152">
        <v>0.0</v>
      </c>
      <c r="T50" s="152">
        <v>0.0</v>
      </c>
      <c r="U50" s="152">
        <v>0.0</v>
      </c>
      <c r="V50" s="152">
        <v>0.0</v>
      </c>
      <c r="W50" s="152">
        <v>0.0</v>
      </c>
    </row>
    <row r="51" ht="15.75" customHeight="1">
      <c r="A51" s="152">
        <f t="shared" si="1"/>
        <v>25</v>
      </c>
      <c r="C51" s="152">
        <v>0.0</v>
      </c>
      <c r="D51" s="152">
        <v>35.0</v>
      </c>
      <c r="E51" s="152">
        <v>0.0</v>
      </c>
      <c r="F51" s="152">
        <v>0.0</v>
      </c>
      <c r="G51" s="152">
        <v>0.0</v>
      </c>
      <c r="H51" s="152">
        <v>0.0</v>
      </c>
      <c r="I51" s="152">
        <v>0.0</v>
      </c>
      <c r="J51" s="152">
        <v>0.0</v>
      </c>
      <c r="K51" s="152">
        <v>0.0</v>
      </c>
      <c r="L51" s="152">
        <v>0.0</v>
      </c>
      <c r="M51" s="152">
        <v>0.0</v>
      </c>
      <c r="N51" s="152">
        <v>0.0</v>
      </c>
      <c r="O51" s="152">
        <v>0.0</v>
      </c>
      <c r="P51" s="152">
        <v>0.0</v>
      </c>
      <c r="Q51" s="152">
        <v>0.0</v>
      </c>
      <c r="R51" s="152">
        <v>0.0</v>
      </c>
      <c r="S51" s="152">
        <v>0.0</v>
      </c>
      <c r="T51" s="152">
        <v>0.0</v>
      </c>
      <c r="U51" s="152">
        <v>0.0</v>
      </c>
      <c r="V51" s="152">
        <v>0.0</v>
      </c>
      <c r="W51" s="152">
        <v>0.0</v>
      </c>
    </row>
    <row r="52" ht="15.75" customHeight="1">
      <c r="A52" s="152">
        <f t="shared" si="1"/>
        <v>26</v>
      </c>
      <c r="B52" s="155"/>
      <c r="C52" s="152">
        <v>0.0</v>
      </c>
      <c r="D52" s="152">
        <v>0.0</v>
      </c>
      <c r="E52" s="152">
        <v>0.0</v>
      </c>
      <c r="F52" s="152">
        <v>0.0</v>
      </c>
      <c r="G52" s="152">
        <v>0.0</v>
      </c>
      <c r="H52" s="152">
        <v>0.0</v>
      </c>
      <c r="I52" s="152">
        <v>0.0</v>
      </c>
      <c r="J52" s="152">
        <v>0.0</v>
      </c>
      <c r="K52" s="152">
        <v>0.0</v>
      </c>
      <c r="L52" s="152">
        <v>0.0</v>
      </c>
      <c r="M52" s="152">
        <v>0.0</v>
      </c>
      <c r="N52" s="152">
        <v>0.0</v>
      </c>
      <c r="O52" s="152">
        <v>0.0</v>
      </c>
      <c r="P52" s="152">
        <v>0.0</v>
      </c>
      <c r="Q52" s="152">
        <v>0.0</v>
      </c>
      <c r="R52" s="152">
        <v>0.0</v>
      </c>
      <c r="S52" s="152">
        <v>0.0</v>
      </c>
      <c r="T52" s="152">
        <v>0.0</v>
      </c>
      <c r="U52" s="152">
        <v>0.0</v>
      </c>
      <c r="V52" s="152">
        <v>0.0</v>
      </c>
      <c r="W52" s="152">
        <v>0.0</v>
      </c>
    </row>
    <row r="53" ht="15.75" customHeight="1">
      <c r="A53" s="152">
        <f t="shared" si="1"/>
        <v>27</v>
      </c>
      <c r="C53" s="152">
        <v>0.0</v>
      </c>
      <c r="D53" s="152">
        <v>0.0</v>
      </c>
      <c r="E53" s="152">
        <v>0.0</v>
      </c>
      <c r="F53" s="152">
        <v>0.0</v>
      </c>
      <c r="G53" s="152">
        <v>0.0</v>
      </c>
      <c r="H53" s="152">
        <v>0.0</v>
      </c>
      <c r="I53" s="152">
        <v>0.0</v>
      </c>
      <c r="J53" s="152">
        <v>0.0</v>
      </c>
      <c r="K53" s="152">
        <v>0.0</v>
      </c>
      <c r="L53" s="152">
        <v>0.0</v>
      </c>
      <c r="M53" s="152">
        <v>0.0</v>
      </c>
      <c r="N53" s="152">
        <v>0.0</v>
      </c>
      <c r="O53" s="152">
        <v>0.0</v>
      </c>
      <c r="P53" s="152">
        <v>0.0</v>
      </c>
      <c r="Q53" s="152">
        <v>0.0</v>
      </c>
      <c r="R53" s="152">
        <v>0.0</v>
      </c>
      <c r="S53" s="152">
        <v>0.0</v>
      </c>
      <c r="T53" s="152">
        <v>0.0</v>
      </c>
      <c r="U53" s="152">
        <v>0.0</v>
      </c>
      <c r="V53" s="152">
        <v>0.0</v>
      </c>
      <c r="W53" s="152">
        <v>0.0</v>
      </c>
    </row>
    <row r="54" ht="15.75" customHeight="1">
      <c r="A54" s="152">
        <f t="shared" si="1"/>
        <v>28</v>
      </c>
      <c r="B54" s="155"/>
      <c r="C54" s="152">
        <v>0.0</v>
      </c>
      <c r="D54" s="152">
        <v>0.0</v>
      </c>
      <c r="E54" s="152">
        <v>0.0</v>
      </c>
      <c r="F54" s="152">
        <v>0.0</v>
      </c>
      <c r="G54" s="152">
        <v>0.0</v>
      </c>
      <c r="H54" s="152">
        <v>0.0</v>
      </c>
      <c r="I54" s="152">
        <v>0.0</v>
      </c>
      <c r="J54" s="152">
        <v>0.0</v>
      </c>
      <c r="K54" s="152">
        <v>0.0</v>
      </c>
      <c r="L54" s="152">
        <v>0.0</v>
      </c>
      <c r="M54" s="152">
        <v>0.0</v>
      </c>
      <c r="N54" s="152">
        <v>0.0</v>
      </c>
      <c r="O54" s="152">
        <v>0.0</v>
      </c>
      <c r="P54" s="152">
        <v>0.0</v>
      </c>
      <c r="Q54" s="152">
        <v>0.0</v>
      </c>
      <c r="R54" s="152">
        <v>0.0</v>
      </c>
      <c r="S54" s="152">
        <v>0.0</v>
      </c>
      <c r="T54" s="152">
        <v>0.0</v>
      </c>
      <c r="U54" s="152">
        <v>0.0</v>
      </c>
      <c r="V54" s="152">
        <v>0.0</v>
      </c>
      <c r="W54" s="152">
        <v>0.0</v>
      </c>
    </row>
    <row r="55" ht="15.75" customHeight="1">
      <c r="A55" s="152">
        <f t="shared" si="1"/>
        <v>29</v>
      </c>
      <c r="C55" s="152">
        <v>0.0</v>
      </c>
      <c r="D55" s="152">
        <v>0.0</v>
      </c>
      <c r="E55" s="152">
        <v>0.0</v>
      </c>
      <c r="F55" s="152">
        <v>0.0</v>
      </c>
      <c r="G55" s="152">
        <v>0.0</v>
      </c>
      <c r="H55" s="152">
        <v>0.0</v>
      </c>
      <c r="I55" s="152">
        <v>0.0</v>
      </c>
      <c r="J55" s="152">
        <v>0.0</v>
      </c>
      <c r="K55" s="152">
        <v>0.0</v>
      </c>
      <c r="L55" s="152">
        <v>0.0</v>
      </c>
      <c r="M55" s="152">
        <v>0.0</v>
      </c>
      <c r="N55" s="152">
        <v>0.0</v>
      </c>
      <c r="O55" s="152">
        <v>0.0</v>
      </c>
      <c r="P55" s="152">
        <v>0.0</v>
      </c>
      <c r="Q55" s="152">
        <v>0.0</v>
      </c>
      <c r="R55" s="152">
        <v>0.0</v>
      </c>
      <c r="S55" s="152">
        <v>0.0</v>
      </c>
      <c r="T55" s="152">
        <v>0.0</v>
      </c>
      <c r="U55" s="152">
        <v>0.0</v>
      </c>
      <c r="V55" s="152">
        <v>0.0</v>
      </c>
      <c r="W55" s="152">
        <v>0.0</v>
      </c>
    </row>
    <row r="56" ht="15.75" customHeight="1">
      <c r="A56" s="152">
        <f t="shared" si="1"/>
        <v>30</v>
      </c>
      <c r="B56" s="155"/>
      <c r="C56" s="152">
        <v>0.0</v>
      </c>
      <c r="D56" s="152">
        <v>0.0</v>
      </c>
      <c r="E56" s="152">
        <v>0.0</v>
      </c>
      <c r="F56" s="152">
        <v>0.0</v>
      </c>
      <c r="G56" s="152">
        <v>0.0</v>
      </c>
      <c r="H56" s="152">
        <v>0.0</v>
      </c>
      <c r="I56" s="152">
        <v>0.0</v>
      </c>
      <c r="J56" s="152">
        <v>0.0</v>
      </c>
      <c r="K56" s="152">
        <v>0.0</v>
      </c>
      <c r="L56" s="152">
        <v>0.0</v>
      </c>
      <c r="M56" s="152">
        <v>0.0</v>
      </c>
      <c r="N56" s="152">
        <v>0.0</v>
      </c>
      <c r="O56" s="152">
        <v>0.0</v>
      </c>
      <c r="P56" s="152">
        <v>0.0</v>
      </c>
      <c r="Q56" s="152">
        <v>0.0</v>
      </c>
      <c r="R56" s="152">
        <v>0.0</v>
      </c>
      <c r="S56" s="152">
        <v>0.0</v>
      </c>
      <c r="T56" s="152">
        <v>0.0</v>
      </c>
      <c r="U56" s="152">
        <v>0.0</v>
      </c>
      <c r="V56" s="152">
        <v>0.0</v>
      </c>
      <c r="W56" s="152">
        <v>0.0</v>
      </c>
    </row>
    <row r="57" ht="15.75" customHeight="1">
      <c r="A57" s="152">
        <f t="shared" si="1"/>
        <v>31</v>
      </c>
      <c r="C57" s="152">
        <v>0.0</v>
      </c>
      <c r="D57" s="152">
        <v>0.0</v>
      </c>
      <c r="E57" s="152">
        <v>0.0</v>
      </c>
      <c r="F57" s="152">
        <v>0.0</v>
      </c>
      <c r="G57" s="152">
        <v>0.0</v>
      </c>
      <c r="H57" s="152">
        <v>0.0</v>
      </c>
      <c r="I57" s="152">
        <v>0.0</v>
      </c>
      <c r="J57" s="152">
        <v>0.0</v>
      </c>
      <c r="K57" s="152">
        <v>0.0</v>
      </c>
      <c r="L57" s="152">
        <v>0.0</v>
      </c>
      <c r="M57" s="152">
        <v>0.0</v>
      </c>
      <c r="N57" s="152">
        <v>0.0</v>
      </c>
      <c r="O57" s="152">
        <v>0.0</v>
      </c>
      <c r="P57" s="152">
        <v>0.0</v>
      </c>
      <c r="Q57" s="152">
        <v>0.0</v>
      </c>
      <c r="R57" s="152">
        <v>0.0</v>
      </c>
      <c r="S57" s="152">
        <v>0.0</v>
      </c>
      <c r="T57" s="152">
        <v>0.0</v>
      </c>
      <c r="U57" s="152">
        <v>0.0</v>
      </c>
      <c r="V57" s="152">
        <v>0.0</v>
      </c>
      <c r="W57" s="152">
        <v>0.0</v>
      </c>
    </row>
    <row r="58" ht="15.75" customHeight="1">
      <c r="A58" s="152">
        <f t="shared" si="1"/>
        <v>32</v>
      </c>
      <c r="B58" s="155"/>
      <c r="C58" s="152">
        <v>0.0</v>
      </c>
      <c r="D58" s="152">
        <v>0.0</v>
      </c>
      <c r="E58" s="152">
        <v>0.0</v>
      </c>
      <c r="F58" s="152">
        <v>0.0</v>
      </c>
      <c r="G58" s="152">
        <v>0.0</v>
      </c>
      <c r="H58" s="152">
        <v>0.0</v>
      </c>
      <c r="I58" s="152">
        <v>0.0</v>
      </c>
      <c r="J58" s="152">
        <v>0.0</v>
      </c>
      <c r="K58" s="152">
        <v>0.0</v>
      </c>
      <c r="L58" s="152">
        <v>0.0</v>
      </c>
      <c r="M58" s="152">
        <v>0.0</v>
      </c>
      <c r="N58" s="152">
        <v>0.0</v>
      </c>
      <c r="O58" s="152">
        <v>0.0</v>
      </c>
      <c r="P58" s="152">
        <v>0.0</v>
      </c>
      <c r="Q58" s="152">
        <v>0.0</v>
      </c>
      <c r="R58" s="152">
        <v>0.0</v>
      </c>
      <c r="S58" s="152">
        <v>0.0</v>
      </c>
      <c r="T58" s="152">
        <v>0.0</v>
      </c>
      <c r="U58" s="152">
        <v>0.0</v>
      </c>
      <c r="V58" s="152">
        <v>0.0</v>
      </c>
      <c r="W58" s="152">
        <v>0.0</v>
      </c>
    </row>
    <row r="59" ht="15.75" customHeight="1">
      <c r="A59" s="152">
        <f t="shared" si="1"/>
        <v>33</v>
      </c>
      <c r="C59" s="152">
        <v>0.0</v>
      </c>
      <c r="D59" s="152">
        <v>0.0</v>
      </c>
      <c r="E59" s="152">
        <v>0.0</v>
      </c>
      <c r="F59" s="152">
        <v>0.0</v>
      </c>
      <c r="G59" s="152">
        <v>0.0</v>
      </c>
      <c r="H59" s="152">
        <v>0.0</v>
      </c>
      <c r="I59" s="152">
        <v>0.0</v>
      </c>
      <c r="J59" s="152">
        <v>0.0</v>
      </c>
      <c r="K59" s="152">
        <v>0.0</v>
      </c>
      <c r="L59" s="152">
        <v>0.0</v>
      </c>
      <c r="M59" s="152">
        <v>0.0</v>
      </c>
      <c r="N59" s="152">
        <v>0.0</v>
      </c>
      <c r="O59" s="152">
        <v>0.0</v>
      </c>
      <c r="P59" s="152">
        <v>0.0</v>
      </c>
      <c r="Q59" s="152">
        <v>0.0</v>
      </c>
      <c r="R59" s="152">
        <v>0.0</v>
      </c>
      <c r="S59" s="152">
        <v>0.0</v>
      </c>
      <c r="T59" s="152">
        <v>0.0</v>
      </c>
      <c r="U59" s="152">
        <v>0.0</v>
      </c>
      <c r="V59" s="152">
        <v>0.0</v>
      </c>
      <c r="W59" s="152">
        <v>0.0</v>
      </c>
    </row>
    <row r="60" ht="15.75" customHeight="1">
      <c r="A60" s="152">
        <f t="shared" si="1"/>
        <v>34</v>
      </c>
      <c r="B60" s="155"/>
      <c r="C60" s="152">
        <v>0.0</v>
      </c>
      <c r="D60" s="152">
        <v>0.0</v>
      </c>
      <c r="E60" s="152">
        <v>0.0</v>
      </c>
      <c r="F60" s="152">
        <v>0.0</v>
      </c>
      <c r="G60" s="152">
        <v>0.0</v>
      </c>
      <c r="H60" s="152">
        <v>0.0</v>
      </c>
      <c r="I60" s="152">
        <v>0.0</v>
      </c>
      <c r="J60" s="152">
        <v>0.0</v>
      </c>
      <c r="K60" s="152">
        <v>0.0</v>
      </c>
      <c r="L60" s="152">
        <v>0.0</v>
      </c>
      <c r="M60" s="152">
        <v>0.0</v>
      </c>
      <c r="N60" s="152">
        <v>0.0</v>
      </c>
      <c r="O60" s="152">
        <v>0.0</v>
      </c>
      <c r="P60" s="152">
        <v>0.0</v>
      </c>
      <c r="Q60" s="152">
        <v>0.0</v>
      </c>
      <c r="R60" s="152">
        <v>0.0</v>
      </c>
      <c r="S60" s="152">
        <v>0.0</v>
      </c>
      <c r="T60" s="152">
        <v>0.0</v>
      </c>
      <c r="U60" s="152">
        <v>0.0</v>
      </c>
      <c r="V60" s="152">
        <v>0.0</v>
      </c>
      <c r="W60" s="152">
        <v>0.0</v>
      </c>
    </row>
    <row r="61" ht="15.75" customHeight="1">
      <c r="A61" s="152">
        <f t="shared" si="1"/>
        <v>35</v>
      </c>
      <c r="C61" s="152">
        <v>0.0</v>
      </c>
      <c r="D61" s="152">
        <v>0.0</v>
      </c>
      <c r="E61" s="152">
        <v>0.0</v>
      </c>
      <c r="F61" s="152">
        <v>0.0</v>
      </c>
      <c r="G61" s="152">
        <v>0.0</v>
      </c>
      <c r="H61" s="152">
        <v>0.0</v>
      </c>
      <c r="I61" s="152">
        <v>0.0</v>
      </c>
      <c r="J61" s="152">
        <v>0.0</v>
      </c>
      <c r="K61" s="152">
        <v>0.0</v>
      </c>
      <c r="L61" s="152">
        <v>0.0</v>
      </c>
      <c r="M61" s="152">
        <v>0.0</v>
      </c>
      <c r="N61" s="152">
        <v>0.0</v>
      </c>
      <c r="O61" s="152">
        <v>0.0</v>
      </c>
      <c r="P61" s="152">
        <v>0.0</v>
      </c>
      <c r="Q61" s="152">
        <v>0.0</v>
      </c>
      <c r="R61" s="152">
        <v>0.0</v>
      </c>
      <c r="S61" s="152">
        <v>0.0</v>
      </c>
      <c r="T61" s="152">
        <v>0.0</v>
      </c>
      <c r="U61" s="152">
        <v>0.0</v>
      </c>
      <c r="V61" s="152">
        <v>0.0</v>
      </c>
      <c r="W61" s="152">
        <v>0.0</v>
      </c>
    </row>
    <row r="62" ht="15.75" customHeight="1">
      <c r="A62" s="152">
        <f t="shared" si="1"/>
        <v>36</v>
      </c>
      <c r="B62" s="155"/>
      <c r="C62" s="152">
        <v>0.0</v>
      </c>
      <c r="D62" s="152">
        <v>0.0</v>
      </c>
      <c r="E62" s="152">
        <v>0.0</v>
      </c>
      <c r="F62" s="152">
        <v>0.0</v>
      </c>
      <c r="G62" s="152">
        <v>0.0</v>
      </c>
      <c r="H62" s="152">
        <v>0.0</v>
      </c>
      <c r="I62" s="152">
        <v>0.0</v>
      </c>
      <c r="J62" s="152">
        <v>0.0</v>
      </c>
      <c r="K62" s="152">
        <v>0.0</v>
      </c>
      <c r="L62" s="152">
        <v>0.0</v>
      </c>
      <c r="M62" s="152">
        <v>0.0</v>
      </c>
      <c r="N62" s="152">
        <v>0.0</v>
      </c>
      <c r="O62" s="152">
        <v>0.0</v>
      </c>
      <c r="P62" s="152">
        <v>0.0</v>
      </c>
      <c r="Q62" s="152">
        <v>0.0</v>
      </c>
      <c r="R62" s="152">
        <v>0.0</v>
      </c>
      <c r="S62" s="152">
        <v>0.0</v>
      </c>
      <c r="T62" s="152">
        <v>0.0</v>
      </c>
      <c r="U62" s="152">
        <v>0.0</v>
      </c>
      <c r="V62" s="152">
        <v>0.0</v>
      </c>
      <c r="W62" s="152">
        <v>0.0</v>
      </c>
    </row>
    <row r="63" ht="15.75" customHeight="1">
      <c r="A63" s="152">
        <f t="shared" si="1"/>
        <v>37</v>
      </c>
      <c r="C63" s="152">
        <v>0.0</v>
      </c>
      <c r="D63" s="152">
        <v>0.0</v>
      </c>
      <c r="E63" s="152">
        <v>0.0</v>
      </c>
      <c r="F63" s="152">
        <v>0.0</v>
      </c>
      <c r="G63" s="152">
        <v>0.0</v>
      </c>
      <c r="H63" s="152">
        <v>0.0</v>
      </c>
      <c r="I63" s="152">
        <v>0.0</v>
      </c>
      <c r="J63" s="152">
        <v>0.0</v>
      </c>
      <c r="K63" s="152">
        <v>0.0</v>
      </c>
      <c r="L63" s="152">
        <v>0.0</v>
      </c>
      <c r="M63" s="152">
        <v>0.0</v>
      </c>
      <c r="N63" s="152">
        <v>0.0</v>
      </c>
      <c r="O63" s="152">
        <v>0.0</v>
      </c>
      <c r="P63" s="152">
        <v>0.0</v>
      </c>
      <c r="Q63" s="152">
        <v>0.0</v>
      </c>
      <c r="R63" s="152">
        <v>0.0</v>
      </c>
      <c r="S63" s="152">
        <v>0.0</v>
      </c>
      <c r="T63" s="152">
        <v>0.0</v>
      </c>
      <c r="U63" s="152">
        <v>0.0</v>
      </c>
      <c r="V63" s="152">
        <v>0.0</v>
      </c>
      <c r="W63" s="152">
        <v>0.0</v>
      </c>
    </row>
    <row r="64" ht="15.75" customHeight="1">
      <c r="A64" s="152">
        <f t="shared" si="1"/>
        <v>38</v>
      </c>
      <c r="B64" s="155"/>
      <c r="C64" s="152">
        <v>0.0</v>
      </c>
      <c r="D64" s="152">
        <v>0.0</v>
      </c>
      <c r="E64" s="152">
        <v>0.0</v>
      </c>
      <c r="F64" s="152">
        <v>0.0</v>
      </c>
      <c r="G64" s="152">
        <v>0.0</v>
      </c>
      <c r="H64" s="152">
        <v>0.0</v>
      </c>
      <c r="I64" s="152">
        <v>0.0</v>
      </c>
      <c r="J64" s="152">
        <v>0.0</v>
      </c>
      <c r="K64" s="152">
        <v>0.0</v>
      </c>
      <c r="L64" s="152">
        <v>0.0</v>
      </c>
      <c r="M64" s="152">
        <v>0.0</v>
      </c>
      <c r="N64" s="152">
        <v>0.0</v>
      </c>
      <c r="O64" s="152">
        <v>0.0</v>
      </c>
      <c r="P64" s="152">
        <v>0.0</v>
      </c>
      <c r="Q64" s="152">
        <v>0.0</v>
      </c>
      <c r="R64" s="152">
        <v>0.0</v>
      </c>
      <c r="S64" s="152">
        <v>0.0</v>
      </c>
      <c r="T64" s="152">
        <v>0.0</v>
      </c>
      <c r="U64" s="152">
        <v>0.0</v>
      </c>
      <c r="V64" s="152">
        <v>0.0</v>
      </c>
      <c r="W64" s="152">
        <v>0.0</v>
      </c>
    </row>
    <row r="65" ht="15.75" customHeight="1">
      <c r="A65" s="152">
        <f t="shared" si="1"/>
        <v>39</v>
      </c>
      <c r="C65" s="152">
        <v>0.0</v>
      </c>
      <c r="D65" s="152">
        <v>0.0</v>
      </c>
      <c r="E65" s="152">
        <v>0.0</v>
      </c>
      <c r="F65" s="152">
        <v>0.0</v>
      </c>
      <c r="G65" s="152">
        <v>0.0</v>
      </c>
      <c r="H65" s="152">
        <v>0.0</v>
      </c>
      <c r="I65" s="152">
        <v>0.0</v>
      </c>
      <c r="J65" s="152">
        <v>0.0</v>
      </c>
      <c r="K65" s="152">
        <v>0.0</v>
      </c>
      <c r="L65" s="152">
        <v>0.0</v>
      </c>
      <c r="M65" s="152">
        <v>0.0</v>
      </c>
      <c r="N65" s="152">
        <v>0.0</v>
      </c>
      <c r="O65" s="152">
        <v>0.0</v>
      </c>
      <c r="P65" s="152">
        <v>0.0</v>
      </c>
      <c r="Q65" s="152">
        <v>0.0</v>
      </c>
      <c r="R65" s="152">
        <v>0.0</v>
      </c>
      <c r="S65" s="152">
        <v>0.0</v>
      </c>
      <c r="T65" s="152">
        <v>0.0</v>
      </c>
      <c r="U65" s="152">
        <v>0.0</v>
      </c>
      <c r="V65" s="152">
        <v>0.0</v>
      </c>
      <c r="W65" s="152">
        <v>0.0</v>
      </c>
    </row>
    <row r="66" ht="15.75" customHeight="1">
      <c r="A66" s="152">
        <f t="shared" si="1"/>
        <v>40</v>
      </c>
      <c r="B66" s="155"/>
      <c r="C66" s="152">
        <v>0.0</v>
      </c>
      <c r="D66" s="152">
        <v>0.0</v>
      </c>
      <c r="E66" s="152">
        <v>0.0</v>
      </c>
      <c r="F66" s="152">
        <v>0.0</v>
      </c>
      <c r="G66" s="152">
        <v>0.0</v>
      </c>
      <c r="H66" s="152">
        <v>0.0</v>
      </c>
      <c r="I66" s="152">
        <v>0.0</v>
      </c>
      <c r="J66" s="152">
        <v>0.0</v>
      </c>
      <c r="K66" s="152">
        <v>0.0</v>
      </c>
      <c r="L66" s="152">
        <v>0.0</v>
      </c>
      <c r="M66" s="152">
        <v>0.0</v>
      </c>
      <c r="N66" s="152">
        <v>0.0</v>
      </c>
      <c r="O66" s="152">
        <v>0.0</v>
      </c>
      <c r="P66" s="152">
        <v>0.0</v>
      </c>
      <c r="Q66" s="152">
        <v>0.0</v>
      </c>
      <c r="R66" s="152">
        <v>0.0</v>
      </c>
      <c r="S66" s="152">
        <v>0.0</v>
      </c>
      <c r="T66" s="152">
        <v>0.0</v>
      </c>
      <c r="U66" s="152">
        <v>0.0</v>
      </c>
      <c r="V66" s="152">
        <v>0.0</v>
      </c>
      <c r="W66" s="152">
        <v>0.0</v>
      </c>
    </row>
    <row r="67" ht="15.75" customHeight="1">
      <c r="A67" s="152">
        <f t="shared" si="1"/>
        <v>41</v>
      </c>
      <c r="C67" s="152">
        <v>0.0</v>
      </c>
      <c r="D67" s="152">
        <v>0.0</v>
      </c>
      <c r="E67" s="152">
        <v>0.0</v>
      </c>
      <c r="F67" s="152">
        <v>0.0</v>
      </c>
      <c r="G67" s="152">
        <v>0.0</v>
      </c>
      <c r="H67" s="152">
        <v>0.0</v>
      </c>
      <c r="I67" s="152">
        <v>0.0</v>
      </c>
      <c r="J67" s="152">
        <v>0.0</v>
      </c>
      <c r="K67" s="152">
        <v>0.0</v>
      </c>
      <c r="L67" s="152">
        <v>0.0</v>
      </c>
      <c r="M67" s="152">
        <v>0.0</v>
      </c>
      <c r="N67" s="152">
        <v>0.0</v>
      </c>
      <c r="O67" s="152">
        <v>0.0</v>
      </c>
      <c r="P67" s="152">
        <v>0.0</v>
      </c>
      <c r="Q67" s="152">
        <v>0.0</v>
      </c>
      <c r="R67" s="152">
        <v>0.0</v>
      </c>
      <c r="S67" s="152">
        <v>0.0</v>
      </c>
      <c r="T67" s="152">
        <v>0.0</v>
      </c>
      <c r="U67" s="152">
        <v>0.0</v>
      </c>
      <c r="V67" s="152">
        <v>0.0</v>
      </c>
      <c r="W67" s="152">
        <v>0.0</v>
      </c>
    </row>
    <row r="68" ht="15.75" customHeight="1">
      <c r="A68" s="152">
        <f t="shared" si="1"/>
        <v>42</v>
      </c>
      <c r="B68" s="155"/>
      <c r="C68" s="152">
        <v>0.0</v>
      </c>
      <c r="D68" s="152">
        <v>0.0</v>
      </c>
      <c r="E68" s="152">
        <v>0.0</v>
      </c>
      <c r="F68" s="152">
        <v>0.0</v>
      </c>
      <c r="G68" s="152">
        <v>0.0</v>
      </c>
      <c r="H68" s="152">
        <v>0.0</v>
      </c>
      <c r="I68" s="152">
        <v>0.0</v>
      </c>
      <c r="J68" s="152">
        <v>0.0</v>
      </c>
      <c r="K68" s="152">
        <v>0.0</v>
      </c>
      <c r="L68" s="152">
        <v>0.0</v>
      </c>
      <c r="M68" s="152">
        <v>0.0</v>
      </c>
      <c r="N68" s="152">
        <v>0.0</v>
      </c>
      <c r="O68" s="152">
        <v>0.0</v>
      </c>
      <c r="P68" s="152">
        <v>0.0</v>
      </c>
      <c r="Q68" s="152">
        <v>0.0</v>
      </c>
      <c r="R68" s="152">
        <v>0.0</v>
      </c>
      <c r="S68" s="152">
        <v>0.0</v>
      </c>
      <c r="T68" s="152">
        <v>0.0</v>
      </c>
      <c r="U68" s="152">
        <v>0.0</v>
      </c>
      <c r="V68" s="152">
        <v>0.0</v>
      </c>
      <c r="W68" s="152">
        <v>0.0</v>
      </c>
    </row>
    <row r="69" ht="15.75" customHeight="1">
      <c r="A69" s="152">
        <f t="shared" si="1"/>
        <v>43</v>
      </c>
      <c r="C69" s="152">
        <v>0.0</v>
      </c>
      <c r="D69" s="152">
        <v>0.0</v>
      </c>
      <c r="E69" s="152">
        <v>0.0</v>
      </c>
      <c r="F69" s="152">
        <v>0.0</v>
      </c>
      <c r="G69" s="152">
        <v>0.0</v>
      </c>
      <c r="H69" s="152">
        <v>0.0</v>
      </c>
      <c r="I69" s="152">
        <v>0.0</v>
      </c>
      <c r="J69" s="152">
        <v>0.0</v>
      </c>
      <c r="K69" s="152">
        <v>0.0</v>
      </c>
      <c r="L69" s="152">
        <v>0.0</v>
      </c>
      <c r="M69" s="152">
        <v>0.0</v>
      </c>
      <c r="N69" s="152">
        <v>0.0</v>
      </c>
      <c r="O69" s="152">
        <v>0.0</v>
      </c>
      <c r="P69" s="152">
        <v>0.0</v>
      </c>
      <c r="Q69" s="152">
        <v>0.0</v>
      </c>
      <c r="R69" s="152">
        <v>0.0</v>
      </c>
      <c r="S69" s="152">
        <v>0.0</v>
      </c>
      <c r="T69" s="152">
        <v>0.0</v>
      </c>
      <c r="U69" s="152">
        <v>0.0</v>
      </c>
      <c r="V69" s="152">
        <v>0.0</v>
      </c>
      <c r="W69" s="152">
        <v>0.0</v>
      </c>
    </row>
    <row r="70" ht="15.75" customHeight="1">
      <c r="A70" s="152">
        <f t="shared" si="1"/>
        <v>44</v>
      </c>
      <c r="B70" s="155"/>
      <c r="C70" s="152">
        <v>0.0</v>
      </c>
      <c r="D70" s="152">
        <v>0.0</v>
      </c>
      <c r="E70" s="152">
        <v>0.0</v>
      </c>
      <c r="F70" s="152">
        <v>0.0</v>
      </c>
      <c r="G70" s="152">
        <v>0.0</v>
      </c>
      <c r="H70" s="152">
        <v>0.0</v>
      </c>
      <c r="I70" s="152">
        <v>0.0</v>
      </c>
      <c r="J70" s="152">
        <v>0.0</v>
      </c>
      <c r="K70" s="152">
        <v>0.0</v>
      </c>
      <c r="L70" s="152">
        <v>0.0</v>
      </c>
      <c r="M70" s="152">
        <v>0.0</v>
      </c>
      <c r="N70" s="152">
        <v>0.0</v>
      </c>
      <c r="O70" s="152">
        <v>0.0</v>
      </c>
      <c r="P70" s="152">
        <v>0.0</v>
      </c>
      <c r="Q70" s="152">
        <v>0.0</v>
      </c>
      <c r="R70" s="152">
        <v>0.0</v>
      </c>
      <c r="S70" s="152">
        <v>0.0</v>
      </c>
      <c r="T70" s="152">
        <v>0.0</v>
      </c>
      <c r="U70" s="152">
        <v>0.0</v>
      </c>
      <c r="V70" s="152">
        <v>0.0</v>
      </c>
      <c r="W70" s="152">
        <v>0.0</v>
      </c>
    </row>
    <row r="71" ht="15.75" customHeight="1">
      <c r="A71" s="152">
        <f t="shared" si="1"/>
        <v>45</v>
      </c>
      <c r="C71" s="152">
        <v>0.0</v>
      </c>
      <c r="D71" s="152">
        <v>0.0</v>
      </c>
      <c r="E71" s="152">
        <v>0.0</v>
      </c>
      <c r="F71" s="152">
        <v>0.0</v>
      </c>
      <c r="G71" s="152">
        <v>0.0</v>
      </c>
      <c r="H71" s="152">
        <v>0.0</v>
      </c>
      <c r="I71" s="152">
        <v>0.0</v>
      </c>
      <c r="J71" s="152">
        <v>0.0</v>
      </c>
      <c r="K71" s="152">
        <v>0.0</v>
      </c>
      <c r="L71" s="152">
        <v>0.0</v>
      </c>
      <c r="M71" s="152">
        <v>0.0</v>
      </c>
      <c r="N71" s="152">
        <v>0.0</v>
      </c>
      <c r="O71" s="152">
        <v>0.0</v>
      </c>
      <c r="P71" s="152">
        <v>0.0</v>
      </c>
      <c r="Q71" s="152">
        <v>0.0</v>
      </c>
      <c r="R71" s="152">
        <v>0.0</v>
      </c>
      <c r="S71" s="152">
        <v>0.0</v>
      </c>
      <c r="T71" s="152">
        <v>0.0</v>
      </c>
      <c r="U71" s="152">
        <v>0.0</v>
      </c>
      <c r="V71" s="152">
        <v>0.0</v>
      </c>
      <c r="W71" s="152">
        <v>0.0</v>
      </c>
    </row>
    <row r="72" ht="15.75" customHeight="1">
      <c r="A72" s="152">
        <f t="shared" si="1"/>
        <v>46</v>
      </c>
      <c r="B72" s="155"/>
      <c r="C72" s="152">
        <v>0.0</v>
      </c>
      <c r="D72" s="152">
        <v>0.0</v>
      </c>
      <c r="E72" s="152">
        <v>0.0</v>
      </c>
      <c r="F72" s="152">
        <v>0.0</v>
      </c>
      <c r="G72" s="152">
        <v>0.0</v>
      </c>
      <c r="H72" s="152">
        <v>0.0</v>
      </c>
      <c r="I72" s="152">
        <v>0.0</v>
      </c>
      <c r="J72" s="152">
        <v>0.0</v>
      </c>
      <c r="K72" s="152">
        <v>0.0</v>
      </c>
      <c r="L72" s="152">
        <v>0.0</v>
      </c>
      <c r="M72" s="152">
        <v>0.0</v>
      </c>
      <c r="N72" s="152">
        <v>0.0</v>
      </c>
      <c r="O72" s="152">
        <v>0.0</v>
      </c>
      <c r="P72" s="152">
        <v>0.0</v>
      </c>
      <c r="Q72" s="152">
        <v>0.0</v>
      </c>
      <c r="R72" s="152">
        <v>0.0</v>
      </c>
      <c r="S72" s="152">
        <v>0.0</v>
      </c>
      <c r="T72" s="152">
        <v>0.0</v>
      </c>
      <c r="U72" s="152">
        <v>0.0</v>
      </c>
      <c r="V72" s="152">
        <v>0.0</v>
      </c>
      <c r="W72" s="152">
        <v>0.0</v>
      </c>
    </row>
    <row r="73" ht="15.75" customHeight="1">
      <c r="A73" s="152">
        <f t="shared" si="1"/>
        <v>47</v>
      </c>
      <c r="C73" s="152">
        <v>0.0</v>
      </c>
      <c r="D73" s="152">
        <v>0.0</v>
      </c>
      <c r="E73" s="152">
        <v>0.0</v>
      </c>
      <c r="F73" s="152">
        <v>0.0</v>
      </c>
      <c r="G73" s="152">
        <v>0.0</v>
      </c>
      <c r="H73" s="152">
        <v>0.0</v>
      </c>
      <c r="I73" s="152">
        <v>0.0</v>
      </c>
      <c r="J73" s="152">
        <v>0.0</v>
      </c>
      <c r="K73" s="152">
        <v>0.0</v>
      </c>
      <c r="L73" s="152">
        <v>0.0</v>
      </c>
      <c r="M73" s="152">
        <v>0.0</v>
      </c>
      <c r="N73" s="152">
        <v>0.0</v>
      </c>
      <c r="O73" s="152">
        <v>0.0</v>
      </c>
      <c r="P73" s="152">
        <v>0.0</v>
      </c>
      <c r="Q73" s="152">
        <v>0.0</v>
      </c>
      <c r="R73" s="152">
        <v>0.0</v>
      </c>
      <c r="S73" s="152">
        <v>0.0</v>
      </c>
      <c r="T73" s="152">
        <v>0.0</v>
      </c>
      <c r="U73" s="152">
        <v>0.0</v>
      </c>
      <c r="V73" s="152">
        <v>0.0</v>
      </c>
      <c r="W73" s="152">
        <v>0.0</v>
      </c>
    </row>
    <row r="74" ht="15.75" customHeight="1">
      <c r="A74" s="152">
        <f t="shared" si="1"/>
        <v>48</v>
      </c>
      <c r="B74" s="155"/>
      <c r="C74" s="152">
        <v>0.0</v>
      </c>
      <c r="D74" s="152">
        <v>0.0</v>
      </c>
      <c r="E74" s="152">
        <v>0.0</v>
      </c>
      <c r="F74" s="152">
        <v>0.0</v>
      </c>
      <c r="G74" s="152">
        <v>0.0</v>
      </c>
      <c r="H74" s="152">
        <v>0.0</v>
      </c>
      <c r="I74" s="152">
        <v>0.0</v>
      </c>
      <c r="J74" s="152">
        <v>0.0</v>
      </c>
      <c r="K74" s="152">
        <v>0.0</v>
      </c>
      <c r="L74" s="152">
        <v>0.0</v>
      </c>
      <c r="M74" s="152">
        <v>0.0</v>
      </c>
      <c r="N74" s="152">
        <v>0.0</v>
      </c>
      <c r="O74" s="152">
        <v>0.0</v>
      </c>
      <c r="P74" s="152">
        <v>0.0</v>
      </c>
      <c r="Q74" s="152">
        <v>0.0</v>
      </c>
      <c r="R74" s="152">
        <v>0.0</v>
      </c>
      <c r="S74" s="152">
        <v>0.0</v>
      </c>
      <c r="T74" s="152">
        <v>0.0</v>
      </c>
      <c r="U74" s="152">
        <v>0.0</v>
      </c>
      <c r="V74" s="152">
        <v>0.0</v>
      </c>
      <c r="W74" s="152">
        <v>0.0</v>
      </c>
    </row>
    <row r="75" ht="15.75" customHeight="1">
      <c r="A75" s="152">
        <f t="shared" si="1"/>
        <v>49</v>
      </c>
      <c r="C75" s="152">
        <v>0.0</v>
      </c>
      <c r="D75" s="152">
        <v>0.0</v>
      </c>
      <c r="E75" s="152">
        <v>0.0</v>
      </c>
      <c r="F75" s="152">
        <v>0.0</v>
      </c>
      <c r="G75" s="152">
        <v>0.0</v>
      </c>
      <c r="H75" s="152">
        <v>0.0</v>
      </c>
      <c r="I75" s="152">
        <v>0.0</v>
      </c>
      <c r="J75" s="152">
        <v>0.0</v>
      </c>
      <c r="K75" s="152">
        <v>0.0</v>
      </c>
      <c r="L75" s="152">
        <v>0.0</v>
      </c>
      <c r="M75" s="152">
        <v>0.0</v>
      </c>
      <c r="N75" s="152">
        <v>0.0</v>
      </c>
      <c r="O75" s="152">
        <v>0.0</v>
      </c>
      <c r="P75" s="152">
        <v>0.0</v>
      </c>
      <c r="Q75" s="152">
        <v>0.0</v>
      </c>
      <c r="R75" s="152">
        <v>0.0</v>
      </c>
      <c r="S75" s="152">
        <v>0.0</v>
      </c>
      <c r="T75" s="152">
        <v>0.0</v>
      </c>
      <c r="U75" s="152">
        <v>0.0</v>
      </c>
      <c r="V75" s="152">
        <v>0.0</v>
      </c>
      <c r="W75" s="152">
        <v>0.0</v>
      </c>
    </row>
    <row r="76" ht="15.75" customHeight="1">
      <c r="A76" s="152">
        <f t="shared" si="1"/>
        <v>50</v>
      </c>
      <c r="B76" s="155"/>
      <c r="C76" s="152">
        <v>0.0</v>
      </c>
      <c r="D76" s="152">
        <v>0.0</v>
      </c>
      <c r="E76" s="152">
        <v>0.0</v>
      </c>
      <c r="F76" s="152">
        <v>0.0</v>
      </c>
      <c r="G76" s="152">
        <v>0.0</v>
      </c>
      <c r="H76" s="152">
        <v>0.0</v>
      </c>
      <c r="I76" s="152">
        <v>0.0</v>
      </c>
      <c r="J76" s="152">
        <v>0.0</v>
      </c>
      <c r="K76" s="152">
        <v>0.0</v>
      </c>
      <c r="L76" s="152">
        <v>0.0</v>
      </c>
      <c r="M76" s="152">
        <v>0.0</v>
      </c>
      <c r="N76" s="152">
        <v>0.0</v>
      </c>
      <c r="O76" s="152">
        <v>0.0</v>
      </c>
      <c r="P76" s="152">
        <v>0.0</v>
      </c>
      <c r="Q76" s="152">
        <v>0.0</v>
      </c>
      <c r="R76" s="152">
        <v>0.0</v>
      </c>
      <c r="S76" s="152">
        <v>0.0</v>
      </c>
      <c r="T76" s="152">
        <v>0.0</v>
      </c>
      <c r="U76" s="152">
        <v>0.0</v>
      </c>
      <c r="V76" s="152">
        <v>0.0</v>
      </c>
      <c r="W76" s="152">
        <v>0.0</v>
      </c>
    </row>
    <row r="77" ht="15.75" customHeight="1">
      <c r="A77" s="152">
        <f t="shared" si="1"/>
        <v>51</v>
      </c>
      <c r="C77" s="152">
        <v>0.0</v>
      </c>
      <c r="D77" s="152">
        <v>0.0</v>
      </c>
      <c r="E77" s="152">
        <v>0.0</v>
      </c>
      <c r="F77" s="152">
        <v>0.0</v>
      </c>
      <c r="G77" s="152">
        <v>0.0</v>
      </c>
      <c r="H77" s="152">
        <v>0.0</v>
      </c>
      <c r="I77" s="152">
        <v>0.0</v>
      </c>
      <c r="J77" s="152">
        <v>0.0</v>
      </c>
      <c r="K77" s="152">
        <v>0.0</v>
      </c>
      <c r="L77" s="152">
        <v>0.0</v>
      </c>
      <c r="M77" s="152">
        <v>0.0</v>
      </c>
      <c r="N77" s="152">
        <v>0.0</v>
      </c>
      <c r="O77" s="152">
        <v>0.0</v>
      </c>
      <c r="P77" s="152">
        <v>0.0</v>
      </c>
      <c r="Q77" s="152">
        <v>0.0</v>
      </c>
      <c r="R77" s="152">
        <v>0.0</v>
      </c>
      <c r="S77" s="152">
        <v>0.0</v>
      </c>
      <c r="T77" s="152">
        <v>0.0</v>
      </c>
      <c r="U77" s="152">
        <v>0.0</v>
      </c>
      <c r="V77" s="152">
        <v>0.0</v>
      </c>
      <c r="W77" s="152">
        <v>0.0</v>
      </c>
    </row>
    <row r="78" ht="15.75" customHeight="1">
      <c r="A78" s="152">
        <f t="shared" si="1"/>
        <v>52</v>
      </c>
      <c r="B78" s="155"/>
      <c r="C78" s="152">
        <v>0.0</v>
      </c>
      <c r="D78" s="152">
        <v>0.0</v>
      </c>
      <c r="E78" s="152">
        <v>0.0</v>
      </c>
      <c r="F78" s="152">
        <v>0.0</v>
      </c>
      <c r="G78" s="152">
        <v>0.0</v>
      </c>
      <c r="H78" s="152">
        <v>0.0</v>
      </c>
      <c r="I78" s="152">
        <v>0.0</v>
      </c>
      <c r="J78" s="152">
        <v>0.0</v>
      </c>
      <c r="K78" s="152">
        <v>0.0</v>
      </c>
      <c r="L78" s="152">
        <v>0.0</v>
      </c>
      <c r="M78" s="152">
        <v>0.0</v>
      </c>
      <c r="N78" s="152">
        <v>0.0</v>
      </c>
      <c r="O78" s="152">
        <v>0.0</v>
      </c>
      <c r="P78" s="152">
        <v>0.0</v>
      </c>
      <c r="Q78" s="152">
        <v>0.0</v>
      </c>
      <c r="R78" s="152">
        <v>0.0</v>
      </c>
      <c r="S78" s="152">
        <v>0.0</v>
      </c>
      <c r="T78" s="152">
        <v>0.0</v>
      </c>
      <c r="U78" s="152">
        <v>0.0</v>
      </c>
      <c r="V78" s="152">
        <v>0.0</v>
      </c>
      <c r="W78" s="152">
        <v>0.0</v>
      </c>
    </row>
    <row r="79" ht="15.75" customHeight="1">
      <c r="A79" s="152">
        <f t="shared" si="1"/>
        <v>53</v>
      </c>
      <c r="C79" s="152">
        <v>0.0</v>
      </c>
      <c r="D79" s="152">
        <v>0.0</v>
      </c>
      <c r="E79" s="152">
        <v>0.0</v>
      </c>
      <c r="F79" s="152">
        <v>0.0</v>
      </c>
      <c r="G79" s="152">
        <v>0.0</v>
      </c>
      <c r="H79" s="152">
        <v>0.0</v>
      </c>
      <c r="I79" s="152">
        <v>0.0</v>
      </c>
      <c r="J79" s="152">
        <v>0.0</v>
      </c>
      <c r="K79" s="152">
        <v>0.0</v>
      </c>
      <c r="L79" s="152">
        <v>0.0</v>
      </c>
      <c r="M79" s="152">
        <v>0.0</v>
      </c>
      <c r="N79" s="152">
        <v>0.0</v>
      </c>
      <c r="O79" s="152">
        <v>0.0</v>
      </c>
      <c r="P79" s="152">
        <v>0.0</v>
      </c>
      <c r="Q79" s="152">
        <v>0.0</v>
      </c>
      <c r="R79" s="152">
        <v>0.0</v>
      </c>
      <c r="S79" s="152">
        <v>0.0</v>
      </c>
      <c r="T79" s="152">
        <v>0.0</v>
      </c>
      <c r="U79" s="152">
        <v>0.0</v>
      </c>
      <c r="V79" s="152">
        <v>0.0</v>
      </c>
      <c r="W79" s="152">
        <v>0.0</v>
      </c>
    </row>
    <row r="80" ht="15.75" customHeight="1">
      <c r="A80" s="152">
        <f t="shared" si="1"/>
        <v>54</v>
      </c>
      <c r="B80" s="155"/>
      <c r="C80" s="152">
        <v>0.0</v>
      </c>
      <c r="D80" s="152">
        <v>0.0</v>
      </c>
      <c r="E80" s="152">
        <v>0.0</v>
      </c>
      <c r="F80" s="152">
        <v>0.0</v>
      </c>
      <c r="G80" s="152">
        <v>0.0</v>
      </c>
      <c r="H80" s="152">
        <v>0.0</v>
      </c>
      <c r="I80" s="152">
        <v>0.0</v>
      </c>
      <c r="J80" s="152">
        <v>0.0</v>
      </c>
      <c r="K80" s="152">
        <v>0.0</v>
      </c>
      <c r="L80" s="152">
        <v>0.0</v>
      </c>
      <c r="M80" s="152">
        <v>0.0</v>
      </c>
      <c r="N80" s="152">
        <v>0.0</v>
      </c>
      <c r="O80" s="152">
        <v>0.0</v>
      </c>
      <c r="P80" s="152">
        <v>0.0</v>
      </c>
      <c r="Q80" s="152">
        <v>0.0</v>
      </c>
      <c r="R80" s="152">
        <v>0.0</v>
      </c>
      <c r="S80" s="152">
        <v>0.0</v>
      </c>
      <c r="T80" s="152">
        <v>0.0</v>
      </c>
      <c r="U80" s="152">
        <v>0.0</v>
      </c>
      <c r="V80" s="152">
        <v>0.0</v>
      </c>
      <c r="W80" s="152">
        <v>0.0</v>
      </c>
    </row>
    <row r="81" ht="15.75" customHeight="1">
      <c r="A81" s="152">
        <f t="shared" si="1"/>
        <v>55</v>
      </c>
      <c r="C81" s="152">
        <v>0.0</v>
      </c>
      <c r="D81" s="152">
        <v>0.0</v>
      </c>
      <c r="E81" s="152">
        <v>0.0</v>
      </c>
      <c r="F81" s="152">
        <v>0.0</v>
      </c>
      <c r="G81" s="152">
        <v>0.0</v>
      </c>
      <c r="H81" s="152">
        <v>0.0</v>
      </c>
      <c r="I81" s="152">
        <v>0.0</v>
      </c>
      <c r="J81" s="152">
        <v>0.0</v>
      </c>
      <c r="K81" s="152">
        <v>0.0</v>
      </c>
      <c r="L81" s="152">
        <v>0.0</v>
      </c>
      <c r="M81" s="152">
        <v>0.0</v>
      </c>
      <c r="N81" s="152">
        <v>0.0</v>
      </c>
      <c r="O81" s="152">
        <v>0.0</v>
      </c>
      <c r="P81" s="152">
        <v>0.0</v>
      </c>
      <c r="Q81" s="152">
        <v>0.0</v>
      </c>
      <c r="R81" s="152">
        <v>0.0</v>
      </c>
      <c r="S81" s="152">
        <v>0.0</v>
      </c>
      <c r="T81" s="152">
        <v>0.0</v>
      </c>
      <c r="U81" s="152">
        <v>0.0</v>
      </c>
      <c r="V81" s="152">
        <v>0.0</v>
      </c>
      <c r="W81" s="152">
        <v>0.0</v>
      </c>
    </row>
    <row r="82" ht="15.75" customHeight="1">
      <c r="A82" s="152">
        <f t="shared" si="1"/>
        <v>56</v>
      </c>
      <c r="B82" s="155"/>
      <c r="C82" s="152">
        <v>0.0</v>
      </c>
      <c r="D82" s="152">
        <v>0.0</v>
      </c>
      <c r="E82" s="152">
        <v>0.0</v>
      </c>
      <c r="F82" s="152">
        <v>0.0</v>
      </c>
      <c r="G82" s="152">
        <v>0.0</v>
      </c>
      <c r="H82" s="152">
        <v>0.0</v>
      </c>
      <c r="I82" s="152">
        <v>0.0</v>
      </c>
      <c r="J82" s="152">
        <v>0.0</v>
      </c>
      <c r="K82" s="152">
        <v>0.0</v>
      </c>
      <c r="L82" s="152">
        <v>0.0</v>
      </c>
      <c r="M82" s="152">
        <v>0.0</v>
      </c>
      <c r="N82" s="152">
        <v>0.0</v>
      </c>
      <c r="O82" s="152">
        <v>0.0</v>
      </c>
      <c r="P82" s="152">
        <v>0.0</v>
      </c>
      <c r="Q82" s="152">
        <v>0.0</v>
      </c>
      <c r="R82" s="152">
        <v>0.0</v>
      </c>
      <c r="S82" s="152">
        <v>0.0</v>
      </c>
      <c r="T82" s="152">
        <v>0.0</v>
      </c>
      <c r="U82" s="152">
        <v>0.0</v>
      </c>
      <c r="V82" s="152">
        <v>0.0</v>
      </c>
      <c r="W82" s="152">
        <v>0.0</v>
      </c>
    </row>
    <row r="83" ht="15.75" customHeight="1">
      <c r="A83" s="152">
        <f t="shared" si="1"/>
        <v>57</v>
      </c>
      <c r="C83" s="152">
        <v>0.0</v>
      </c>
      <c r="D83" s="152">
        <v>0.0</v>
      </c>
      <c r="E83" s="152">
        <v>0.0</v>
      </c>
      <c r="F83" s="152">
        <v>0.0</v>
      </c>
      <c r="G83" s="152">
        <v>0.0</v>
      </c>
      <c r="H83" s="152">
        <v>0.0</v>
      </c>
      <c r="I83" s="152">
        <v>0.0</v>
      </c>
      <c r="J83" s="152">
        <v>0.0</v>
      </c>
      <c r="K83" s="152">
        <v>0.0</v>
      </c>
      <c r="L83" s="152">
        <v>0.0</v>
      </c>
      <c r="M83" s="152">
        <v>0.0</v>
      </c>
      <c r="N83" s="152">
        <v>0.0</v>
      </c>
      <c r="O83" s="152">
        <v>0.0</v>
      </c>
      <c r="P83" s="152">
        <v>0.0</v>
      </c>
      <c r="Q83" s="152">
        <v>0.0</v>
      </c>
      <c r="R83" s="152">
        <v>0.0</v>
      </c>
      <c r="S83" s="152">
        <v>0.0</v>
      </c>
      <c r="T83" s="152">
        <v>0.0</v>
      </c>
      <c r="U83" s="152">
        <v>0.0</v>
      </c>
      <c r="V83" s="152">
        <v>0.0</v>
      </c>
      <c r="W83" s="152">
        <v>0.0</v>
      </c>
    </row>
    <row r="84" ht="15.75" customHeight="1">
      <c r="A84" s="152">
        <f t="shared" si="1"/>
        <v>58</v>
      </c>
      <c r="B84" s="155"/>
      <c r="C84" s="152">
        <v>0.0</v>
      </c>
      <c r="D84" s="152">
        <v>0.0</v>
      </c>
      <c r="E84" s="152">
        <v>0.0</v>
      </c>
      <c r="F84" s="152">
        <v>0.0</v>
      </c>
      <c r="G84" s="152">
        <v>0.0</v>
      </c>
      <c r="H84" s="152">
        <v>0.0</v>
      </c>
      <c r="I84" s="152">
        <v>0.0</v>
      </c>
      <c r="J84" s="152">
        <v>0.0</v>
      </c>
      <c r="K84" s="152">
        <v>0.0</v>
      </c>
      <c r="L84" s="152">
        <v>0.0</v>
      </c>
      <c r="M84" s="152">
        <v>0.0</v>
      </c>
      <c r="N84" s="152">
        <v>0.0</v>
      </c>
      <c r="O84" s="152">
        <v>0.0</v>
      </c>
      <c r="P84" s="152">
        <v>0.0</v>
      </c>
      <c r="Q84" s="152">
        <v>0.0</v>
      </c>
      <c r="R84" s="152">
        <v>0.0</v>
      </c>
      <c r="S84" s="152">
        <v>0.0</v>
      </c>
      <c r="T84" s="152">
        <v>0.0</v>
      </c>
      <c r="U84" s="152">
        <v>0.0</v>
      </c>
      <c r="V84" s="152">
        <v>0.0</v>
      </c>
      <c r="W84" s="152">
        <v>0.0</v>
      </c>
    </row>
    <row r="85" ht="15.75" customHeight="1">
      <c r="A85" s="152">
        <f t="shared" si="1"/>
        <v>59</v>
      </c>
      <c r="C85" s="152">
        <v>0.0</v>
      </c>
      <c r="D85" s="152">
        <v>0.0</v>
      </c>
      <c r="E85" s="152">
        <v>0.0</v>
      </c>
      <c r="F85" s="152">
        <v>0.0</v>
      </c>
      <c r="G85" s="152">
        <v>0.0</v>
      </c>
      <c r="H85" s="152">
        <v>0.0</v>
      </c>
      <c r="I85" s="152">
        <v>0.0</v>
      </c>
      <c r="J85" s="152">
        <v>0.0</v>
      </c>
      <c r="K85" s="152">
        <v>0.0</v>
      </c>
      <c r="L85" s="152">
        <v>0.0</v>
      </c>
      <c r="M85" s="152">
        <v>0.0</v>
      </c>
      <c r="N85" s="152">
        <v>0.0</v>
      </c>
      <c r="O85" s="152">
        <v>0.0</v>
      </c>
      <c r="P85" s="152">
        <v>0.0</v>
      </c>
      <c r="Q85" s="152">
        <v>0.0</v>
      </c>
      <c r="R85" s="152">
        <v>0.0</v>
      </c>
      <c r="S85" s="152">
        <v>0.0</v>
      </c>
      <c r="T85" s="152">
        <v>0.0</v>
      </c>
      <c r="U85" s="152">
        <v>0.0</v>
      </c>
      <c r="V85" s="152">
        <v>0.0</v>
      </c>
      <c r="W85" s="152">
        <v>0.0</v>
      </c>
    </row>
    <row r="86" ht="15.75" customHeight="1">
      <c r="A86" s="152">
        <f t="shared" si="1"/>
        <v>60</v>
      </c>
      <c r="B86" s="155"/>
      <c r="C86" s="152">
        <v>0.0</v>
      </c>
      <c r="D86" s="152">
        <v>0.0</v>
      </c>
      <c r="E86" s="152">
        <v>0.0</v>
      </c>
      <c r="F86" s="152">
        <v>0.0</v>
      </c>
      <c r="G86" s="152">
        <v>0.0</v>
      </c>
      <c r="H86" s="152">
        <v>0.0</v>
      </c>
      <c r="I86" s="152">
        <v>0.0</v>
      </c>
      <c r="J86" s="152">
        <v>0.0</v>
      </c>
      <c r="K86" s="152">
        <v>0.0</v>
      </c>
      <c r="L86" s="152">
        <v>0.0</v>
      </c>
      <c r="M86" s="152">
        <v>0.0</v>
      </c>
      <c r="N86" s="152">
        <v>0.0</v>
      </c>
      <c r="O86" s="152">
        <v>0.0</v>
      </c>
      <c r="P86" s="152">
        <v>0.0</v>
      </c>
      <c r="Q86" s="152">
        <v>0.0</v>
      </c>
      <c r="R86" s="152">
        <v>0.0</v>
      </c>
      <c r="S86" s="152">
        <v>0.0</v>
      </c>
      <c r="T86" s="152">
        <v>0.0</v>
      </c>
      <c r="U86" s="152">
        <v>0.0</v>
      </c>
      <c r="V86" s="152">
        <v>0.0</v>
      </c>
      <c r="W86" s="152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1" priority="1" stopIfTrue="1" operator="greaterThan">
      <formula>0</formula>
    </cfRule>
  </conditionalFormatting>
  <conditionalFormatting sqref="B27:W86">
    <cfRule type="cellIs" dxfId="1" priority="2" stopIfTrue="1" operator="greaterThan">
      <formula>0</formula>
    </cfRule>
  </conditionalFormatting>
  <conditionalFormatting sqref="A27:W86">
    <cfRule type="expression" dxfId="2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" t="s">
        <v>192</v>
      </c>
      <c r="G1" s="157"/>
    </row>
    <row r="2" ht="19.5" customHeight="1">
      <c r="A2" s="92" t="s">
        <v>88</v>
      </c>
      <c r="B2" s="92"/>
      <c r="C2" s="92"/>
      <c r="D2" s="92"/>
      <c r="E2" s="92"/>
      <c r="F2" s="92"/>
      <c r="G2" s="158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</row>
    <row r="3">
      <c r="A3" s="125" t="s">
        <v>193</v>
      </c>
      <c r="B3" s="126">
        <v>5.0</v>
      </c>
      <c r="G3" s="157"/>
    </row>
    <row r="4">
      <c r="A4" s="125" t="s">
        <v>194</v>
      </c>
      <c r="B4" s="126">
        <v>3.0</v>
      </c>
      <c r="G4" s="157"/>
    </row>
    <row r="5">
      <c r="A5" s="125" t="s">
        <v>195</v>
      </c>
      <c r="B5" s="126">
        <v>1.0</v>
      </c>
      <c r="G5" s="157"/>
    </row>
    <row r="6">
      <c r="G6" s="157"/>
    </row>
    <row r="7" ht="19.5" customHeight="1">
      <c r="A7" s="159" t="s">
        <v>90</v>
      </c>
      <c r="B7" s="159"/>
      <c r="C7" s="159"/>
      <c r="D7" s="159"/>
      <c r="E7" s="159"/>
      <c r="F7" s="159"/>
      <c r="G7" s="160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</row>
    <row r="8" ht="17.25" customHeight="1">
      <c r="A8" s="161" t="s">
        <v>51</v>
      </c>
      <c r="B8" s="162"/>
      <c r="C8" s="162"/>
      <c r="D8" s="162"/>
      <c r="E8" s="162"/>
      <c r="F8" s="162"/>
      <c r="G8" s="163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</row>
    <row r="9" ht="90.0" customHeight="1">
      <c r="A9" s="164" t="s">
        <v>117</v>
      </c>
      <c r="B9" s="164" t="s">
        <v>131</v>
      </c>
      <c r="C9" s="164" t="s">
        <v>196</v>
      </c>
      <c r="D9" s="165" t="s">
        <v>197</v>
      </c>
      <c r="E9" s="165" t="s">
        <v>198</v>
      </c>
      <c r="F9" s="164" t="s">
        <v>3</v>
      </c>
      <c r="G9" s="166" t="s">
        <v>199</v>
      </c>
      <c r="I9" s="167" t="s">
        <v>5</v>
      </c>
      <c r="J9" s="167" t="s">
        <v>6</v>
      </c>
      <c r="K9" s="167" t="s">
        <v>7</v>
      </c>
      <c r="L9" s="167" t="s">
        <v>8</v>
      </c>
      <c r="M9" s="167" t="s">
        <v>9</v>
      </c>
      <c r="N9" s="167" t="s">
        <v>10</v>
      </c>
      <c r="O9" s="167" t="s">
        <v>11</v>
      </c>
      <c r="P9" s="167" t="s">
        <v>12</v>
      </c>
      <c r="Q9" s="167" t="s">
        <v>13</v>
      </c>
      <c r="R9" s="167" t="s">
        <v>14</v>
      </c>
      <c r="S9" s="167" t="s">
        <v>15</v>
      </c>
      <c r="T9" s="168" t="s">
        <v>77</v>
      </c>
      <c r="U9" s="168" t="s">
        <v>92</v>
      </c>
      <c r="V9" s="168" t="s">
        <v>78</v>
      </c>
      <c r="W9" s="168" t="s">
        <v>79</v>
      </c>
      <c r="X9" s="168" t="s">
        <v>80</v>
      </c>
      <c r="Y9" s="168" t="s">
        <v>81</v>
      </c>
      <c r="Z9" s="168" t="s">
        <v>82</v>
      </c>
      <c r="AA9" s="168" t="s">
        <v>83</v>
      </c>
      <c r="AB9" s="168" t="s">
        <v>84</v>
      </c>
      <c r="AC9" s="164" t="s">
        <v>200</v>
      </c>
    </row>
    <row r="10">
      <c r="A10" s="101">
        <v>1.0</v>
      </c>
      <c r="B10" s="101">
        <v>1.0</v>
      </c>
      <c r="C10" s="101" t="s">
        <v>201</v>
      </c>
      <c r="D10" s="139">
        <v>2.0</v>
      </c>
      <c r="E10" s="139">
        <v>2.0</v>
      </c>
      <c r="F10" s="139">
        <v>0.0</v>
      </c>
      <c r="G10" s="169">
        <f t="shared" ref="G10:G12" si="1">IF(D10=0,0,F10/D10)</f>
        <v>0</v>
      </c>
      <c r="I10" s="139">
        <v>0.0</v>
      </c>
      <c r="J10" s="139">
        <v>0.0</v>
      </c>
      <c r="K10" s="139">
        <v>0.0</v>
      </c>
      <c r="L10" s="139">
        <v>0.0</v>
      </c>
      <c r="M10" s="139">
        <v>0.0</v>
      </c>
      <c r="N10" s="139">
        <v>0.0</v>
      </c>
      <c r="O10" s="139">
        <v>0.0</v>
      </c>
      <c r="P10" s="139">
        <v>20.0</v>
      </c>
      <c r="Q10" s="139">
        <v>0.0</v>
      </c>
      <c r="R10" s="139">
        <v>0.0</v>
      </c>
      <c r="S10" s="139">
        <v>0.0</v>
      </c>
      <c r="T10" s="101">
        <v>0.0</v>
      </c>
      <c r="U10" s="101">
        <v>0.0</v>
      </c>
      <c r="V10" s="101">
        <v>0.0</v>
      </c>
      <c r="W10" s="101">
        <v>0.0</v>
      </c>
      <c r="X10" s="101">
        <v>0.0</v>
      </c>
      <c r="Y10" s="101">
        <v>0.0</v>
      </c>
      <c r="Z10" s="101">
        <v>0.0</v>
      </c>
      <c r="AA10" s="101">
        <v>0.0</v>
      </c>
      <c r="AB10" s="101">
        <v>0.0</v>
      </c>
      <c r="AC10" s="101">
        <f t="shared" ref="AC10:AC12" si="2">SUMPRODUCT(I10:S10, {0,33,50,67,167,67,50,4.17,7.56,12.17,16.22})</f>
        <v>83.4</v>
      </c>
    </row>
    <row r="11">
      <c r="A11" s="101">
        <v>2.0</v>
      </c>
      <c r="B11" s="101">
        <v>1.0</v>
      </c>
      <c r="C11" s="101" t="s">
        <v>201</v>
      </c>
      <c r="D11" s="139">
        <v>3.0</v>
      </c>
      <c r="E11" s="139">
        <v>5.0</v>
      </c>
      <c r="F11" s="139">
        <v>10.0</v>
      </c>
      <c r="G11" s="169">
        <f t="shared" si="1"/>
        <v>3.333333333</v>
      </c>
      <c r="H11" s="155"/>
      <c r="I11" s="139">
        <v>0.0</v>
      </c>
      <c r="J11" s="139">
        <v>1.0</v>
      </c>
      <c r="K11" s="139">
        <v>0.0</v>
      </c>
      <c r="L11" s="139">
        <v>0.0</v>
      </c>
      <c r="M11" s="139">
        <v>0.0</v>
      </c>
      <c r="N11" s="139">
        <v>0.0</v>
      </c>
      <c r="O11" s="139">
        <v>0.0</v>
      </c>
      <c r="P11" s="139">
        <v>0.0</v>
      </c>
      <c r="Q11" s="139">
        <v>0.0</v>
      </c>
      <c r="R11" s="139">
        <v>0.0</v>
      </c>
      <c r="S11" s="139">
        <v>0.0</v>
      </c>
      <c r="T11" s="101">
        <v>0.0</v>
      </c>
      <c r="U11" s="101">
        <v>0.0</v>
      </c>
      <c r="V11" s="101">
        <v>0.0</v>
      </c>
      <c r="W11" s="101">
        <v>0.0</v>
      </c>
      <c r="X11" s="101">
        <v>0.0</v>
      </c>
      <c r="Y11" s="101">
        <v>0.0</v>
      </c>
      <c r="Z11" s="101">
        <v>0.0</v>
      </c>
      <c r="AA11" s="101">
        <v>0.0</v>
      </c>
      <c r="AB11" s="101">
        <v>0.0</v>
      </c>
      <c r="AC11" s="101">
        <f t="shared" si="2"/>
        <v>33</v>
      </c>
    </row>
    <row r="12">
      <c r="A12" s="101">
        <v>3.0</v>
      </c>
      <c r="B12" s="101">
        <v>1.0</v>
      </c>
      <c r="C12" s="101" t="s">
        <v>201</v>
      </c>
      <c r="D12" s="139">
        <v>5.0</v>
      </c>
      <c r="E12" s="139">
        <v>10.0</v>
      </c>
      <c r="F12" s="139">
        <v>15.0</v>
      </c>
      <c r="G12" s="169">
        <f t="shared" si="1"/>
        <v>3</v>
      </c>
      <c r="I12" s="139">
        <v>0.0</v>
      </c>
      <c r="J12" s="139">
        <v>0.0</v>
      </c>
      <c r="K12" s="139">
        <v>1.0</v>
      </c>
      <c r="L12" s="139">
        <v>0.0</v>
      </c>
      <c r="M12" s="139">
        <v>1.0</v>
      </c>
      <c r="N12" s="139">
        <v>0.0</v>
      </c>
      <c r="O12" s="139">
        <v>0.0</v>
      </c>
      <c r="P12" s="139">
        <v>0.0</v>
      </c>
      <c r="Q12" s="139">
        <v>0.0</v>
      </c>
      <c r="R12" s="139">
        <v>0.0</v>
      </c>
      <c r="S12" s="139">
        <v>0.0</v>
      </c>
      <c r="T12" s="101">
        <v>0.0</v>
      </c>
      <c r="U12" s="101">
        <v>0.0</v>
      </c>
      <c r="V12" s="101">
        <v>0.0</v>
      </c>
      <c r="W12" s="101">
        <v>0.0</v>
      </c>
      <c r="X12" s="101">
        <v>0.0</v>
      </c>
      <c r="Y12" s="101">
        <v>0.0</v>
      </c>
      <c r="Z12" s="101">
        <v>0.0</v>
      </c>
      <c r="AA12" s="101">
        <v>0.0</v>
      </c>
      <c r="AB12" s="101">
        <v>0.0</v>
      </c>
      <c r="AC12" s="101">
        <f t="shared" si="2"/>
        <v>217</v>
      </c>
    </row>
    <row r="13">
      <c r="G13" s="157"/>
    </row>
    <row r="14" ht="17.25" customHeight="1">
      <c r="A14" s="161" t="s">
        <v>52</v>
      </c>
      <c r="B14" s="162"/>
      <c r="C14" s="162"/>
      <c r="D14" s="162"/>
      <c r="E14" s="162"/>
      <c r="F14" s="162"/>
      <c r="G14" s="163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</row>
    <row r="15" ht="90.0" customHeight="1">
      <c r="A15" s="96" t="s">
        <v>117</v>
      </c>
      <c r="B15" s="96" t="s">
        <v>131</v>
      </c>
      <c r="C15" s="96" t="s">
        <v>196</v>
      </c>
      <c r="D15" s="170" t="s">
        <v>197</v>
      </c>
      <c r="E15" s="170" t="s">
        <v>198</v>
      </c>
      <c r="F15" s="96" t="s">
        <v>3</v>
      </c>
      <c r="G15" s="171" t="s">
        <v>199</v>
      </c>
      <c r="I15" s="116" t="s">
        <v>5</v>
      </c>
      <c r="J15" s="116" t="s">
        <v>6</v>
      </c>
      <c r="K15" s="116" t="s">
        <v>7</v>
      </c>
      <c r="L15" s="116" t="s">
        <v>8</v>
      </c>
      <c r="M15" s="116" t="s">
        <v>9</v>
      </c>
      <c r="N15" s="116" t="s">
        <v>10</v>
      </c>
      <c r="O15" s="116" t="s">
        <v>11</v>
      </c>
      <c r="P15" s="116" t="s">
        <v>12</v>
      </c>
      <c r="Q15" s="116" t="s">
        <v>13</v>
      </c>
      <c r="R15" s="116" t="s">
        <v>14</v>
      </c>
      <c r="S15" s="116" t="s">
        <v>15</v>
      </c>
      <c r="T15" s="99" t="s">
        <v>77</v>
      </c>
      <c r="U15" s="99" t="s">
        <v>92</v>
      </c>
      <c r="V15" s="99" t="s">
        <v>78</v>
      </c>
      <c r="W15" s="99" t="s">
        <v>79</v>
      </c>
      <c r="X15" s="99" t="s">
        <v>80</v>
      </c>
      <c r="Y15" s="99" t="s">
        <v>81</v>
      </c>
      <c r="Z15" s="99" t="s">
        <v>82</v>
      </c>
      <c r="AA15" s="99" t="s">
        <v>83</v>
      </c>
      <c r="AB15" s="99" t="s">
        <v>84</v>
      </c>
      <c r="AC15" s="96" t="s">
        <v>200</v>
      </c>
    </row>
    <row r="16">
      <c r="A16" s="101">
        <v>1.0</v>
      </c>
      <c r="B16" s="101">
        <v>1.0</v>
      </c>
      <c r="C16" s="101" t="s">
        <v>201</v>
      </c>
      <c r="D16" s="139">
        <v>6.0</v>
      </c>
      <c r="E16" s="139">
        <v>6.0</v>
      </c>
      <c r="F16" s="139">
        <v>10.0</v>
      </c>
      <c r="G16" s="169">
        <f t="shared" ref="G16:G18" si="3">IF(D16=0,0,F16/D16)</f>
        <v>1.666666667</v>
      </c>
      <c r="I16" s="139">
        <v>0.0</v>
      </c>
      <c r="J16" s="139">
        <v>0.0</v>
      </c>
      <c r="K16" s="139">
        <v>0.0</v>
      </c>
      <c r="L16" s="139">
        <v>0.0</v>
      </c>
      <c r="M16" s="139">
        <v>0.0</v>
      </c>
      <c r="N16" s="139">
        <v>0.0</v>
      </c>
      <c r="O16" s="139">
        <v>0.0</v>
      </c>
      <c r="P16" s="139">
        <v>20.0</v>
      </c>
      <c r="Q16" s="139">
        <v>0.0</v>
      </c>
      <c r="R16" s="139">
        <v>0.0</v>
      </c>
      <c r="S16" s="139">
        <v>0.0</v>
      </c>
      <c r="T16" s="101">
        <v>0.0</v>
      </c>
      <c r="U16" s="101">
        <v>0.0</v>
      </c>
      <c r="V16" s="101">
        <v>0.0</v>
      </c>
      <c r="W16" s="101">
        <v>0.0</v>
      </c>
      <c r="X16" s="101">
        <v>0.0</v>
      </c>
      <c r="Y16" s="101">
        <v>0.0</v>
      </c>
      <c r="Z16" s="101">
        <v>0.0</v>
      </c>
      <c r="AA16" s="101">
        <v>0.0</v>
      </c>
      <c r="AB16" s="101">
        <v>0.0</v>
      </c>
      <c r="AC16" s="101">
        <f t="shared" ref="AC16:AC18" si="4">SUMPRODUCT(I16:S16, {0,33,50,67,167,67,50,4.17,7.56,12.17,16.22})</f>
        <v>83.4</v>
      </c>
    </row>
    <row r="17">
      <c r="A17" s="101">
        <v>2.0</v>
      </c>
      <c r="B17" s="101">
        <v>1.0</v>
      </c>
      <c r="C17" s="101" t="s">
        <v>201</v>
      </c>
      <c r="D17" s="139">
        <v>7.0</v>
      </c>
      <c r="E17" s="139">
        <v>13.0</v>
      </c>
      <c r="F17" s="139">
        <v>30.0</v>
      </c>
      <c r="G17" s="169">
        <f t="shared" si="3"/>
        <v>4.285714286</v>
      </c>
      <c r="H17" s="155"/>
      <c r="I17" s="139">
        <v>0.0</v>
      </c>
      <c r="J17" s="139">
        <v>1.0</v>
      </c>
      <c r="K17" s="139">
        <v>0.0</v>
      </c>
      <c r="L17" s="139">
        <v>0.0</v>
      </c>
      <c r="M17" s="139">
        <v>0.0</v>
      </c>
      <c r="N17" s="139">
        <v>0.0</v>
      </c>
      <c r="O17" s="139">
        <v>0.0</v>
      </c>
      <c r="P17" s="139">
        <v>0.0</v>
      </c>
      <c r="Q17" s="139">
        <v>0.0</v>
      </c>
      <c r="R17" s="139">
        <v>0.0</v>
      </c>
      <c r="S17" s="139">
        <v>0.0</v>
      </c>
      <c r="T17" s="101">
        <v>0.0</v>
      </c>
      <c r="U17" s="101">
        <v>0.0</v>
      </c>
      <c r="V17" s="101">
        <v>0.0</v>
      </c>
      <c r="W17" s="101">
        <v>0.0</v>
      </c>
      <c r="X17" s="101">
        <v>0.0</v>
      </c>
      <c r="Y17" s="101">
        <v>0.0</v>
      </c>
      <c r="Z17" s="101">
        <v>0.0</v>
      </c>
      <c r="AA17" s="101">
        <v>0.0</v>
      </c>
      <c r="AB17" s="101">
        <v>0.0</v>
      </c>
      <c r="AC17" s="101">
        <f t="shared" si="4"/>
        <v>33</v>
      </c>
    </row>
    <row r="18">
      <c r="A18" s="101">
        <v>3.0</v>
      </c>
      <c r="B18" s="101">
        <v>1.0</v>
      </c>
      <c r="C18" s="101" t="s">
        <v>201</v>
      </c>
      <c r="D18" s="139">
        <v>13.0</v>
      </c>
      <c r="E18" s="139">
        <v>26.0</v>
      </c>
      <c r="F18" s="139">
        <v>60.0</v>
      </c>
      <c r="G18" s="169">
        <f t="shared" si="3"/>
        <v>4.615384615</v>
      </c>
      <c r="I18" s="139">
        <v>0.0</v>
      </c>
      <c r="J18" s="139">
        <v>0.0</v>
      </c>
      <c r="K18" s="139">
        <v>1.0</v>
      </c>
      <c r="L18" s="139">
        <v>0.0</v>
      </c>
      <c r="M18" s="139">
        <v>1.0</v>
      </c>
      <c r="N18" s="139">
        <v>0.0</v>
      </c>
      <c r="O18" s="139">
        <v>0.0</v>
      </c>
      <c r="P18" s="139">
        <v>0.0</v>
      </c>
      <c r="Q18" s="139">
        <v>0.0</v>
      </c>
      <c r="R18" s="139">
        <v>0.0</v>
      </c>
      <c r="S18" s="139">
        <v>0.0</v>
      </c>
      <c r="T18" s="101">
        <v>0.0</v>
      </c>
      <c r="U18" s="101">
        <v>0.0</v>
      </c>
      <c r="V18" s="101">
        <v>0.0</v>
      </c>
      <c r="W18" s="101">
        <v>0.0</v>
      </c>
      <c r="X18" s="101">
        <v>0.0</v>
      </c>
      <c r="Y18" s="101">
        <v>0.0</v>
      </c>
      <c r="Z18" s="101">
        <v>0.0</v>
      </c>
      <c r="AA18" s="101">
        <v>0.0</v>
      </c>
      <c r="AB18" s="101">
        <v>0.0</v>
      </c>
      <c r="AC18" s="101">
        <f t="shared" si="4"/>
        <v>217</v>
      </c>
    </row>
    <row r="19">
      <c r="G19" s="157"/>
    </row>
    <row r="20" ht="17.25" customHeight="1">
      <c r="A20" s="161" t="s">
        <v>53</v>
      </c>
      <c r="B20" s="162"/>
      <c r="C20" s="162"/>
      <c r="D20" s="162"/>
      <c r="E20" s="162"/>
      <c r="F20" s="162"/>
      <c r="G20" s="163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</row>
    <row r="21" ht="90.0" customHeight="1">
      <c r="A21" s="96" t="s">
        <v>117</v>
      </c>
      <c r="B21" s="96" t="s">
        <v>131</v>
      </c>
      <c r="C21" s="96" t="s">
        <v>196</v>
      </c>
      <c r="D21" s="170" t="s">
        <v>197</v>
      </c>
      <c r="E21" s="170" t="s">
        <v>198</v>
      </c>
      <c r="F21" s="96" t="s">
        <v>3</v>
      </c>
      <c r="G21" s="171" t="s">
        <v>199</v>
      </c>
      <c r="I21" s="116" t="s">
        <v>5</v>
      </c>
      <c r="J21" s="116" t="s">
        <v>6</v>
      </c>
      <c r="K21" s="116" t="s">
        <v>7</v>
      </c>
      <c r="L21" s="116" t="s">
        <v>8</v>
      </c>
      <c r="M21" s="116" t="s">
        <v>9</v>
      </c>
      <c r="N21" s="116" t="s">
        <v>10</v>
      </c>
      <c r="O21" s="116" t="s">
        <v>11</v>
      </c>
      <c r="P21" s="116" t="s">
        <v>12</v>
      </c>
      <c r="Q21" s="116" t="s">
        <v>13</v>
      </c>
      <c r="R21" s="116" t="s">
        <v>14</v>
      </c>
      <c r="S21" s="116" t="s">
        <v>15</v>
      </c>
      <c r="T21" s="99" t="s">
        <v>77</v>
      </c>
      <c r="U21" s="99" t="s">
        <v>92</v>
      </c>
      <c r="V21" s="99" t="s">
        <v>78</v>
      </c>
      <c r="W21" s="99" t="s">
        <v>79</v>
      </c>
      <c r="X21" s="99" t="s">
        <v>80</v>
      </c>
      <c r="Y21" s="99" t="s">
        <v>81</v>
      </c>
      <c r="Z21" s="99" t="s">
        <v>82</v>
      </c>
      <c r="AA21" s="99" t="s">
        <v>83</v>
      </c>
      <c r="AB21" s="99" t="s">
        <v>84</v>
      </c>
      <c r="AC21" s="96" t="s">
        <v>200</v>
      </c>
    </row>
    <row r="22" ht="15.75" customHeight="1">
      <c r="A22" s="101">
        <v>1.0</v>
      </c>
      <c r="B22" s="101">
        <v>1.0</v>
      </c>
      <c r="C22" s="101" t="s">
        <v>201</v>
      </c>
      <c r="D22" s="139">
        <v>11.0</v>
      </c>
      <c r="E22" s="139">
        <v>11.0</v>
      </c>
      <c r="F22" s="139">
        <v>15.0</v>
      </c>
      <c r="G22" s="169">
        <f t="shared" ref="G22:G24" si="5">IF(D22=0,0,F22/D22)</f>
        <v>1.363636364</v>
      </c>
      <c r="I22" s="139">
        <v>0.0</v>
      </c>
      <c r="J22" s="139">
        <v>0.0</v>
      </c>
      <c r="K22" s="139">
        <v>0.0</v>
      </c>
      <c r="L22" s="139">
        <v>0.0</v>
      </c>
      <c r="M22" s="139">
        <v>0.0</v>
      </c>
      <c r="N22" s="139">
        <v>0.0</v>
      </c>
      <c r="O22" s="139">
        <v>0.0</v>
      </c>
      <c r="P22" s="139">
        <v>20.0</v>
      </c>
      <c r="Q22" s="139">
        <v>0.0</v>
      </c>
      <c r="R22" s="139">
        <v>0.0</v>
      </c>
      <c r="S22" s="139">
        <v>0.0</v>
      </c>
      <c r="T22" s="101">
        <v>0.0</v>
      </c>
      <c r="U22" s="101">
        <v>0.0</v>
      </c>
      <c r="V22" s="101">
        <v>0.0</v>
      </c>
      <c r="W22" s="101">
        <v>0.0</v>
      </c>
      <c r="X22" s="101">
        <v>0.0</v>
      </c>
      <c r="Y22" s="101">
        <v>0.0</v>
      </c>
      <c r="Z22" s="101">
        <v>0.0</v>
      </c>
      <c r="AA22" s="101">
        <v>0.0</v>
      </c>
      <c r="AB22" s="101">
        <v>0.0</v>
      </c>
      <c r="AC22" s="101">
        <f t="shared" ref="AC22:AC24" si="6">SUMPRODUCT(I22:S22, {0,33,50,67,167,67,50,4.17,7.56,12.17,16.22})</f>
        <v>83.4</v>
      </c>
    </row>
    <row r="23" ht="15.75" customHeight="1">
      <c r="A23" s="101">
        <v>2.0</v>
      </c>
      <c r="B23" s="101">
        <v>1.0</v>
      </c>
      <c r="C23" s="101" t="s">
        <v>201</v>
      </c>
      <c r="D23" s="139">
        <v>15.0</v>
      </c>
      <c r="E23" s="139">
        <v>26.0</v>
      </c>
      <c r="F23" s="139">
        <v>50.0</v>
      </c>
      <c r="G23" s="169">
        <f t="shared" si="5"/>
        <v>3.333333333</v>
      </c>
      <c r="H23" s="155"/>
      <c r="I23" s="139">
        <v>0.0</v>
      </c>
      <c r="J23" s="139">
        <v>1.0</v>
      </c>
      <c r="K23" s="139">
        <v>0.0</v>
      </c>
      <c r="L23" s="139">
        <v>0.0</v>
      </c>
      <c r="M23" s="139">
        <v>0.0</v>
      </c>
      <c r="N23" s="139">
        <v>0.0</v>
      </c>
      <c r="O23" s="139">
        <v>0.0</v>
      </c>
      <c r="P23" s="139">
        <v>0.0</v>
      </c>
      <c r="Q23" s="139">
        <v>0.0</v>
      </c>
      <c r="R23" s="139">
        <v>0.0</v>
      </c>
      <c r="S23" s="139">
        <v>0.0</v>
      </c>
      <c r="T23" s="101">
        <v>0.0</v>
      </c>
      <c r="U23" s="101">
        <v>0.0</v>
      </c>
      <c r="V23" s="101">
        <v>0.0</v>
      </c>
      <c r="W23" s="101">
        <v>0.0</v>
      </c>
      <c r="X23" s="101">
        <v>0.0</v>
      </c>
      <c r="Y23" s="101">
        <v>0.0</v>
      </c>
      <c r="Z23" s="101">
        <v>0.0</v>
      </c>
      <c r="AA23" s="101">
        <v>0.0</v>
      </c>
      <c r="AB23" s="101">
        <v>0.0</v>
      </c>
      <c r="AC23" s="101">
        <f t="shared" si="6"/>
        <v>33</v>
      </c>
    </row>
    <row r="24" ht="15.75" customHeight="1">
      <c r="A24" s="101">
        <v>3.0</v>
      </c>
      <c r="B24" s="101">
        <v>1.0</v>
      </c>
      <c r="C24" s="101" t="s">
        <v>201</v>
      </c>
      <c r="D24" s="139">
        <v>16.0</v>
      </c>
      <c r="E24" s="139">
        <v>42.0</v>
      </c>
      <c r="F24" s="139">
        <v>100.0</v>
      </c>
      <c r="G24" s="169">
        <f t="shared" si="5"/>
        <v>6.25</v>
      </c>
      <c r="I24" s="139">
        <v>0.0</v>
      </c>
      <c r="J24" s="139">
        <v>0.0</v>
      </c>
      <c r="K24" s="139">
        <v>1.0</v>
      </c>
      <c r="L24" s="139">
        <v>0.0</v>
      </c>
      <c r="M24" s="139">
        <v>1.0</v>
      </c>
      <c r="N24" s="139">
        <v>0.0</v>
      </c>
      <c r="O24" s="139">
        <v>0.0</v>
      </c>
      <c r="P24" s="139">
        <v>0.0</v>
      </c>
      <c r="Q24" s="139">
        <v>0.0</v>
      </c>
      <c r="R24" s="139">
        <v>0.0</v>
      </c>
      <c r="S24" s="139">
        <v>0.0</v>
      </c>
      <c r="T24" s="101">
        <v>0.0</v>
      </c>
      <c r="U24" s="101">
        <v>0.0</v>
      </c>
      <c r="V24" s="101">
        <v>0.0</v>
      </c>
      <c r="W24" s="101">
        <v>0.0</v>
      </c>
      <c r="X24" s="101">
        <v>0.0</v>
      </c>
      <c r="Y24" s="101">
        <v>0.0</v>
      </c>
      <c r="Z24" s="101">
        <v>0.0</v>
      </c>
      <c r="AA24" s="101">
        <v>0.0</v>
      </c>
      <c r="AB24" s="101">
        <v>0.0</v>
      </c>
      <c r="AC24" s="101">
        <f t="shared" si="6"/>
        <v>217</v>
      </c>
    </row>
    <row r="25" ht="15.75" customHeight="1">
      <c r="G25" s="157"/>
    </row>
    <row r="26" ht="17.25" customHeight="1">
      <c r="A26" s="161" t="s">
        <v>54</v>
      </c>
      <c r="B26" s="162"/>
      <c r="C26" s="162"/>
      <c r="D26" s="162"/>
      <c r="E26" s="162"/>
      <c r="F26" s="162"/>
      <c r="G26" s="163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</row>
    <row r="27" ht="90.0" customHeight="1">
      <c r="A27" s="96" t="s">
        <v>117</v>
      </c>
      <c r="B27" s="96" t="s">
        <v>131</v>
      </c>
      <c r="C27" s="96" t="s">
        <v>196</v>
      </c>
      <c r="D27" s="170" t="s">
        <v>197</v>
      </c>
      <c r="E27" s="170" t="s">
        <v>198</v>
      </c>
      <c r="F27" s="96" t="s">
        <v>3</v>
      </c>
      <c r="G27" s="171" t="s">
        <v>199</v>
      </c>
      <c r="I27" s="116" t="s">
        <v>5</v>
      </c>
      <c r="J27" s="116" t="s">
        <v>6</v>
      </c>
      <c r="K27" s="116" t="s">
        <v>7</v>
      </c>
      <c r="L27" s="116" t="s">
        <v>8</v>
      </c>
      <c r="M27" s="116" t="s">
        <v>9</v>
      </c>
      <c r="N27" s="116" t="s">
        <v>10</v>
      </c>
      <c r="O27" s="116" t="s">
        <v>11</v>
      </c>
      <c r="P27" s="116" t="s">
        <v>12</v>
      </c>
      <c r="Q27" s="116" t="s">
        <v>13</v>
      </c>
      <c r="R27" s="116" t="s">
        <v>14</v>
      </c>
      <c r="S27" s="116" t="s">
        <v>15</v>
      </c>
      <c r="T27" s="99" t="s">
        <v>77</v>
      </c>
      <c r="U27" s="99" t="s">
        <v>92</v>
      </c>
      <c r="V27" s="99" t="s">
        <v>78</v>
      </c>
      <c r="W27" s="99" t="s">
        <v>79</v>
      </c>
      <c r="X27" s="99" t="s">
        <v>80</v>
      </c>
      <c r="Y27" s="99" t="s">
        <v>81</v>
      </c>
      <c r="Z27" s="99" t="s">
        <v>82</v>
      </c>
      <c r="AA27" s="99" t="s">
        <v>83</v>
      </c>
      <c r="AB27" s="99" t="s">
        <v>84</v>
      </c>
      <c r="AC27" s="96" t="s">
        <v>200</v>
      </c>
    </row>
    <row r="28" ht="15.75" customHeight="1">
      <c r="A28" s="101">
        <v>1.0</v>
      </c>
      <c r="B28" s="101">
        <v>1.0</v>
      </c>
      <c r="C28" s="101" t="s">
        <v>201</v>
      </c>
      <c r="D28" s="139">
        <v>28.0</v>
      </c>
      <c r="E28" s="139">
        <v>28.0</v>
      </c>
      <c r="F28" s="139">
        <v>50.0</v>
      </c>
      <c r="G28" s="169">
        <f t="shared" ref="G28:G30" si="7">IF(D28=0,0,F28/D28)</f>
        <v>1.785714286</v>
      </c>
      <c r="I28" s="139">
        <v>0.0</v>
      </c>
      <c r="J28" s="139">
        <v>0.0</v>
      </c>
      <c r="K28" s="139">
        <v>0.0</v>
      </c>
      <c r="L28" s="139">
        <v>0.0</v>
      </c>
      <c r="M28" s="139">
        <v>0.0</v>
      </c>
      <c r="N28" s="139">
        <v>0.0</v>
      </c>
      <c r="O28" s="139">
        <v>0.0</v>
      </c>
      <c r="P28" s="139">
        <v>30.0</v>
      </c>
      <c r="Q28" s="139">
        <v>0.0</v>
      </c>
      <c r="R28" s="139">
        <v>0.0</v>
      </c>
      <c r="S28" s="139">
        <v>0.0</v>
      </c>
      <c r="T28" s="101">
        <v>0.0</v>
      </c>
      <c r="U28" s="101">
        <v>0.0</v>
      </c>
      <c r="V28" s="101">
        <v>0.0</v>
      </c>
      <c r="W28" s="101">
        <v>0.0</v>
      </c>
      <c r="X28" s="101">
        <v>0.0</v>
      </c>
      <c r="Y28" s="101">
        <v>0.0</v>
      </c>
      <c r="Z28" s="101">
        <v>0.0</v>
      </c>
      <c r="AA28" s="101">
        <v>0.0</v>
      </c>
      <c r="AB28" s="101">
        <v>0.0</v>
      </c>
      <c r="AC28" s="101">
        <f t="shared" ref="AC28:AC30" si="8">SUMPRODUCT(I28:S28, {0,33,50,67,167,67,50,4.17,7.56,12.17,16.22})</f>
        <v>125.1</v>
      </c>
    </row>
    <row r="29" ht="15.75" customHeight="1">
      <c r="A29" s="101">
        <v>2.0</v>
      </c>
      <c r="B29" s="101">
        <v>1.0</v>
      </c>
      <c r="C29" s="101" t="s">
        <v>201</v>
      </c>
      <c r="D29" s="139">
        <v>32.0</v>
      </c>
      <c r="E29" s="139">
        <v>60.0</v>
      </c>
      <c r="F29" s="139">
        <v>120.0</v>
      </c>
      <c r="G29" s="169">
        <f t="shared" si="7"/>
        <v>3.75</v>
      </c>
      <c r="H29" s="155"/>
      <c r="I29" s="139">
        <v>0.0</v>
      </c>
      <c r="J29" s="139">
        <v>1.0</v>
      </c>
      <c r="K29" s="139">
        <v>0.0</v>
      </c>
      <c r="L29" s="139">
        <v>0.0</v>
      </c>
      <c r="M29" s="139">
        <v>0.0</v>
      </c>
      <c r="N29" s="139">
        <v>0.0</v>
      </c>
      <c r="O29" s="139">
        <v>0.0</v>
      </c>
      <c r="P29" s="139">
        <v>0.0</v>
      </c>
      <c r="Q29" s="139">
        <v>0.0</v>
      </c>
      <c r="R29" s="139">
        <v>0.0</v>
      </c>
      <c r="S29" s="139">
        <v>0.0</v>
      </c>
      <c r="T29" s="101">
        <v>0.0</v>
      </c>
      <c r="U29" s="101">
        <v>0.0</v>
      </c>
      <c r="V29" s="101">
        <v>0.0</v>
      </c>
      <c r="W29" s="101">
        <v>0.0</v>
      </c>
      <c r="X29" s="101">
        <v>0.0</v>
      </c>
      <c r="Y29" s="101">
        <v>0.0</v>
      </c>
      <c r="Z29" s="101">
        <v>0.0</v>
      </c>
      <c r="AA29" s="101">
        <v>0.0</v>
      </c>
      <c r="AB29" s="101">
        <v>0.0</v>
      </c>
      <c r="AC29" s="101">
        <f t="shared" si="8"/>
        <v>33</v>
      </c>
    </row>
    <row r="30" ht="15.75" customHeight="1">
      <c r="A30" s="101">
        <v>3.0</v>
      </c>
      <c r="B30" s="101">
        <v>1.0</v>
      </c>
      <c r="C30" s="101" t="s">
        <v>201</v>
      </c>
      <c r="D30" s="139">
        <v>40.0</v>
      </c>
      <c r="E30" s="139">
        <v>100.0</v>
      </c>
      <c r="F30" s="139">
        <v>250.0</v>
      </c>
      <c r="G30" s="169">
        <f t="shared" si="7"/>
        <v>6.25</v>
      </c>
      <c r="I30" s="139">
        <v>0.0</v>
      </c>
      <c r="J30" s="139">
        <v>0.0</v>
      </c>
      <c r="K30" s="139">
        <v>0.0</v>
      </c>
      <c r="L30" s="139">
        <v>0.0</v>
      </c>
      <c r="M30" s="139">
        <v>1.0</v>
      </c>
      <c r="N30" s="139">
        <v>0.0</v>
      </c>
      <c r="O30" s="139">
        <v>1.0</v>
      </c>
      <c r="P30" s="139">
        <v>0.0</v>
      </c>
      <c r="Q30" s="139">
        <v>0.0</v>
      </c>
      <c r="R30" s="139">
        <v>0.0</v>
      </c>
      <c r="S30" s="139">
        <v>0.0</v>
      </c>
      <c r="T30" s="101">
        <v>0.0</v>
      </c>
      <c r="U30" s="101">
        <v>0.0</v>
      </c>
      <c r="V30" s="101">
        <v>0.0</v>
      </c>
      <c r="W30" s="101">
        <v>0.0</v>
      </c>
      <c r="X30" s="101">
        <v>0.0</v>
      </c>
      <c r="Y30" s="101">
        <v>0.0</v>
      </c>
      <c r="Z30" s="101">
        <v>0.0</v>
      </c>
      <c r="AA30" s="101">
        <v>0.0</v>
      </c>
      <c r="AB30" s="101">
        <v>0.0</v>
      </c>
      <c r="AC30" s="101">
        <f t="shared" si="8"/>
        <v>217</v>
      </c>
    </row>
    <row r="31" ht="15.75" customHeight="1">
      <c r="G31" s="157"/>
    </row>
    <row r="32" ht="17.25" customHeight="1">
      <c r="A32" s="161" t="s">
        <v>55</v>
      </c>
      <c r="B32" s="162"/>
      <c r="C32" s="162"/>
      <c r="D32" s="162"/>
      <c r="E32" s="162"/>
      <c r="F32" s="162"/>
      <c r="G32" s="163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</row>
    <row r="33" ht="90.0" customHeight="1">
      <c r="A33" s="96" t="s">
        <v>117</v>
      </c>
      <c r="B33" s="96" t="s">
        <v>131</v>
      </c>
      <c r="C33" s="96" t="s">
        <v>196</v>
      </c>
      <c r="D33" s="170" t="s">
        <v>197</v>
      </c>
      <c r="E33" s="170" t="s">
        <v>198</v>
      </c>
      <c r="F33" s="96" t="s">
        <v>3</v>
      </c>
      <c r="G33" s="171" t="s">
        <v>199</v>
      </c>
      <c r="I33" s="116" t="s">
        <v>5</v>
      </c>
      <c r="J33" s="116" t="s">
        <v>6</v>
      </c>
      <c r="K33" s="116" t="s">
        <v>7</v>
      </c>
      <c r="L33" s="116" t="s">
        <v>8</v>
      </c>
      <c r="M33" s="116" t="s">
        <v>9</v>
      </c>
      <c r="N33" s="116" t="s">
        <v>10</v>
      </c>
      <c r="O33" s="116" t="s">
        <v>11</v>
      </c>
      <c r="P33" s="116" t="s">
        <v>12</v>
      </c>
      <c r="Q33" s="116" t="s">
        <v>13</v>
      </c>
      <c r="R33" s="116" t="s">
        <v>14</v>
      </c>
      <c r="S33" s="116" t="s">
        <v>15</v>
      </c>
      <c r="T33" s="99" t="s">
        <v>77</v>
      </c>
      <c r="U33" s="99" t="s">
        <v>92</v>
      </c>
      <c r="V33" s="99" t="s">
        <v>78</v>
      </c>
      <c r="W33" s="99" t="s">
        <v>79</v>
      </c>
      <c r="X33" s="99" t="s">
        <v>80</v>
      </c>
      <c r="Y33" s="99" t="s">
        <v>81</v>
      </c>
      <c r="Z33" s="99" t="s">
        <v>82</v>
      </c>
      <c r="AA33" s="99" t="s">
        <v>83</v>
      </c>
      <c r="AB33" s="99" t="s">
        <v>84</v>
      </c>
      <c r="AC33" s="96" t="s">
        <v>200</v>
      </c>
    </row>
    <row r="34" ht="15.75" customHeight="1">
      <c r="A34" s="101">
        <v>1.0</v>
      </c>
      <c r="B34" s="101">
        <v>1.0</v>
      </c>
      <c r="C34" s="101" t="s">
        <v>201</v>
      </c>
      <c r="D34" s="139">
        <v>80.0</v>
      </c>
      <c r="E34" s="139">
        <v>80.0</v>
      </c>
      <c r="F34" s="139">
        <v>100.0</v>
      </c>
      <c r="G34" s="169">
        <f t="shared" ref="G34:G36" si="9">IF(D34=0,0,F34/D34)</f>
        <v>1.25</v>
      </c>
      <c r="I34" s="139">
        <v>0.0</v>
      </c>
      <c r="J34" s="139">
        <v>0.0</v>
      </c>
      <c r="K34" s="139">
        <v>0.0</v>
      </c>
      <c r="L34" s="139">
        <v>0.0</v>
      </c>
      <c r="M34" s="139">
        <v>0.0</v>
      </c>
      <c r="N34" s="139">
        <v>0.0</v>
      </c>
      <c r="O34" s="139">
        <v>0.0</v>
      </c>
      <c r="P34" s="139">
        <v>60.0</v>
      </c>
      <c r="Q34" s="139">
        <v>0.0</v>
      </c>
      <c r="R34" s="139">
        <v>0.0</v>
      </c>
      <c r="S34" s="139">
        <v>0.0</v>
      </c>
      <c r="T34" s="101">
        <v>0.0</v>
      </c>
      <c r="U34" s="101">
        <v>0.0</v>
      </c>
      <c r="V34" s="101">
        <v>0.0</v>
      </c>
      <c r="W34" s="101">
        <v>0.0</v>
      </c>
      <c r="X34" s="101">
        <v>0.0</v>
      </c>
      <c r="Y34" s="101">
        <v>0.0</v>
      </c>
      <c r="Z34" s="101">
        <v>0.0</v>
      </c>
      <c r="AA34" s="101">
        <v>0.0</v>
      </c>
      <c r="AB34" s="101">
        <v>0.0</v>
      </c>
      <c r="AC34" s="101">
        <f t="shared" ref="AC34:AC36" si="10">SUMPRODUCT(I34:S34, {0,33,50,67,167,67,50,4.17,7.56,12.17,16.22})</f>
        <v>250.2</v>
      </c>
    </row>
    <row r="35" ht="15.75" customHeight="1">
      <c r="A35" s="101">
        <v>2.0</v>
      </c>
      <c r="B35" s="101">
        <v>1.0</v>
      </c>
      <c r="C35" s="101" t="s">
        <v>201</v>
      </c>
      <c r="D35" s="139">
        <v>95.0</v>
      </c>
      <c r="E35" s="139">
        <v>175.0</v>
      </c>
      <c r="F35" s="139">
        <v>300.0</v>
      </c>
      <c r="G35" s="169">
        <f t="shared" si="9"/>
        <v>3.157894737</v>
      </c>
      <c r="H35" s="155"/>
      <c r="I35" s="139">
        <v>0.0</v>
      </c>
      <c r="J35" s="139">
        <v>1.0</v>
      </c>
      <c r="K35" s="139">
        <v>0.0</v>
      </c>
      <c r="L35" s="139">
        <v>0.0</v>
      </c>
      <c r="M35" s="139">
        <v>0.0</v>
      </c>
      <c r="N35" s="139">
        <v>0.0</v>
      </c>
      <c r="O35" s="139">
        <v>0.0</v>
      </c>
      <c r="P35" s="139">
        <v>0.0</v>
      </c>
      <c r="Q35" s="139">
        <v>0.0</v>
      </c>
      <c r="R35" s="139">
        <v>0.0</v>
      </c>
      <c r="S35" s="139">
        <v>0.0</v>
      </c>
      <c r="T35" s="101">
        <v>0.0</v>
      </c>
      <c r="U35" s="101">
        <v>0.0</v>
      </c>
      <c r="V35" s="101">
        <v>0.0</v>
      </c>
      <c r="W35" s="101">
        <v>0.0</v>
      </c>
      <c r="X35" s="101">
        <v>0.0</v>
      </c>
      <c r="Y35" s="101">
        <v>0.0</v>
      </c>
      <c r="Z35" s="101">
        <v>0.0</v>
      </c>
      <c r="AA35" s="101">
        <v>0.0</v>
      </c>
      <c r="AB35" s="101">
        <v>0.0</v>
      </c>
      <c r="AC35" s="101">
        <f t="shared" si="10"/>
        <v>33</v>
      </c>
    </row>
    <row r="36" ht="15.75" customHeight="1">
      <c r="A36" s="101">
        <v>3.0</v>
      </c>
      <c r="B36" s="101">
        <v>1.0</v>
      </c>
      <c r="C36" s="101" t="s">
        <v>201</v>
      </c>
      <c r="D36" s="139">
        <v>105.0</v>
      </c>
      <c r="E36" s="139">
        <v>280.0</v>
      </c>
      <c r="F36" s="139">
        <v>400.0</v>
      </c>
      <c r="G36" s="169">
        <f t="shared" si="9"/>
        <v>3.80952381</v>
      </c>
      <c r="I36" s="139">
        <v>0.0</v>
      </c>
      <c r="J36" s="139">
        <v>0.0</v>
      </c>
      <c r="K36" s="139">
        <v>0.0</v>
      </c>
      <c r="L36" s="139">
        <v>0.0</v>
      </c>
      <c r="M36" s="139">
        <v>1.0</v>
      </c>
      <c r="N36" s="139">
        <v>0.0</v>
      </c>
      <c r="O36" s="139">
        <v>1.0</v>
      </c>
      <c r="P36" s="139">
        <v>0.0</v>
      </c>
      <c r="Q36" s="139">
        <v>0.0</v>
      </c>
      <c r="R36" s="139">
        <v>0.0</v>
      </c>
      <c r="S36" s="139">
        <v>0.0</v>
      </c>
      <c r="T36" s="101">
        <v>0.0</v>
      </c>
      <c r="U36" s="101">
        <v>0.0</v>
      </c>
      <c r="V36" s="101">
        <v>0.0</v>
      </c>
      <c r="W36" s="101">
        <v>0.0</v>
      </c>
      <c r="X36" s="101">
        <v>0.0</v>
      </c>
      <c r="Y36" s="101">
        <v>0.0</v>
      </c>
      <c r="Z36" s="101">
        <v>0.0</v>
      </c>
      <c r="AA36" s="101">
        <v>0.0</v>
      </c>
      <c r="AB36" s="101">
        <v>0.0</v>
      </c>
      <c r="AC36" s="101">
        <f t="shared" si="10"/>
        <v>217</v>
      </c>
    </row>
    <row r="37" ht="15.75" customHeight="1">
      <c r="G37" s="157"/>
    </row>
    <row r="38" ht="15.75" customHeight="1">
      <c r="G38" s="157"/>
    </row>
    <row r="39" ht="15.75" customHeight="1">
      <c r="G39" s="157"/>
    </row>
    <row r="40" ht="15.75" customHeight="1">
      <c r="G40" s="157"/>
    </row>
    <row r="41" ht="15.75" customHeight="1">
      <c r="G41" s="157"/>
    </row>
    <row r="42" ht="15.75" customHeight="1">
      <c r="G42" s="157"/>
    </row>
    <row r="43" ht="15.75" customHeight="1">
      <c r="G43" s="157"/>
    </row>
    <row r="44" ht="15.75" customHeight="1">
      <c r="G44" s="157"/>
    </row>
    <row r="45" ht="15.75" customHeight="1">
      <c r="G45" s="157"/>
    </row>
    <row r="46" ht="15.75" customHeight="1">
      <c r="G46" s="157"/>
    </row>
    <row r="47" ht="15.75" customHeight="1">
      <c r="G47" s="157"/>
    </row>
    <row r="48" ht="15.75" customHeight="1">
      <c r="G48" s="157"/>
    </row>
    <row r="49" ht="15.75" customHeight="1">
      <c r="G49" s="157"/>
    </row>
    <row r="50" ht="15.75" customHeight="1">
      <c r="G50" s="157"/>
    </row>
    <row r="51" ht="15.75" customHeight="1">
      <c r="G51" s="157"/>
    </row>
    <row r="52" ht="15.75" customHeight="1">
      <c r="G52" s="157"/>
    </row>
    <row r="53" ht="15.75" customHeight="1">
      <c r="G53" s="157"/>
    </row>
    <row r="54" ht="15.75" customHeight="1">
      <c r="G54" s="157"/>
    </row>
    <row r="55" ht="15.75" customHeight="1">
      <c r="G55" s="157"/>
    </row>
    <row r="56" ht="15.75" customHeight="1">
      <c r="G56" s="157"/>
    </row>
    <row r="57" ht="15.75" customHeight="1">
      <c r="G57" s="157"/>
    </row>
    <row r="58" ht="15.75" customHeight="1">
      <c r="G58" s="157"/>
    </row>
    <row r="59" ht="15.75" customHeight="1">
      <c r="G59" s="157"/>
    </row>
    <row r="60" ht="15.75" customHeight="1">
      <c r="G60" s="157"/>
    </row>
    <row r="61" ht="15.75" customHeight="1">
      <c r="G61" s="157"/>
    </row>
    <row r="62" ht="15.75" customHeight="1">
      <c r="G62" s="157"/>
    </row>
    <row r="63" ht="15.75" customHeight="1">
      <c r="G63" s="157"/>
    </row>
    <row r="64" ht="15.75" customHeight="1">
      <c r="G64" s="157"/>
    </row>
    <row r="65" ht="15.75" customHeight="1">
      <c r="G65" s="157"/>
    </row>
    <row r="66" ht="15.75" customHeight="1">
      <c r="G66" s="157"/>
    </row>
    <row r="67" ht="15.75" customHeight="1">
      <c r="G67" s="157"/>
    </row>
    <row r="68" ht="15.75" customHeight="1">
      <c r="G68" s="157"/>
    </row>
    <row r="69" ht="15.75" customHeight="1">
      <c r="G69" s="157"/>
    </row>
    <row r="70" ht="15.75" customHeight="1">
      <c r="G70" s="157"/>
    </row>
    <row r="71" ht="15.75" customHeight="1">
      <c r="G71" s="157"/>
    </row>
    <row r="72" ht="15.75" customHeight="1">
      <c r="G72" s="157"/>
    </row>
    <row r="73" ht="15.75" customHeight="1">
      <c r="G73" s="157"/>
    </row>
    <row r="74" ht="15.75" customHeight="1">
      <c r="G74" s="157"/>
    </row>
    <row r="75" ht="15.75" customHeight="1">
      <c r="G75" s="157"/>
    </row>
    <row r="76" ht="15.75" customHeight="1">
      <c r="G76" s="157"/>
    </row>
    <row r="77" ht="15.75" customHeight="1">
      <c r="G77" s="157"/>
    </row>
    <row r="78" ht="15.75" customHeight="1">
      <c r="G78" s="157"/>
    </row>
    <row r="79" ht="15.75" customHeight="1">
      <c r="G79" s="157"/>
    </row>
    <row r="80" ht="15.75" customHeight="1">
      <c r="G80" s="157"/>
    </row>
    <row r="81" ht="15.75" customHeight="1">
      <c r="G81" s="157"/>
    </row>
    <row r="82" ht="15.75" customHeight="1">
      <c r="G82" s="157"/>
    </row>
    <row r="83" ht="15.75" customHeight="1">
      <c r="G83" s="157"/>
    </row>
    <row r="84" ht="15.75" customHeight="1">
      <c r="G84" s="157"/>
    </row>
    <row r="85" ht="15.75" customHeight="1">
      <c r="G85" s="157"/>
    </row>
    <row r="86" ht="15.75" customHeight="1">
      <c r="G86" s="157"/>
    </row>
    <row r="87" ht="15.75" customHeight="1">
      <c r="G87" s="157"/>
    </row>
    <row r="88" ht="15.75" customHeight="1">
      <c r="G88" s="157"/>
    </row>
    <row r="89" ht="15.75" customHeight="1">
      <c r="G89" s="157"/>
    </row>
    <row r="90" ht="15.75" customHeight="1">
      <c r="G90" s="157"/>
    </row>
    <row r="91" ht="15.75" customHeight="1">
      <c r="G91" s="157"/>
    </row>
    <row r="92" ht="15.75" customHeight="1">
      <c r="G92" s="157"/>
    </row>
    <row r="93" ht="15.75" customHeight="1">
      <c r="G93" s="157"/>
    </row>
    <row r="94" ht="15.75" customHeight="1">
      <c r="G94" s="157"/>
    </row>
    <row r="95" ht="15.75" customHeight="1">
      <c r="G95" s="157"/>
    </row>
    <row r="96" ht="15.75" customHeight="1">
      <c r="G96" s="157"/>
    </row>
    <row r="97" ht="15.75" customHeight="1">
      <c r="G97" s="157"/>
    </row>
    <row r="98" ht="15.75" customHeight="1">
      <c r="G98" s="157"/>
    </row>
    <row r="99" ht="15.75" customHeight="1">
      <c r="G99" s="157"/>
    </row>
    <row r="100" ht="15.75" customHeight="1">
      <c r="G100" s="157"/>
    </row>
    <row r="101" ht="15.75" customHeight="1">
      <c r="G101" s="157"/>
    </row>
    <row r="102" ht="15.75" customHeight="1">
      <c r="G102" s="157"/>
    </row>
    <row r="103" ht="15.75" customHeight="1">
      <c r="G103" s="157"/>
    </row>
    <row r="104" ht="15.75" customHeight="1">
      <c r="G104" s="157"/>
    </row>
    <row r="105" ht="15.75" customHeight="1">
      <c r="G105" s="157"/>
    </row>
    <row r="106" ht="15.75" customHeight="1">
      <c r="G106" s="157"/>
    </row>
    <row r="107" ht="15.75" customHeight="1">
      <c r="G107" s="157"/>
    </row>
    <row r="108" ht="15.75" customHeight="1">
      <c r="G108" s="157"/>
    </row>
    <row r="109" ht="15.75" customHeight="1">
      <c r="G109" s="157"/>
    </row>
    <row r="110" ht="15.75" customHeight="1">
      <c r="G110" s="157"/>
    </row>
    <row r="111" ht="15.75" customHeight="1">
      <c r="G111" s="157"/>
    </row>
    <row r="112" ht="15.75" customHeight="1">
      <c r="G112" s="157"/>
    </row>
    <row r="113" ht="15.75" customHeight="1">
      <c r="G113" s="157"/>
    </row>
    <row r="114" ht="15.75" customHeight="1">
      <c r="G114" s="157"/>
    </row>
    <row r="115" ht="15.75" customHeight="1">
      <c r="G115" s="157"/>
    </row>
    <row r="116" ht="15.75" customHeight="1">
      <c r="G116" s="157"/>
    </row>
    <row r="117" ht="15.75" customHeight="1">
      <c r="G117" s="157"/>
    </row>
    <row r="118" ht="15.75" customHeight="1">
      <c r="G118" s="157"/>
    </row>
    <row r="119" ht="15.75" customHeight="1">
      <c r="G119" s="157"/>
    </row>
    <row r="120" ht="15.75" customHeight="1">
      <c r="G120" s="157"/>
    </row>
    <row r="121" ht="15.75" customHeight="1">
      <c r="G121" s="157"/>
    </row>
    <row r="122" ht="15.75" customHeight="1">
      <c r="G122" s="157"/>
    </row>
    <row r="123" ht="15.75" customHeight="1">
      <c r="G123" s="157"/>
    </row>
    <row r="124" ht="15.75" customHeight="1">
      <c r="G124" s="157"/>
    </row>
    <row r="125" ht="15.75" customHeight="1">
      <c r="G125" s="157"/>
    </row>
    <row r="126" ht="15.75" customHeight="1">
      <c r="G126" s="157"/>
    </row>
    <row r="127" ht="15.75" customHeight="1">
      <c r="G127" s="157"/>
    </row>
    <row r="128" ht="15.75" customHeight="1">
      <c r="G128" s="157"/>
    </row>
    <row r="129" ht="15.75" customHeight="1">
      <c r="G129" s="157"/>
    </row>
    <row r="130" ht="15.75" customHeight="1">
      <c r="G130" s="157"/>
    </row>
    <row r="131" ht="15.75" customHeight="1">
      <c r="G131" s="157"/>
    </row>
    <row r="132" ht="15.75" customHeight="1">
      <c r="G132" s="157"/>
    </row>
    <row r="133" ht="15.75" customHeight="1">
      <c r="G133" s="157"/>
    </row>
    <row r="134" ht="15.75" customHeight="1">
      <c r="G134" s="157"/>
    </row>
    <row r="135" ht="15.75" customHeight="1">
      <c r="G135" s="157"/>
    </row>
    <row r="136" ht="15.75" customHeight="1">
      <c r="G136" s="157"/>
    </row>
    <row r="137" ht="15.75" customHeight="1">
      <c r="G137" s="157"/>
    </row>
    <row r="138" ht="15.75" customHeight="1">
      <c r="G138" s="157"/>
    </row>
    <row r="139" ht="15.75" customHeight="1">
      <c r="G139" s="157"/>
    </row>
    <row r="140" ht="15.75" customHeight="1">
      <c r="G140" s="157"/>
    </row>
    <row r="141" ht="15.75" customHeight="1">
      <c r="G141" s="157"/>
    </row>
    <row r="142" ht="15.75" customHeight="1">
      <c r="G142" s="157"/>
    </row>
    <row r="143" ht="15.75" customHeight="1">
      <c r="G143" s="157"/>
    </row>
    <row r="144" ht="15.75" customHeight="1">
      <c r="G144" s="157"/>
    </row>
    <row r="145" ht="15.75" customHeight="1">
      <c r="G145" s="157"/>
    </row>
    <row r="146" ht="15.75" customHeight="1">
      <c r="G146" s="157"/>
    </row>
    <row r="147" ht="15.75" customHeight="1">
      <c r="G147" s="157"/>
    </row>
    <row r="148" ht="15.75" customHeight="1">
      <c r="G148" s="157"/>
    </row>
    <row r="149" ht="15.75" customHeight="1">
      <c r="G149" s="157"/>
    </row>
    <row r="150" ht="15.75" customHeight="1">
      <c r="G150" s="157"/>
    </row>
    <row r="151" ht="15.75" customHeight="1">
      <c r="G151" s="157"/>
    </row>
    <row r="152" ht="15.75" customHeight="1">
      <c r="G152" s="157"/>
    </row>
    <row r="153" ht="15.75" customHeight="1">
      <c r="G153" s="157"/>
    </row>
    <row r="154" ht="15.75" customHeight="1">
      <c r="G154" s="157"/>
    </row>
    <row r="155" ht="15.75" customHeight="1">
      <c r="G155" s="157"/>
    </row>
    <row r="156" ht="15.75" customHeight="1">
      <c r="G156" s="157"/>
    </row>
    <row r="157" ht="15.75" customHeight="1">
      <c r="G157" s="157"/>
    </row>
    <row r="158" ht="15.75" customHeight="1">
      <c r="G158" s="157"/>
    </row>
    <row r="159" ht="15.75" customHeight="1">
      <c r="G159" s="157"/>
    </row>
    <row r="160" ht="15.75" customHeight="1">
      <c r="G160" s="157"/>
    </row>
    <row r="161" ht="15.75" customHeight="1">
      <c r="G161" s="157"/>
    </row>
    <row r="162" ht="15.75" customHeight="1">
      <c r="G162" s="157"/>
    </row>
    <row r="163" ht="15.75" customHeight="1">
      <c r="G163" s="157"/>
    </row>
    <row r="164" ht="15.75" customHeight="1">
      <c r="G164" s="157"/>
    </row>
    <row r="165" ht="15.75" customHeight="1">
      <c r="G165" s="157"/>
    </row>
    <row r="166" ht="15.75" customHeight="1">
      <c r="G166" s="157"/>
    </row>
    <row r="167" ht="15.75" customHeight="1">
      <c r="G167" s="157"/>
    </row>
    <row r="168" ht="15.75" customHeight="1">
      <c r="G168" s="157"/>
    </row>
    <row r="169" ht="15.75" customHeight="1">
      <c r="G169" s="157"/>
    </row>
    <row r="170" ht="15.75" customHeight="1">
      <c r="G170" s="157"/>
    </row>
    <row r="171" ht="15.75" customHeight="1">
      <c r="G171" s="157"/>
    </row>
    <row r="172" ht="15.75" customHeight="1">
      <c r="G172" s="157"/>
    </row>
    <row r="173" ht="15.75" customHeight="1">
      <c r="G173" s="157"/>
    </row>
    <row r="174" ht="15.75" customHeight="1">
      <c r="G174" s="157"/>
    </row>
    <row r="175" ht="15.75" customHeight="1">
      <c r="G175" s="157"/>
    </row>
    <row r="176" ht="15.75" customHeight="1">
      <c r="G176" s="157"/>
    </row>
    <row r="177" ht="15.75" customHeight="1">
      <c r="G177" s="157"/>
    </row>
    <row r="178" ht="15.75" customHeight="1">
      <c r="G178" s="157"/>
    </row>
    <row r="179" ht="15.75" customHeight="1">
      <c r="G179" s="157"/>
    </row>
    <row r="180" ht="15.75" customHeight="1">
      <c r="G180" s="157"/>
    </row>
    <row r="181" ht="15.75" customHeight="1">
      <c r="G181" s="157"/>
    </row>
    <row r="182" ht="15.75" customHeight="1">
      <c r="G182" s="157"/>
    </row>
    <row r="183" ht="15.75" customHeight="1">
      <c r="G183" s="157"/>
    </row>
    <row r="184" ht="15.75" customHeight="1">
      <c r="G184" s="157"/>
    </row>
    <row r="185" ht="15.75" customHeight="1">
      <c r="G185" s="157"/>
    </row>
    <row r="186" ht="15.75" customHeight="1">
      <c r="G186" s="157"/>
    </row>
    <row r="187" ht="15.75" customHeight="1">
      <c r="G187" s="157"/>
    </row>
    <row r="188" ht="15.75" customHeight="1">
      <c r="G188" s="157"/>
    </row>
    <row r="189" ht="15.75" customHeight="1">
      <c r="G189" s="157"/>
    </row>
    <row r="190" ht="15.75" customHeight="1">
      <c r="G190" s="157"/>
    </row>
    <row r="191" ht="15.75" customHeight="1">
      <c r="G191" s="157"/>
    </row>
    <row r="192" ht="15.75" customHeight="1">
      <c r="G192" s="157"/>
    </row>
    <row r="193" ht="15.75" customHeight="1">
      <c r="G193" s="157"/>
    </row>
    <row r="194" ht="15.75" customHeight="1">
      <c r="G194" s="157"/>
    </row>
    <row r="195" ht="15.75" customHeight="1">
      <c r="G195" s="157"/>
    </row>
    <row r="196" ht="15.75" customHeight="1">
      <c r="G196" s="157"/>
    </row>
    <row r="197" ht="15.75" customHeight="1">
      <c r="G197" s="157"/>
    </row>
    <row r="198" ht="15.75" customHeight="1">
      <c r="G198" s="157"/>
    </row>
    <row r="199" ht="15.75" customHeight="1">
      <c r="G199" s="157"/>
    </row>
    <row r="200" ht="15.75" customHeight="1">
      <c r="G200" s="157"/>
    </row>
    <row r="201" ht="15.75" customHeight="1">
      <c r="G201" s="157"/>
    </row>
    <row r="202" ht="15.75" customHeight="1">
      <c r="G202" s="157"/>
    </row>
    <row r="203" ht="15.75" customHeight="1">
      <c r="G203" s="157"/>
    </row>
    <row r="204" ht="15.75" customHeight="1">
      <c r="G204" s="157"/>
    </row>
    <row r="205" ht="15.75" customHeight="1">
      <c r="G205" s="157"/>
    </row>
    <row r="206" ht="15.75" customHeight="1">
      <c r="G206" s="157"/>
    </row>
    <row r="207" ht="15.75" customHeight="1">
      <c r="G207" s="157"/>
    </row>
    <row r="208" ht="15.75" customHeight="1">
      <c r="G208" s="157"/>
    </row>
    <row r="209" ht="15.75" customHeight="1">
      <c r="G209" s="157"/>
    </row>
    <row r="210" ht="15.75" customHeight="1">
      <c r="G210" s="157"/>
    </row>
    <row r="211" ht="15.75" customHeight="1">
      <c r="G211" s="157"/>
    </row>
    <row r="212" ht="15.75" customHeight="1">
      <c r="G212" s="157"/>
    </row>
    <row r="213" ht="15.75" customHeight="1">
      <c r="G213" s="157"/>
    </row>
    <row r="214" ht="15.75" customHeight="1">
      <c r="G214" s="157"/>
    </row>
    <row r="215" ht="15.75" customHeight="1">
      <c r="G215" s="157"/>
    </row>
    <row r="216" ht="15.75" customHeight="1">
      <c r="G216" s="157"/>
    </row>
    <row r="217" ht="15.75" customHeight="1">
      <c r="G217" s="157"/>
    </row>
    <row r="218" ht="15.75" customHeight="1">
      <c r="G218" s="157"/>
    </row>
    <row r="219" ht="15.75" customHeight="1">
      <c r="G219" s="157"/>
    </row>
    <row r="220" ht="15.75" customHeight="1">
      <c r="G220" s="157"/>
    </row>
    <row r="221" ht="15.75" customHeight="1">
      <c r="G221" s="157"/>
    </row>
    <row r="222" ht="15.75" customHeight="1">
      <c r="G222" s="157"/>
    </row>
    <row r="223" ht="15.75" customHeight="1">
      <c r="G223" s="157"/>
    </row>
    <row r="224" ht="15.75" customHeight="1">
      <c r="G224" s="157"/>
    </row>
    <row r="225" ht="15.75" customHeight="1">
      <c r="G225" s="157"/>
    </row>
    <row r="226" ht="15.75" customHeight="1">
      <c r="G226" s="157"/>
    </row>
    <row r="227" ht="15.75" customHeight="1">
      <c r="G227" s="157"/>
    </row>
    <row r="228" ht="15.75" customHeight="1">
      <c r="G228" s="157"/>
    </row>
    <row r="229" ht="15.75" customHeight="1">
      <c r="G229" s="157"/>
    </row>
    <row r="230" ht="15.75" customHeight="1">
      <c r="G230" s="157"/>
    </row>
    <row r="231" ht="15.75" customHeight="1">
      <c r="G231" s="157"/>
    </row>
    <row r="232" ht="15.75" customHeight="1">
      <c r="G232" s="157"/>
    </row>
    <row r="233" ht="15.75" customHeight="1">
      <c r="G233" s="157"/>
    </row>
    <row r="234" ht="15.75" customHeight="1">
      <c r="G234" s="157"/>
    </row>
    <row r="235" ht="15.75" customHeight="1">
      <c r="G235" s="157"/>
    </row>
    <row r="236" ht="15.75" customHeight="1">
      <c r="G236" s="157"/>
    </row>
    <row r="237" ht="15.75" customHeight="1">
      <c r="G237" s="157"/>
    </row>
    <row r="238" ht="15.75" customHeight="1">
      <c r="G238" s="157"/>
    </row>
    <row r="239" ht="15.75" customHeight="1">
      <c r="G239" s="157"/>
    </row>
    <row r="240" ht="15.75" customHeight="1">
      <c r="G240" s="157"/>
    </row>
    <row r="241" ht="15.75" customHeight="1">
      <c r="G241" s="157"/>
    </row>
    <row r="242" ht="15.75" customHeight="1">
      <c r="G242" s="157"/>
    </row>
    <row r="243" ht="15.75" customHeight="1">
      <c r="G243" s="157"/>
    </row>
    <row r="244" ht="15.75" customHeight="1">
      <c r="G244" s="157"/>
    </row>
    <row r="245" ht="15.75" customHeight="1">
      <c r="G245" s="157"/>
    </row>
    <row r="246" ht="15.75" customHeight="1">
      <c r="G246" s="157"/>
    </row>
    <row r="247" ht="15.75" customHeight="1">
      <c r="G247" s="157"/>
    </row>
    <row r="248" ht="15.75" customHeight="1">
      <c r="G248" s="157"/>
    </row>
    <row r="249" ht="15.75" customHeight="1">
      <c r="G249" s="157"/>
    </row>
    <row r="250" ht="15.75" customHeight="1">
      <c r="G250" s="157"/>
    </row>
    <row r="251" ht="15.75" customHeight="1">
      <c r="G251" s="157"/>
    </row>
    <row r="252" ht="15.75" customHeight="1">
      <c r="G252" s="157"/>
    </row>
    <row r="253" ht="15.75" customHeight="1">
      <c r="G253" s="157"/>
    </row>
    <row r="254" ht="15.75" customHeight="1">
      <c r="G254" s="157"/>
    </row>
    <row r="255" ht="15.75" customHeight="1">
      <c r="G255" s="157"/>
    </row>
    <row r="256" ht="15.75" customHeight="1">
      <c r="G256" s="157"/>
    </row>
    <row r="257" ht="15.75" customHeight="1">
      <c r="G257" s="157"/>
    </row>
    <row r="258" ht="15.75" customHeight="1">
      <c r="G258" s="157"/>
    </row>
    <row r="259" ht="15.75" customHeight="1">
      <c r="G259" s="157"/>
    </row>
    <row r="260" ht="15.75" customHeight="1">
      <c r="G260" s="157"/>
    </row>
    <row r="261" ht="15.75" customHeight="1">
      <c r="G261" s="157"/>
    </row>
    <row r="262" ht="15.75" customHeight="1">
      <c r="G262" s="157"/>
    </row>
    <row r="263" ht="15.75" customHeight="1">
      <c r="G263" s="157"/>
    </row>
    <row r="264" ht="15.75" customHeight="1">
      <c r="G264" s="157"/>
    </row>
    <row r="265" ht="15.75" customHeight="1">
      <c r="G265" s="157"/>
    </row>
    <row r="266" ht="15.75" customHeight="1">
      <c r="G266" s="157"/>
    </row>
    <row r="267" ht="15.75" customHeight="1">
      <c r="G267" s="157"/>
    </row>
    <row r="268" ht="15.75" customHeight="1">
      <c r="G268" s="157"/>
    </row>
    <row r="269" ht="15.75" customHeight="1">
      <c r="G269" s="157"/>
    </row>
    <row r="270" ht="15.75" customHeight="1">
      <c r="G270" s="157"/>
    </row>
    <row r="271" ht="15.75" customHeight="1">
      <c r="G271" s="157"/>
    </row>
    <row r="272" ht="15.75" customHeight="1">
      <c r="G272" s="157"/>
    </row>
    <row r="273" ht="15.75" customHeight="1">
      <c r="G273" s="157"/>
    </row>
    <row r="274" ht="15.75" customHeight="1">
      <c r="G274" s="157"/>
    </row>
    <row r="275" ht="15.75" customHeight="1">
      <c r="G275" s="157"/>
    </row>
    <row r="276" ht="15.75" customHeight="1">
      <c r="G276" s="157"/>
    </row>
    <row r="277" ht="15.75" customHeight="1">
      <c r="G277" s="157"/>
    </row>
    <row r="278" ht="15.75" customHeight="1">
      <c r="G278" s="157"/>
    </row>
    <row r="279" ht="15.75" customHeight="1">
      <c r="G279" s="157"/>
    </row>
    <row r="280" ht="15.75" customHeight="1">
      <c r="G280" s="157"/>
    </row>
    <row r="281" ht="15.75" customHeight="1">
      <c r="G281" s="157"/>
    </row>
    <row r="282" ht="15.75" customHeight="1">
      <c r="G282" s="157"/>
    </row>
    <row r="283" ht="15.75" customHeight="1">
      <c r="G283" s="157"/>
    </row>
    <row r="284" ht="15.75" customHeight="1">
      <c r="G284" s="157"/>
    </row>
    <row r="285" ht="15.75" customHeight="1">
      <c r="G285" s="157"/>
    </row>
    <row r="286" ht="15.75" customHeight="1">
      <c r="G286" s="157"/>
    </row>
    <row r="287" ht="15.75" customHeight="1">
      <c r="G287" s="157"/>
    </row>
    <row r="288" ht="15.75" customHeight="1">
      <c r="G288" s="157"/>
    </row>
    <row r="289" ht="15.75" customHeight="1">
      <c r="G289" s="157"/>
    </row>
    <row r="290" ht="15.75" customHeight="1">
      <c r="G290" s="157"/>
    </row>
    <row r="291" ht="15.75" customHeight="1">
      <c r="G291" s="157"/>
    </row>
    <row r="292" ht="15.75" customHeight="1">
      <c r="G292" s="157"/>
    </row>
    <row r="293" ht="15.75" customHeight="1">
      <c r="G293" s="157"/>
    </row>
    <row r="294" ht="15.75" customHeight="1">
      <c r="G294" s="157"/>
    </row>
    <row r="295" ht="15.75" customHeight="1">
      <c r="G295" s="157"/>
    </row>
    <row r="296" ht="15.75" customHeight="1">
      <c r="G296" s="157"/>
    </row>
    <row r="297" ht="15.75" customHeight="1">
      <c r="G297" s="157"/>
    </row>
    <row r="298" ht="15.75" customHeight="1">
      <c r="G298" s="157"/>
    </row>
    <row r="299" ht="15.75" customHeight="1">
      <c r="G299" s="157"/>
    </row>
    <row r="300" ht="15.75" customHeight="1">
      <c r="G300" s="157"/>
    </row>
    <row r="301" ht="15.75" customHeight="1">
      <c r="G301" s="157"/>
    </row>
    <row r="302" ht="15.75" customHeight="1">
      <c r="G302" s="157"/>
    </row>
    <row r="303" ht="15.75" customHeight="1">
      <c r="G303" s="157"/>
    </row>
    <row r="304" ht="15.75" customHeight="1">
      <c r="G304" s="157"/>
    </row>
    <row r="305" ht="15.75" customHeight="1">
      <c r="G305" s="157"/>
    </row>
    <row r="306" ht="15.75" customHeight="1">
      <c r="G306" s="157"/>
    </row>
    <row r="307" ht="15.75" customHeight="1">
      <c r="G307" s="157"/>
    </row>
    <row r="308" ht="15.75" customHeight="1">
      <c r="G308" s="157"/>
    </row>
    <row r="309" ht="15.75" customHeight="1">
      <c r="G309" s="157"/>
    </row>
    <row r="310" ht="15.75" customHeight="1">
      <c r="G310" s="157"/>
    </row>
    <row r="311" ht="15.75" customHeight="1">
      <c r="G311" s="157"/>
    </row>
    <row r="312" ht="15.75" customHeight="1">
      <c r="G312" s="157"/>
    </row>
    <row r="313" ht="15.75" customHeight="1">
      <c r="G313" s="157"/>
    </row>
    <row r="314" ht="15.75" customHeight="1">
      <c r="G314" s="157"/>
    </row>
    <row r="315" ht="15.75" customHeight="1">
      <c r="G315" s="157"/>
    </row>
    <row r="316" ht="15.75" customHeight="1">
      <c r="G316" s="157"/>
    </row>
    <row r="317" ht="15.75" customHeight="1">
      <c r="G317" s="157"/>
    </row>
    <row r="318" ht="15.75" customHeight="1">
      <c r="G318" s="157"/>
    </row>
    <row r="319" ht="15.75" customHeight="1">
      <c r="G319" s="157"/>
    </row>
    <row r="320" ht="15.75" customHeight="1">
      <c r="G320" s="157"/>
    </row>
    <row r="321" ht="15.75" customHeight="1">
      <c r="G321" s="157"/>
    </row>
    <row r="322" ht="15.75" customHeight="1">
      <c r="G322" s="157"/>
    </row>
    <row r="323" ht="15.75" customHeight="1">
      <c r="G323" s="157"/>
    </row>
    <row r="324" ht="15.75" customHeight="1">
      <c r="G324" s="157"/>
    </row>
    <row r="325" ht="15.75" customHeight="1">
      <c r="G325" s="157"/>
    </row>
    <row r="326" ht="15.75" customHeight="1">
      <c r="G326" s="157"/>
    </row>
    <row r="327" ht="15.75" customHeight="1">
      <c r="G327" s="157"/>
    </row>
    <row r="328" ht="15.75" customHeight="1">
      <c r="G328" s="157"/>
    </row>
    <row r="329" ht="15.75" customHeight="1">
      <c r="G329" s="157"/>
    </row>
    <row r="330" ht="15.75" customHeight="1">
      <c r="G330" s="157"/>
    </row>
    <row r="331" ht="15.75" customHeight="1">
      <c r="G331" s="157"/>
    </row>
    <row r="332" ht="15.75" customHeight="1">
      <c r="G332" s="157"/>
    </row>
    <row r="333" ht="15.75" customHeight="1">
      <c r="G333" s="157"/>
    </row>
    <row r="334" ht="15.75" customHeight="1">
      <c r="G334" s="157"/>
    </row>
    <row r="335" ht="15.75" customHeight="1">
      <c r="G335" s="157"/>
    </row>
    <row r="336" ht="15.75" customHeight="1">
      <c r="G336" s="157"/>
    </row>
    <row r="337" ht="15.75" customHeight="1">
      <c r="G337" s="157"/>
    </row>
    <row r="338" ht="15.75" customHeight="1">
      <c r="G338" s="157"/>
    </row>
    <row r="339" ht="15.75" customHeight="1">
      <c r="G339" s="157"/>
    </row>
    <row r="340" ht="15.75" customHeight="1">
      <c r="G340" s="157"/>
    </row>
    <row r="341" ht="15.75" customHeight="1">
      <c r="G341" s="157"/>
    </row>
    <row r="342" ht="15.75" customHeight="1">
      <c r="G342" s="157"/>
    </row>
    <row r="343" ht="15.75" customHeight="1">
      <c r="G343" s="157"/>
    </row>
    <row r="344" ht="15.75" customHeight="1">
      <c r="G344" s="157"/>
    </row>
    <row r="345" ht="15.75" customHeight="1">
      <c r="G345" s="157"/>
    </row>
    <row r="346" ht="15.75" customHeight="1">
      <c r="G346" s="157"/>
    </row>
    <row r="347" ht="15.75" customHeight="1">
      <c r="G347" s="157"/>
    </row>
    <row r="348" ht="15.75" customHeight="1">
      <c r="G348" s="157"/>
    </row>
    <row r="349" ht="15.75" customHeight="1">
      <c r="G349" s="157"/>
    </row>
    <row r="350" ht="15.75" customHeight="1">
      <c r="G350" s="157"/>
    </row>
    <row r="351" ht="15.75" customHeight="1">
      <c r="G351" s="157"/>
    </row>
    <row r="352" ht="15.75" customHeight="1">
      <c r="G352" s="157"/>
    </row>
    <row r="353" ht="15.75" customHeight="1">
      <c r="G353" s="157"/>
    </row>
    <row r="354" ht="15.75" customHeight="1">
      <c r="G354" s="157"/>
    </row>
    <row r="355" ht="15.75" customHeight="1">
      <c r="G355" s="157"/>
    </row>
    <row r="356" ht="15.75" customHeight="1">
      <c r="G356" s="157"/>
    </row>
    <row r="357" ht="15.75" customHeight="1">
      <c r="G357" s="157"/>
    </row>
    <row r="358" ht="15.75" customHeight="1">
      <c r="G358" s="157"/>
    </row>
    <row r="359" ht="15.75" customHeight="1">
      <c r="G359" s="157"/>
    </row>
    <row r="360" ht="15.75" customHeight="1">
      <c r="G360" s="157"/>
    </row>
    <row r="361" ht="15.75" customHeight="1">
      <c r="G361" s="157"/>
    </row>
    <row r="362" ht="15.75" customHeight="1">
      <c r="G362" s="157"/>
    </row>
    <row r="363" ht="15.75" customHeight="1">
      <c r="G363" s="157"/>
    </row>
    <row r="364" ht="15.75" customHeight="1">
      <c r="G364" s="157"/>
    </row>
    <row r="365" ht="15.75" customHeight="1">
      <c r="G365" s="157"/>
    </row>
    <row r="366" ht="15.75" customHeight="1">
      <c r="G366" s="157"/>
    </row>
    <row r="367" ht="15.75" customHeight="1">
      <c r="G367" s="157"/>
    </row>
    <row r="368" ht="15.75" customHeight="1">
      <c r="G368" s="157"/>
    </row>
    <row r="369" ht="15.75" customHeight="1">
      <c r="G369" s="157"/>
    </row>
    <row r="370" ht="15.75" customHeight="1">
      <c r="G370" s="157"/>
    </row>
    <row r="371" ht="15.75" customHeight="1">
      <c r="G371" s="157"/>
    </row>
    <row r="372" ht="15.75" customHeight="1">
      <c r="G372" s="157"/>
    </row>
    <row r="373" ht="15.75" customHeight="1">
      <c r="G373" s="157"/>
    </row>
    <row r="374" ht="15.75" customHeight="1">
      <c r="G374" s="157"/>
    </row>
    <row r="375" ht="15.75" customHeight="1">
      <c r="G375" s="157"/>
    </row>
    <row r="376" ht="15.75" customHeight="1">
      <c r="G376" s="157"/>
    </row>
    <row r="377" ht="15.75" customHeight="1">
      <c r="G377" s="157"/>
    </row>
    <row r="378" ht="15.75" customHeight="1">
      <c r="G378" s="157"/>
    </row>
    <row r="379" ht="15.75" customHeight="1">
      <c r="G379" s="157"/>
    </row>
    <row r="380" ht="15.75" customHeight="1">
      <c r="G380" s="157"/>
    </row>
    <row r="381" ht="15.75" customHeight="1">
      <c r="G381" s="157"/>
    </row>
    <row r="382" ht="15.75" customHeight="1">
      <c r="G382" s="157"/>
    </row>
    <row r="383" ht="15.75" customHeight="1">
      <c r="G383" s="157"/>
    </row>
    <row r="384" ht="15.75" customHeight="1">
      <c r="G384" s="157"/>
    </row>
    <row r="385" ht="15.75" customHeight="1">
      <c r="G385" s="157"/>
    </row>
    <row r="386" ht="15.75" customHeight="1">
      <c r="G386" s="157"/>
    </row>
    <row r="387" ht="15.75" customHeight="1">
      <c r="G387" s="157"/>
    </row>
    <row r="388" ht="15.75" customHeight="1">
      <c r="G388" s="157"/>
    </row>
    <row r="389" ht="15.75" customHeight="1">
      <c r="G389" s="157"/>
    </row>
    <row r="390" ht="15.75" customHeight="1">
      <c r="G390" s="157"/>
    </row>
    <row r="391" ht="15.75" customHeight="1">
      <c r="G391" s="157"/>
    </row>
    <row r="392" ht="15.75" customHeight="1">
      <c r="G392" s="157"/>
    </row>
    <row r="393" ht="15.75" customHeight="1">
      <c r="G393" s="157"/>
    </row>
    <row r="394" ht="15.75" customHeight="1">
      <c r="G394" s="157"/>
    </row>
    <row r="395" ht="15.75" customHeight="1">
      <c r="G395" s="157"/>
    </row>
    <row r="396" ht="15.75" customHeight="1">
      <c r="G396" s="157"/>
    </row>
    <row r="397" ht="15.75" customHeight="1">
      <c r="G397" s="157"/>
    </row>
    <row r="398" ht="15.75" customHeight="1">
      <c r="G398" s="157"/>
    </row>
    <row r="399" ht="15.75" customHeight="1">
      <c r="G399" s="157"/>
    </row>
    <row r="400" ht="15.75" customHeight="1">
      <c r="G400" s="157"/>
    </row>
    <row r="401" ht="15.75" customHeight="1">
      <c r="G401" s="157"/>
    </row>
    <row r="402" ht="15.75" customHeight="1">
      <c r="G402" s="157"/>
    </row>
    <row r="403" ht="15.75" customHeight="1">
      <c r="G403" s="157"/>
    </row>
    <row r="404" ht="15.75" customHeight="1">
      <c r="G404" s="157"/>
    </row>
    <row r="405" ht="15.75" customHeight="1">
      <c r="G405" s="157"/>
    </row>
    <row r="406" ht="15.75" customHeight="1">
      <c r="G406" s="157"/>
    </row>
    <row r="407" ht="15.75" customHeight="1">
      <c r="G407" s="157"/>
    </row>
    <row r="408" ht="15.75" customHeight="1">
      <c r="G408" s="157"/>
    </row>
    <row r="409" ht="15.75" customHeight="1">
      <c r="G409" s="157"/>
    </row>
    <row r="410" ht="15.75" customHeight="1">
      <c r="G410" s="157"/>
    </row>
    <row r="411" ht="15.75" customHeight="1">
      <c r="G411" s="157"/>
    </row>
    <row r="412" ht="15.75" customHeight="1">
      <c r="G412" s="157"/>
    </row>
    <row r="413" ht="15.75" customHeight="1">
      <c r="G413" s="157"/>
    </row>
    <row r="414" ht="15.75" customHeight="1">
      <c r="G414" s="157"/>
    </row>
    <row r="415" ht="15.75" customHeight="1">
      <c r="G415" s="157"/>
    </row>
    <row r="416" ht="15.75" customHeight="1">
      <c r="G416" s="157"/>
    </row>
    <row r="417" ht="15.75" customHeight="1">
      <c r="G417" s="157"/>
    </row>
    <row r="418" ht="15.75" customHeight="1">
      <c r="G418" s="157"/>
    </row>
    <row r="419" ht="15.75" customHeight="1">
      <c r="G419" s="157"/>
    </row>
    <row r="420" ht="15.75" customHeight="1">
      <c r="G420" s="157"/>
    </row>
    <row r="421" ht="15.75" customHeight="1">
      <c r="G421" s="157"/>
    </row>
    <row r="422" ht="15.75" customHeight="1">
      <c r="G422" s="157"/>
    </row>
    <row r="423" ht="15.75" customHeight="1">
      <c r="G423" s="157"/>
    </row>
    <row r="424" ht="15.75" customHeight="1">
      <c r="G424" s="157"/>
    </row>
    <row r="425" ht="15.75" customHeight="1">
      <c r="G425" s="157"/>
    </row>
    <row r="426" ht="15.75" customHeight="1">
      <c r="G426" s="157"/>
    </row>
    <row r="427" ht="15.75" customHeight="1">
      <c r="G427" s="157"/>
    </row>
    <row r="428" ht="15.75" customHeight="1">
      <c r="G428" s="157"/>
    </row>
    <row r="429" ht="15.75" customHeight="1">
      <c r="G429" s="157"/>
    </row>
    <row r="430" ht="15.75" customHeight="1">
      <c r="G430" s="157"/>
    </row>
    <row r="431" ht="15.75" customHeight="1">
      <c r="G431" s="157"/>
    </row>
    <row r="432" ht="15.75" customHeight="1">
      <c r="G432" s="157"/>
    </row>
    <row r="433" ht="15.75" customHeight="1">
      <c r="G433" s="157"/>
    </row>
    <row r="434" ht="15.75" customHeight="1">
      <c r="G434" s="157"/>
    </row>
    <row r="435" ht="15.75" customHeight="1">
      <c r="G435" s="157"/>
    </row>
    <row r="436" ht="15.75" customHeight="1">
      <c r="G436" s="157"/>
    </row>
    <row r="437" ht="15.75" customHeight="1">
      <c r="G437" s="157"/>
    </row>
    <row r="438" ht="15.75" customHeight="1">
      <c r="G438" s="157"/>
    </row>
    <row r="439" ht="15.75" customHeight="1">
      <c r="G439" s="157"/>
    </row>
    <row r="440" ht="15.75" customHeight="1">
      <c r="G440" s="157"/>
    </row>
    <row r="441" ht="15.75" customHeight="1">
      <c r="G441" s="157"/>
    </row>
    <row r="442" ht="15.75" customHeight="1">
      <c r="G442" s="157"/>
    </row>
    <row r="443" ht="15.75" customHeight="1">
      <c r="G443" s="157"/>
    </row>
    <row r="444" ht="15.75" customHeight="1">
      <c r="G444" s="157"/>
    </row>
    <row r="445" ht="15.75" customHeight="1">
      <c r="G445" s="157"/>
    </row>
    <row r="446" ht="15.75" customHeight="1">
      <c r="G446" s="157"/>
    </row>
    <row r="447" ht="15.75" customHeight="1">
      <c r="G447" s="157"/>
    </row>
    <row r="448" ht="15.75" customHeight="1">
      <c r="G448" s="157"/>
    </row>
    <row r="449" ht="15.75" customHeight="1">
      <c r="G449" s="157"/>
    </row>
    <row r="450" ht="15.75" customHeight="1">
      <c r="G450" s="157"/>
    </row>
    <row r="451" ht="15.75" customHeight="1">
      <c r="G451" s="157"/>
    </row>
    <row r="452" ht="15.75" customHeight="1">
      <c r="G452" s="157"/>
    </row>
    <row r="453" ht="15.75" customHeight="1">
      <c r="G453" s="157"/>
    </row>
    <row r="454" ht="15.75" customHeight="1">
      <c r="G454" s="157"/>
    </row>
    <row r="455" ht="15.75" customHeight="1">
      <c r="G455" s="157"/>
    </row>
    <row r="456" ht="15.75" customHeight="1">
      <c r="G456" s="157"/>
    </row>
    <row r="457" ht="15.75" customHeight="1">
      <c r="G457" s="157"/>
    </row>
    <row r="458" ht="15.75" customHeight="1">
      <c r="G458" s="157"/>
    </row>
    <row r="459" ht="15.75" customHeight="1">
      <c r="G459" s="157"/>
    </row>
    <row r="460" ht="15.75" customHeight="1">
      <c r="G460" s="157"/>
    </row>
    <row r="461" ht="15.75" customHeight="1">
      <c r="G461" s="157"/>
    </row>
    <row r="462" ht="15.75" customHeight="1">
      <c r="G462" s="157"/>
    </row>
    <row r="463" ht="15.75" customHeight="1">
      <c r="G463" s="157"/>
    </row>
    <row r="464" ht="15.75" customHeight="1">
      <c r="G464" s="157"/>
    </row>
    <row r="465" ht="15.75" customHeight="1">
      <c r="G465" s="157"/>
    </row>
    <row r="466" ht="15.75" customHeight="1">
      <c r="G466" s="157"/>
    </row>
    <row r="467" ht="15.75" customHeight="1">
      <c r="G467" s="157"/>
    </row>
    <row r="468" ht="15.75" customHeight="1">
      <c r="G468" s="157"/>
    </row>
    <row r="469" ht="15.75" customHeight="1">
      <c r="G469" s="157"/>
    </row>
    <row r="470" ht="15.75" customHeight="1">
      <c r="G470" s="157"/>
    </row>
    <row r="471" ht="15.75" customHeight="1">
      <c r="G471" s="157"/>
    </row>
    <row r="472" ht="15.75" customHeight="1">
      <c r="G472" s="157"/>
    </row>
    <row r="473" ht="15.75" customHeight="1">
      <c r="G473" s="157"/>
    </row>
    <row r="474" ht="15.75" customHeight="1">
      <c r="G474" s="157"/>
    </row>
    <row r="475" ht="15.75" customHeight="1">
      <c r="G475" s="157"/>
    </row>
    <row r="476" ht="15.75" customHeight="1">
      <c r="G476" s="157"/>
    </row>
    <row r="477" ht="15.75" customHeight="1">
      <c r="G477" s="157"/>
    </row>
    <row r="478" ht="15.75" customHeight="1">
      <c r="G478" s="157"/>
    </row>
    <row r="479" ht="15.75" customHeight="1">
      <c r="G479" s="157"/>
    </row>
    <row r="480" ht="15.75" customHeight="1">
      <c r="G480" s="157"/>
    </row>
    <row r="481" ht="15.75" customHeight="1">
      <c r="G481" s="157"/>
    </row>
    <row r="482" ht="15.75" customHeight="1">
      <c r="G482" s="157"/>
    </row>
    <row r="483" ht="15.75" customHeight="1">
      <c r="G483" s="157"/>
    </row>
    <row r="484" ht="15.75" customHeight="1">
      <c r="G484" s="157"/>
    </row>
    <row r="485" ht="15.75" customHeight="1">
      <c r="G485" s="157"/>
    </row>
    <row r="486" ht="15.75" customHeight="1">
      <c r="G486" s="157"/>
    </row>
    <row r="487" ht="15.75" customHeight="1">
      <c r="G487" s="157"/>
    </row>
    <row r="488" ht="15.75" customHeight="1">
      <c r="G488" s="157"/>
    </row>
    <row r="489" ht="15.75" customHeight="1">
      <c r="G489" s="157"/>
    </row>
    <row r="490" ht="15.75" customHeight="1">
      <c r="G490" s="157"/>
    </row>
    <row r="491" ht="15.75" customHeight="1">
      <c r="G491" s="157"/>
    </row>
    <row r="492" ht="15.75" customHeight="1">
      <c r="G492" s="157"/>
    </row>
    <row r="493" ht="15.75" customHeight="1">
      <c r="G493" s="157"/>
    </row>
    <row r="494" ht="15.75" customHeight="1">
      <c r="G494" s="157"/>
    </row>
    <row r="495" ht="15.75" customHeight="1">
      <c r="G495" s="157"/>
    </row>
    <row r="496" ht="15.75" customHeight="1">
      <c r="G496" s="157"/>
    </row>
    <row r="497" ht="15.75" customHeight="1">
      <c r="G497" s="157"/>
    </row>
    <row r="498" ht="15.75" customHeight="1">
      <c r="G498" s="157"/>
    </row>
    <row r="499" ht="15.75" customHeight="1">
      <c r="G499" s="157"/>
    </row>
    <row r="500" ht="15.75" customHeight="1">
      <c r="G500" s="157"/>
    </row>
    <row r="501" ht="15.75" customHeight="1">
      <c r="G501" s="157"/>
    </row>
    <row r="502" ht="15.75" customHeight="1">
      <c r="G502" s="157"/>
    </row>
    <row r="503" ht="15.75" customHeight="1">
      <c r="G503" s="157"/>
    </row>
    <row r="504" ht="15.75" customHeight="1">
      <c r="G504" s="157"/>
    </row>
    <row r="505" ht="15.75" customHeight="1">
      <c r="G505" s="157"/>
    </row>
    <row r="506" ht="15.75" customHeight="1">
      <c r="G506" s="157"/>
    </row>
    <row r="507" ht="15.75" customHeight="1">
      <c r="G507" s="157"/>
    </row>
    <row r="508" ht="15.75" customHeight="1">
      <c r="G508" s="157"/>
    </row>
    <row r="509" ht="15.75" customHeight="1">
      <c r="G509" s="157"/>
    </row>
    <row r="510" ht="15.75" customHeight="1">
      <c r="G510" s="157"/>
    </row>
    <row r="511" ht="15.75" customHeight="1">
      <c r="G511" s="157"/>
    </row>
    <row r="512" ht="15.75" customHeight="1">
      <c r="G512" s="157"/>
    </row>
    <row r="513" ht="15.75" customHeight="1">
      <c r="G513" s="157"/>
    </row>
    <row r="514" ht="15.75" customHeight="1">
      <c r="G514" s="157"/>
    </row>
    <row r="515" ht="15.75" customHeight="1">
      <c r="G515" s="157"/>
    </row>
    <row r="516" ht="15.75" customHeight="1">
      <c r="G516" s="157"/>
    </row>
    <row r="517" ht="15.75" customHeight="1">
      <c r="G517" s="157"/>
    </row>
    <row r="518" ht="15.75" customHeight="1">
      <c r="G518" s="157"/>
    </row>
    <row r="519" ht="15.75" customHeight="1">
      <c r="G519" s="157"/>
    </row>
    <row r="520" ht="15.75" customHeight="1">
      <c r="G520" s="157"/>
    </row>
    <row r="521" ht="15.75" customHeight="1">
      <c r="G521" s="157"/>
    </row>
    <row r="522" ht="15.75" customHeight="1">
      <c r="G522" s="157"/>
    </row>
    <row r="523" ht="15.75" customHeight="1">
      <c r="G523" s="157"/>
    </row>
    <row r="524" ht="15.75" customHeight="1">
      <c r="G524" s="157"/>
    </row>
    <row r="525" ht="15.75" customHeight="1">
      <c r="G525" s="157"/>
    </row>
    <row r="526" ht="15.75" customHeight="1">
      <c r="G526" s="157"/>
    </row>
    <row r="527" ht="15.75" customHeight="1">
      <c r="G527" s="157"/>
    </row>
    <row r="528" ht="15.75" customHeight="1">
      <c r="G528" s="157"/>
    </row>
    <row r="529" ht="15.75" customHeight="1">
      <c r="G529" s="157"/>
    </row>
    <row r="530" ht="15.75" customHeight="1">
      <c r="G530" s="157"/>
    </row>
    <row r="531" ht="15.75" customHeight="1">
      <c r="G531" s="157"/>
    </row>
    <row r="532" ht="15.75" customHeight="1">
      <c r="G532" s="157"/>
    </row>
    <row r="533" ht="15.75" customHeight="1">
      <c r="G533" s="157"/>
    </row>
    <row r="534" ht="15.75" customHeight="1">
      <c r="G534" s="157"/>
    </row>
    <row r="535" ht="15.75" customHeight="1">
      <c r="G535" s="157"/>
    </row>
    <row r="536" ht="15.75" customHeight="1">
      <c r="G536" s="157"/>
    </row>
    <row r="537" ht="15.75" customHeight="1">
      <c r="G537" s="157"/>
    </row>
    <row r="538" ht="15.75" customHeight="1">
      <c r="G538" s="157"/>
    </row>
    <row r="539" ht="15.75" customHeight="1">
      <c r="G539" s="157"/>
    </row>
    <row r="540" ht="15.75" customHeight="1">
      <c r="G540" s="157"/>
    </row>
    <row r="541" ht="15.75" customHeight="1">
      <c r="G541" s="157"/>
    </row>
    <row r="542" ht="15.75" customHeight="1">
      <c r="G542" s="157"/>
    </row>
    <row r="543" ht="15.75" customHeight="1">
      <c r="G543" s="157"/>
    </row>
    <row r="544" ht="15.75" customHeight="1">
      <c r="G544" s="157"/>
    </row>
    <row r="545" ht="15.75" customHeight="1">
      <c r="G545" s="157"/>
    </row>
    <row r="546" ht="15.75" customHeight="1">
      <c r="G546" s="157"/>
    </row>
    <row r="547" ht="15.75" customHeight="1">
      <c r="G547" s="157"/>
    </row>
    <row r="548" ht="15.75" customHeight="1">
      <c r="G548" s="157"/>
    </row>
    <row r="549" ht="15.75" customHeight="1">
      <c r="G549" s="157"/>
    </row>
    <row r="550" ht="15.75" customHeight="1">
      <c r="G550" s="157"/>
    </row>
    <row r="551" ht="15.75" customHeight="1">
      <c r="G551" s="157"/>
    </row>
    <row r="552" ht="15.75" customHeight="1">
      <c r="G552" s="157"/>
    </row>
    <row r="553" ht="15.75" customHeight="1">
      <c r="G553" s="157"/>
    </row>
    <row r="554" ht="15.75" customHeight="1">
      <c r="G554" s="157"/>
    </row>
    <row r="555" ht="15.75" customHeight="1">
      <c r="G555" s="157"/>
    </row>
    <row r="556" ht="15.75" customHeight="1">
      <c r="G556" s="157"/>
    </row>
    <row r="557" ht="15.75" customHeight="1">
      <c r="G557" s="157"/>
    </row>
    <row r="558" ht="15.75" customHeight="1">
      <c r="G558" s="157"/>
    </row>
    <row r="559" ht="15.75" customHeight="1">
      <c r="G559" s="157"/>
    </row>
    <row r="560" ht="15.75" customHeight="1">
      <c r="G560" s="157"/>
    </row>
    <row r="561" ht="15.75" customHeight="1">
      <c r="G561" s="157"/>
    </row>
    <row r="562" ht="15.75" customHeight="1">
      <c r="G562" s="157"/>
    </row>
    <row r="563" ht="15.75" customHeight="1">
      <c r="G563" s="157"/>
    </row>
    <row r="564" ht="15.75" customHeight="1">
      <c r="G564" s="157"/>
    </row>
    <row r="565" ht="15.75" customHeight="1">
      <c r="G565" s="157"/>
    </row>
    <row r="566" ht="15.75" customHeight="1">
      <c r="G566" s="157"/>
    </row>
    <row r="567" ht="15.75" customHeight="1">
      <c r="G567" s="157"/>
    </row>
    <row r="568" ht="15.75" customHeight="1">
      <c r="G568" s="157"/>
    </row>
    <row r="569" ht="15.75" customHeight="1">
      <c r="G569" s="157"/>
    </row>
    <row r="570" ht="15.75" customHeight="1">
      <c r="G570" s="157"/>
    </row>
    <row r="571" ht="15.75" customHeight="1">
      <c r="G571" s="157"/>
    </row>
    <row r="572" ht="15.75" customHeight="1">
      <c r="G572" s="157"/>
    </row>
    <row r="573" ht="15.75" customHeight="1">
      <c r="G573" s="157"/>
    </row>
    <row r="574" ht="15.75" customHeight="1">
      <c r="G574" s="157"/>
    </row>
    <row r="575" ht="15.75" customHeight="1">
      <c r="G575" s="157"/>
    </row>
    <row r="576" ht="15.75" customHeight="1">
      <c r="G576" s="157"/>
    </row>
    <row r="577" ht="15.75" customHeight="1">
      <c r="G577" s="157"/>
    </row>
    <row r="578" ht="15.75" customHeight="1">
      <c r="G578" s="157"/>
    </row>
    <row r="579" ht="15.75" customHeight="1">
      <c r="G579" s="157"/>
    </row>
    <row r="580" ht="15.75" customHeight="1">
      <c r="G580" s="157"/>
    </row>
    <row r="581" ht="15.75" customHeight="1">
      <c r="G581" s="157"/>
    </row>
    <row r="582" ht="15.75" customHeight="1">
      <c r="G582" s="157"/>
    </row>
    <row r="583" ht="15.75" customHeight="1">
      <c r="G583" s="157"/>
    </row>
    <row r="584" ht="15.75" customHeight="1">
      <c r="G584" s="157"/>
    </row>
    <row r="585" ht="15.75" customHeight="1">
      <c r="G585" s="157"/>
    </row>
    <row r="586" ht="15.75" customHeight="1">
      <c r="G586" s="157"/>
    </row>
    <row r="587" ht="15.75" customHeight="1">
      <c r="G587" s="157"/>
    </row>
    <row r="588" ht="15.75" customHeight="1">
      <c r="G588" s="157"/>
    </row>
    <row r="589" ht="15.75" customHeight="1">
      <c r="G589" s="157"/>
    </row>
    <row r="590" ht="15.75" customHeight="1">
      <c r="G590" s="157"/>
    </row>
    <row r="591" ht="15.75" customHeight="1">
      <c r="G591" s="157"/>
    </row>
    <row r="592" ht="15.75" customHeight="1">
      <c r="G592" s="157"/>
    </row>
    <row r="593" ht="15.75" customHeight="1">
      <c r="G593" s="157"/>
    </row>
    <row r="594" ht="15.75" customHeight="1">
      <c r="G594" s="157"/>
    </row>
    <row r="595" ht="15.75" customHeight="1">
      <c r="G595" s="157"/>
    </row>
    <row r="596" ht="15.75" customHeight="1">
      <c r="G596" s="157"/>
    </row>
    <row r="597" ht="15.75" customHeight="1">
      <c r="G597" s="157"/>
    </row>
    <row r="598" ht="15.75" customHeight="1">
      <c r="G598" s="157"/>
    </row>
    <row r="599" ht="15.75" customHeight="1">
      <c r="G599" s="157"/>
    </row>
    <row r="600" ht="15.75" customHeight="1">
      <c r="G600" s="157"/>
    </row>
    <row r="601" ht="15.75" customHeight="1">
      <c r="G601" s="157"/>
    </row>
    <row r="602" ht="15.75" customHeight="1">
      <c r="G602" s="157"/>
    </row>
    <row r="603" ht="15.75" customHeight="1">
      <c r="G603" s="157"/>
    </row>
    <row r="604" ht="15.75" customHeight="1">
      <c r="G604" s="157"/>
    </row>
    <row r="605" ht="15.75" customHeight="1">
      <c r="G605" s="157"/>
    </row>
    <row r="606" ht="15.75" customHeight="1">
      <c r="G606" s="157"/>
    </row>
    <row r="607" ht="15.75" customHeight="1">
      <c r="G607" s="157"/>
    </row>
    <row r="608" ht="15.75" customHeight="1">
      <c r="G608" s="157"/>
    </row>
    <row r="609" ht="15.75" customHeight="1">
      <c r="G609" s="157"/>
    </row>
    <row r="610" ht="15.75" customHeight="1">
      <c r="G610" s="157"/>
    </row>
    <row r="611" ht="15.75" customHeight="1">
      <c r="G611" s="157"/>
    </row>
    <row r="612" ht="15.75" customHeight="1">
      <c r="G612" s="157"/>
    </row>
    <row r="613" ht="15.75" customHeight="1">
      <c r="G613" s="157"/>
    </row>
    <row r="614" ht="15.75" customHeight="1">
      <c r="G614" s="157"/>
    </row>
    <row r="615" ht="15.75" customHeight="1">
      <c r="G615" s="157"/>
    </row>
    <row r="616" ht="15.75" customHeight="1">
      <c r="G616" s="157"/>
    </row>
    <row r="617" ht="15.75" customHeight="1">
      <c r="G617" s="157"/>
    </row>
    <row r="618" ht="15.75" customHeight="1">
      <c r="G618" s="157"/>
    </row>
    <row r="619" ht="15.75" customHeight="1">
      <c r="G619" s="157"/>
    </row>
    <row r="620" ht="15.75" customHeight="1">
      <c r="G620" s="157"/>
    </row>
    <row r="621" ht="15.75" customHeight="1">
      <c r="G621" s="157"/>
    </row>
    <row r="622" ht="15.75" customHeight="1">
      <c r="G622" s="157"/>
    </row>
    <row r="623" ht="15.75" customHeight="1">
      <c r="G623" s="157"/>
    </row>
    <row r="624" ht="15.75" customHeight="1">
      <c r="G624" s="157"/>
    </row>
    <row r="625" ht="15.75" customHeight="1">
      <c r="G625" s="157"/>
    </row>
    <row r="626" ht="15.75" customHeight="1">
      <c r="G626" s="157"/>
    </row>
    <row r="627" ht="15.75" customHeight="1">
      <c r="G627" s="157"/>
    </row>
    <row r="628" ht="15.75" customHeight="1">
      <c r="G628" s="157"/>
    </row>
    <row r="629" ht="15.75" customHeight="1">
      <c r="G629" s="157"/>
    </row>
    <row r="630" ht="15.75" customHeight="1">
      <c r="G630" s="157"/>
    </row>
    <row r="631" ht="15.75" customHeight="1">
      <c r="G631" s="157"/>
    </row>
    <row r="632" ht="15.75" customHeight="1">
      <c r="G632" s="157"/>
    </row>
    <row r="633" ht="15.75" customHeight="1">
      <c r="G633" s="157"/>
    </row>
    <row r="634" ht="15.75" customHeight="1">
      <c r="G634" s="157"/>
    </row>
    <row r="635" ht="15.75" customHeight="1">
      <c r="G635" s="157"/>
    </row>
    <row r="636" ht="15.75" customHeight="1">
      <c r="G636" s="157"/>
    </row>
    <row r="637" ht="15.75" customHeight="1">
      <c r="G637" s="157"/>
    </row>
    <row r="638" ht="15.75" customHeight="1">
      <c r="G638" s="157"/>
    </row>
    <row r="639" ht="15.75" customHeight="1">
      <c r="G639" s="157"/>
    </row>
    <row r="640" ht="15.75" customHeight="1">
      <c r="G640" s="157"/>
    </row>
    <row r="641" ht="15.75" customHeight="1">
      <c r="G641" s="157"/>
    </row>
    <row r="642" ht="15.75" customHeight="1">
      <c r="G642" s="157"/>
    </row>
    <row r="643" ht="15.75" customHeight="1">
      <c r="G643" s="157"/>
    </row>
    <row r="644" ht="15.75" customHeight="1">
      <c r="G644" s="157"/>
    </row>
    <row r="645" ht="15.75" customHeight="1">
      <c r="G645" s="157"/>
    </row>
    <row r="646" ht="15.75" customHeight="1">
      <c r="G646" s="157"/>
    </row>
    <row r="647" ht="15.75" customHeight="1">
      <c r="G647" s="157"/>
    </row>
    <row r="648" ht="15.75" customHeight="1">
      <c r="G648" s="157"/>
    </row>
    <row r="649" ht="15.75" customHeight="1">
      <c r="G649" s="157"/>
    </row>
    <row r="650" ht="15.75" customHeight="1">
      <c r="G650" s="157"/>
    </row>
    <row r="651" ht="15.75" customHeight="1">
      <c r="G651" s="157"/>
    </row>
    <row r="652" ht="15.75" customHeight="1">
      <c r="G652" s="157"/>
    </row>
    <row r="653" ht="15.75" customHeight="1">
      <c r="G653" s="157"/>
    </row>
    <row r="654" ht="15.75" customHeight="1">
      <c r="G654" s="157"/>
    </row>
    <row r="655" ht="15.75" customHeight="1">
      <c r="G655" s="157"/>
    </row>
    <row r="656" ht="15.75" customHeight="1">
      <c r="G656" s="157"/>
    </row>
    <row r="657" ht="15.75" customHeight="1">
      <c r="G657" s="157"/>
    </row>
    <row r="658" ht="15.75" customHeight="1">
      <c r="G658" s="157"/>
    </row>
    <row r="659" ht="15.75" customHeight="1">
      <c r="G659" s="157"/>
    </row>
    <row r="660" ht="15.75" customHeight="1">
      <c r="G660" s="157"/>
    </row>
    <row r="661" ht="15.75" customHeight="1">
      <c r="G661" s="157"/>
    </row>
    <row r="662" ht="15.75" customHeight="1">
      <c r="G662" s="157"/>
    </row>
    <row r="663" ht="15.75" customHeight="1">
      <c r="G663" s="157"/>
    </row>
    <row r="664" ht="15.75" customHeight="1">
      <c r="G664" s="157"/>
    </row>
    <row r="665" ht="15.75" customHeight="1">
      <c r="G665" s="157"/>
    </row>
    <row r="666" ht="15.75" customHeight="1">
      <c r="G666" s="157"/>
    </row>
    <row r="667" ht="15.75" customHeight="1">
      <c r="G667" s="157"/>
    </row>
    <row r="668" ht="15.75" customHeight="1">
      <c r="G668" s="157"/>
    </row>
    <row r="669" ht="15.75" customHeight="1">
      <c r="G669" s="157"/>
    </row>
    <row r="670" ht="15.75" customHeight="1">
      <c r="G670" s="157"/>
    </row>
    <row r="671" ht="15.75" customHeight="1">
      <c r="G671" s="157"/>
    </row>
    <row r="672" ht="15.75" customHeight="1">
      <c r="G672" s="157"/>
    </row>
    <row r="673" ht="15.75" customHeight="1">
      <c r="G673" s="157"/>
    </row>
    <row r="674" ht="15.75" customHeight="1">
      <c r="G674" s="157"/>
    </row>
    <row r="675" ht="15.75" customHeight="1">
      <c r="G675" s="157"/>
    </row>
    <row r="676" ht="15.75" customHeight="1">
      <c r="G676" s="157"/>
    </row>
    <row r="677" ht="15.75" customHeight="1">
      <c r="G677" s="157"/>
    </row>
    <row r="678" ht="15.75" customHeight="1">
      <c r="G678" s="157"/>
    </row>
    <row r="679" ht="15.75" customHeight="1">
      <c r="G679" s="157"/>
    </row>
    <row r="680" ht="15.75" customHeight="1">
      <c r="G680" s="157"/>
    </row>
    <row r="681" ht="15.75" customHeight="1">
      <c r="G681" s="157"/>
    </row>
    <row r="682" ht="15.75" customHeight="1">
      <c r="G682" s="157"/>
    </row>
    <row r="683" ht="15.75" customHeight="1">
      <c r="G683" s="157"/>
    </row>
    <row r="684" ht="15.75" customHeight="1">
      <c r="G684" s="157"/>
    </row>
    <row r="685" ht="15.75" customHeight="1">
      <c r="G685" s="157"/>
    </row>
    <row r="686" ht="15.75" customHeight="1">
      <c r="G686" s="157"/>
    </row>
    <row r="687" ht="15.75" customHeight="1">
      <c r="G687" s="157"/>
    </row>
    <row r="688" ht="15.75" customHeight="1">
      <c r="G688" s="157"/>
    </row>
    <row r="689" ht="15.75" customHeight="1">
      <c r="G689" s="157"/>
    </row>
    <row r="690" ht="15.75" customHeight="1">
      <c r="G690" s="157"/>
    </row>
    <row r="691" ht="15.75" customHeight="1">
      <c r="G691" s="157"/>
    </row>
    <row r="692" ht="15.75" customHeight="1">
      <c r="G692" s="157"/>
    </row>
    <row r="693" ht="15.75" customHeight="1">
      <c r="G693" s="157"/>
    </row>
    <row r="694" ht="15.75" customHeight="1">
      <c r="G694" s="157"/>
    </row>
    <row r="695" ht="15.75" customHeight="1">
      <c r="G695" s="157"/>
    </row>
    <row r="696" ht="15.75" customHeight="1">
      <c r="G696" s="157"/>
    </row>
    <row r="697" ht="15.75" customHeight="1">
      <c r="G697" s="157"/>
    </row>
    <row r="698" ht="15.75" customHeight="1">
      <c r="G698" s="157"/>
    </row>
    <row r="699" ht="15.75" customHeight="1">
      <c r="G699" s="157"/>
    </row>
    <row r="700" ht="15.75" customHeight="1">
      <c r="G700" s="157"/>
    </row>
    <row r="701" ht="15.75" customHeight="1">
      <c r="G701" s="157"/>
    </row>
    <row r="702" ht="15.75" customHeight="1">
      <c r="G702" s="157"/>
    </row>
    <row r="703" ht="15.75" customHeight="1">
      <c r="G703" s="157"/>
    </row>
    <row r="704" ht="15.75" customHeight="1">
      <c r="G704" s="157"/>
    </row>
    <row r="705" ht="15.75" customHeight="1">
      <c r="G705" s="157"/>
    </row>
    <row r="706" ht="15.75" customHeight="1">
      <c r="G706" s="157"/>
    </row>
    <row r="707" ht="15.75" customHeight="1">
      <c r="G707" s="157"/>
    </row>
    <row r="708" ht="15.75" customHeight="1">
      <c r="G708" s="157"/>
    </row>
    <row r="709" ht="15.75" customHeight="1">
      <c r="G709" s="157"/>
    </row>
    <row r="710" ht="15.75" customHeight="1">
      <c r="G710" s="157"/>
    </row>
    <row r="711" ht="15.75" customHeight="1">
      <c r="G711" s="157"/>
    </row>
    <row r="712" ht="15.75" customHeight="1">
      <c r="G712" s="157"/>
    </row>
    <row r="713" ht="15.75" customHeight="1">
      <c r="G713" s="157"/>
    </row>
    <row r="714" ht="15.75" customHeight="1">
      <c r="G714" s="157"/>
    </row>
    <row r="715" ht="15.75" customHeight="1">
      <c r="G715" s="157"/>
    </row>
    <row r="716" ht="15.75" customHeight="1">
      <c r="G716" s="157"/>
    </row>
    <row r="717" ht="15.75" customHeight="1">
      <c r="G717" s="157"/>
    </row>
    <row r="718" ht="15.75" customHeight="1">
      <c r="G718" s="157"/>
    </row>
    <row r="719" ht="15.75" customHeight="1">
      <c r="G719" s="157"/>
    </row>
    <row r="720" ht="15.75" customHeight="1">
      <c r="G720" s="157"/>
    </row>
    <row r="721" ht="15.75" customHeight="1">
      <c r="G721" s="157"/>
    </row>
    <row r="722" ht="15.75" customHeight="1">
      <c r="G722" s="157"/>
    </row>
    <row r="723" ht="15.75" customHeight="1">
      <c r="G723" s="157"/>
    </row>
    <row r="724" ht="15.75" customHeight="1">
      <c r="G724" s="157"/>
    </row>
    <row r="725" ht="15.75" customHeight="1">
      <c r="G725" s="157"/>
    </row>
    <row r="726" ht="15.75" customHeight="1">
      <c r="G726" s="157"/>
    </row>
    <row r="727" ht="15.75" customHeight="1">
      <c r="G727" s="157"/>
    </row>
    <row r="728" ht="15.75" customHeight="1">
      <c r="G728" s="157"/>
    </row>
    <row r="729" ht="15.75" customHeight="1">
      <c r="G729" s="157"/>
    </row>
    <row r="730" ht="15.75" customHeight="1">
      <c r="G730" s="157"/>
    </row>
    <row r="731" ht="15.75" customHeight="1">
      <c r="G731" s="157"/>
    </row>
    <row r="732" ht="15.75" customHeight="1">
      <c r="G732" s="157"/>
    </row>
    <row r="733" ht="15.75" customHeight="1">
      <c r="G733" s="157"/>
    </row>
    <row r="734" ht="15.75" customHeight="1">
      <c r="G734" s="157"/>
    </row>
    <row r="735" ht="15.75" customHeight="1">
      <c r="G735" s="157"/>
    </row>
    <row r="736" ht="15.75" customHeight="1">
      <c r="G736" s="157"/>
    </row>
    <row r="737" ht="15.75" customHeight="1">
      <c r="G737" s="157"/>
    </row>
    <row r="738" ht="15.75" customHeight="1">
      <c r="G738" s="157"/>
    </row>
    <row r="739" ht="15.75" customHeight="1">
      <c r="G739" s="157"/>
    </row>
    <row r="740" ht="15.75" customHeight="1">
      <c r="G740" s="157"/>
    </row>
    <row r="741" ht="15.75" customHeight="1">
      <c r="G741" s="157"/>
    </row>
    <row r="742" ht="15.75" customHeight="1">
      <c r="G742" s="157"/>
    </row>
    <row r="743" ht="15.75" customHeight="1">
      <c r="G743" s="157"/>
    </row>
    <row r="744" ht="15.75" customHeight="1">
      <c r="G744" s="157"/>
    </row>
    <row r="745" ht="15.75" customHeight="1">
      <c r="G745" s="157"/>
    </row>
    <row r="746" ht="15.75" customHeight="1">
      <c r="G746" s="157"/>
    </row>
    <row r="747" ht="15.75" customHeight="1">
      <c r="G747" s="157"/>
    </row>
    <row r="748" ht="15.75" customHeight="1">
      <c r="G748" s="157"/>
    </row>
    <row r="749" ht="15.75" customHeight="1">
      <c r="G749" s="157"/>
    </row>
    <row r="750" ht="15.75" customHeight="1">
      <c r="G750" s="157"/>
    </row>
    <row r="751" ht="15.75" customHeight="1">
      <c r="G751" s="157"/>
    </row>
    <row r="752" ht="15.75" customHeight="1">
      <c r="G752" s="157"/>
    </row>
    <row r="753" ht="15.75" customHeight="1">
      <c r="G753" s="157"/>
    </row>
    <row r="754" ht="15.75" customHeight="1">
      <c r="G754" s="157"/>
    </row>
    <row r="755" ht="15.75" customHeight="1">
      <c r="G755" s="157"/>
    </row>
    <row r="756" ht="15.75" customHeight="1">
      <c r="G756" s="157"/>
    </row>
    <row r="757" ht="15.75" customHeight="1">
      <c r="G757" s="157"/>
    </row>
    <row r="758" ht="15.75" customHeight="1">
      <c r="G758" s="157"/>
    </row>
    <row r="759" ht="15.75" customHeight="1">
      <c r="G759" s="157"/>
    </row>
    <row r="760" ht="15.75" customHeight="1">
      <c r="G760" s="157"/>
    </row>
    <row r="761" ht="15.75" customHeight="1">
      <c r="G761" s="157"/>
    </row>
    <row r="762" ht="15.75" customHeight="1">
      <c r="G762" s="157"/>
    </row>
    <row r="763" ht="15.75" customHeight="1">
      <c r="G763" s="157"/>
    </row>
    <row r="764" ht="15.75" customHeight="1">
      <c r="G764" s="157"/>
    </row>
    <row r="765" ht="15.75" customHeight="1">
      <c r="G765" s="157"/>
    </row>
    <row r="766" ht="15.75" customHeight="1">
      <c r="G766" s="157"/>
    </row>
    <row r="767" ht="15.75" customHeight="1">
      <c r="G767" s="157"/>
    </row>
    <row r="768" ht="15.75" customHeight="1">
      <c r="G768" s="157"/>
    </row>
    <row r="769" ht="15.75" customHeight="1">
      <c r="G769" s="157"/>
    </row>
    <row r="770" ht="15.75" customHeight="1">
      <c r="G770" s="157"/>
    </row>
    <row r="771" ht="15.75" customHeight="1">
      <c r="G771" s="157"/>
    </row>
    <row r="772" ht="15.75" customHeight="1">
      <c r="G772" s="157"/>
    </row>
    <row r="773" ht="15.75" customHeight="1">
      <c r="G773" s="157"/>
    </row>
    <row r="774" ht="15.75" customHeight="1">
      <c r="G774" s="157"/>
    </row>
    <row r="775" ht="15.75" customHeight="1">
      <c r="G775" s="157"/>
    </row>
    <row r="776" ht="15.75" customHeight="1">
      <c r="G776" s="157"/>
    </row>
    <row r="777" ht="15.75" customHeight="1">
      <c r="G777" s="157"/>
    </row>
    <row r="778" ht="15.75" customHeight="1">
      <c r="G778" s="157"/>
    </row>
    <row r="779" ht="15.75" customHeight="1">
      <c r="G779" s="157"/>
    </row>
    <row r="780" ht="15.75" customHeight="1">
      <c r="G780" s="157"/>
    </row>
    <row r="781" ht="15.75" customHeight="1">
      <c r="G781" s="157"/>
    </row>
    <row r="782" ht="15.75" customHeight="1">
      <c r="G782" s="157"/>
    </row>
    <row r="783" ht="15.75" customHeight="1">
      <c r="G783" s="157"/>
    </row>
    <row r="784" ht="15.75" customHeight="1">
      <c r="G784" s="157"/>
    </row>
    <row r="785" ht="15.75" customHeight="1">
      <c r="G785" s="157"/>
    </row>
    <row r="786" ht="15.75" customHeight="1">
      <c r="G786" s="157"/>
    </row>
    <row r="787" ht="15.75" customHeight="1">
      <c r="G787" s="157"/>
    </row>
    <row r="788" ht="15.75" customHeight="1">
      <c r="G788" s="157"/>
    </row>
    <row r="789" ht="15.75" customHeight="1">
      <c r="G789" s="157"/>
    </row>
    <row r="790" ht="15.75" customHeight="1">
      <c r="G790" s="157"/>
    </row>
    <row r="791" ht="15.75" customHeight="1">
      <c r="G791" s="157"/>
    </row>
    <row r="792" ht="15.75" customHeight="1">
      <c r="G792" s="157"/>
    </row>
    <row r="793" ht="15.75" customHeight="1">
      <c r="G793" s="157"/>
    </row>
    <row r="794" ht="15.75" customHeight="1">
      <c r="G794" s="157"/>
    </row>
    <row r="795" ht="15.75" customHeight="1">
      <c r="G795" s="157"/>
    </row>
    <row r="796" ht="15.75" customHeight="1">
      <c r="G796" s="157"/>
    </row>
    <row r="797" ht="15.75" customHeight="1">
      <c r="G797" s="157"/>
    </row>
    <row r="798" ht="15.75" customHeight="1">
      <c r="G798" s="157"/>
    </row>
    <row r="799" ht="15.75" customHeight="1">
      <c r="G799" s="157"/>
    </row>
    <row r="800" ht="15.75" customHeight="1">
      <c r="G800" s="157"/>
    </row>
    <row r="801" ht="15.75" customHeight="1">
      <c r="G801" s="157"/>
    </row>
    <row r="802" ht="15.75" customHeight="1">
      <c r="G802" s="157"/>
    </row>
    <row r="803" ht="15.75" customHeight="1">
      <c r="G803" s="157"/>
    </row>
    <row r="804" ht="15.75" customHeight="1">
      <c r="G804" s="157"/>
    </row>
    <row r="805" ht="15.75" customHeight="1">
      <c r="G805" s="157"/>
    </row>
    <row r="806" ht="15.75" customHeight="1">
      <c r="G806" s="157"/>
    </row>
    <row r="807" ht="15.75" customHeight="1">
      <c r="G807" s="157"/>
    </row>
    <row r="808" ht="15.75" customHeight="1">
      <c r="G808" s="157"/>
    </row>
    <row r="809" ht="15.75" customHeight="1">
      <c r="G809" s="157"/>
    </row>
    <row r="810" ht="15.75" customHeight="1">
      <c r="G810" s="157"/>
    </row>
    <row r="811" ht="15.75" customHeight="1">
      <c r="G811" s="157"/>
    </row>
    <row r="812" ht="15.75" customHeight="1">
      <c r="G812" s="157"/>
    </row>
    <row r="813" ht="15.75" customHeight="1">
      <c r="G813" s="157"/>
    </row>
    <row r="814" ht="15.75" customHeight="1">
      <c r="G814" s="157"/>
    </row>
    <row r="815" ht="15.75" customHeight="1">
      <c r="G815" s="157"/>
    </row>
    <row r="816" ht="15.75" customHeight="1">
      <c r="G816" s="157"/>
    </row>
    <row r="817" ht="15.75" customHeight="1">
      <c r="G817" s="157"/>
    </row>
    <row r="818" ht="15.75" customHeight="1">
      <c r="G818" s="157"/>
    </row>
    <row r="819" ht="15.75" customHeight="1">
      <c r="G819" s="157"/>
    </row>
    <row r="820" ht="15.75" customHeight="1">
      <c r="G820" s="157"/>
    </row>
    <row r="821" ht="15.75" customHeight="1">
      <c r="G821" s="157"/>
    </row>
    <row r="822" ht="15.75" customHeight="1">
      <c r="G822" s="157"/>
    </row>
    <row r="823" ht="15.75" customHeight="1">
      <c r="G823" s="157"/>
    </row>
    <row r="824" ht="15.75" customHeight="1">
      <c r="G824" s="157"/>
    </row>
    <row r="825" ht="15.75" customHeight="1">
      <c r="G825" s="157"/>
    </row>
    <row r="826" ht="15.75" customHeight="1">
      <c r="G826" s="157"/>
    </row>
    <row r="827" ht="15.75" customHeight="1">
      <c r="G827" s="157"/>
    </row>
    <row r="828" ht="15.75" customHeight="1">
      <c r="G828" s="157"/>
    </row>
    <row r="829" ht="15.75" customHeight="1">
      <c r="G829" s="157"/>
    </row>
    <row r="830" ht="15.75" customHeight="1">
      <c r="G830" s="157"/>
    </row>
    <row r="831" ht="15.75" customHeight="1">
      <c r="G831" s="157"/>
    </row>
    <row r="832" ht="15.75" customHeight="1">
      <c r="G832" s="157"/>
    </row>
    <row r="833" ht="15.75" customHeight="1">
      <c r="G833" s="157"/>
    </row>
    <row r="834" ht="15.75" customHeight="1">
      <c r="G834" s="157"/>
    </row>
    <row r="835" ht="15.75" customHeight="1">
      <c r="G835" s="157"/>
    </row>
    <row r="836" ht="15.75" customHeight="1">
      <c r="G836" s="157"/>
    </row>
    <row r="837" ht="15.75" customHeight="1">
      <c r="G837" s="157"/>
    </row>
    <row r="838" ht="15.75" customHeight="1">
      <c r="G838" s="157"/>
    </row>
    <row r="839" ht="15.75" customHeight="1">
      <c r="G839" s="157"/>
    </row>
    <row r="840" ht="15.75" customHeight="1">
      <c r="G840" s="157"/>
    </row>
    <row r="841" ht="15.75" customHeight="1">
      <c r="G841" s="157"/>
    </row>
    <row r="842" ht="15.75" customHeight="1">
      <c r="G842" s="157"/>
    </row>
    <row r="843" ht="15.75" customHeight="1">
      <c r="G843" s="157"/>
    </row>
    <row r="844" ht="15.75" customHeight="1">
      <c r="G844" s="157"/>
    </row>
    <row r="845" ht="15.75" customHeight="1">
      <c r="G845" s="157"/>
    </row>
    <row r="846" ht="15.75" customHeight="1">
      <c r="G846" s="157"/>
    </row>
    <row r="847" ht="15.75" customHeight="1">
      <c r="G847" s="157"/>
    </row>
    <row r="848" ht="15.75" customHeight="1">
      <c r="G848" s="157"/>
    </row>
    <row r="849" ht="15.75" customHeight="1">
      <c r="G849" s="157"/>
    </row>
    <row r="850" ht="15.75" customHeight="1">
      <c r="G850" s="157"/>
    </row>
    <row r="851" ht="15.75" customHeight="1">
      <c r="G851" s="157"/>
    </row>
    <row r="852" ht="15.75" customHeight="1">
      <c r="G852" s="157"/>
    </row>
    <row r="853" ht="15.75" customHeight="1">
      <c r="G853" s="157"/>
    </row>
    <row r="854" ht="15.75" customHeight="1">
      <c r="G854" s="157"/>
    </row>
    <row r="855" ht="15.75" customHeight="1">
      <c r="G855" s="157"/>
    </row>
    <row r="856" ht="15.75" customHeight="1">
      <c r="G856" s="157"/>
    </row>
    <row r="857" ht="15.75" customHeight="1">
      <c r="G857" s="157"/>
    </row>
    <row r="858" ht="15.75" customHeight="1">
      <c r="G858" s="157"/>
    </row>
    <row r="859" ht="15.75" customHeight="1">
      <c r="G859" s="157"/>
    </row>
    <row r="860" ht="15.75" customHeight="1">
      <c r="G860" s="157"/>
    </row>
    <row r="861" ht="15.75" customHeight="1">
      <c r="G861" s="157"/>
    </row>
    <row r="862" ht="15.75" customHeight="1">
      <c r="G862" s="157"/>
    </row>
    <row r="863" ht="15.75" customHeight="1">
      <c r="G863" s="157"/>
    </row>
    <row r="864" ht="15.75" customHeight="1">
      <c r="G864" s="157"/>
    </row>
    <row r="865" ht="15.75" customHeight="1">
      <c r="G865" s="157"/>
    </row>
    <row r="866" ht="15.75" customHeight="1">
      <c r="G866" s="157"/>
    </row>
    <row r="867" ht="15.75" customHeight="1">
      <c r="G867" s="157"/>
    </row>
    <row r="868" ht="15.75" customHeight="1">
      <c r="G868" s="157"/>
    </row>
    <row r="869" ht="15.75" customHeight="1">
      <c r="G869" s="157"/>
    </row>
    <row r="870" ht="15.75" customHeight="1">
      <c r="G870" s="157"/>
    </row>
    <row r="871" ht="15.75" customHeight="1">
      <c r="G871" s="157"/>
    </row>
    <row r="872" ht="15.75" customHeight="1">
      <c r="G872" s="157"/>
    </row>
    <row r="873" ht="15.75" customHeight="1">
      <c r="G873" s="157"/>
    </row>
    <row r="874" ht="15.75" customHeight="1">
      <c r="G874" s="157"/>
    </row>
    <row r="875" ht="15.75" customHeight="1">
      <c r="G875" s="157"/>
    </row>
    <row r="876" ht="15.75" customHeight="1">
      <c r="G876" s="157"/>
    </row>
    <row r="877" ht="15.75" customHeight="1">
      <c r="G877" s="157"/>
    </row>
    <row r="878" ht="15.75" customHeight="1">
      <c r="G878" s="157"/>
    </row>
    <row r="879" ht="15.75" customHeight="1">
      <c r="G879" s="157"/>
    </row>
    <row r="880" ht="15.75" customHeight="1">
      <c r="G880" s="157"/>
    </row>
    <row r="881" ht="15.75" customHeight="1">
      <c r="G881" s="157"/>
    </row>
    <row r="882" ht="15.75" customHeight="1">
      <c r="G882" s="157"/>
    </row>
    <row r="883" ht="15.75" customHeight="1">
      <c r="G883" s="157"/>
    </row>
    <row r="884" ht="15.75" customHeight="1">
      <c r="G884" s="157"/>
    </row>
    <row r="885" ht="15.75" customHeight="1">
      <c r="G885" s="157"/>
    </row>
    <row r="886" ht="15.75" customHeight="1">
      <c r="G886" s="157"/>
    </row>
    <row r="887" ht="15.75" customHeight="1">
      <c r="G887" s="157"/>
    </row>
    <row r="888" ht="15.75" customHeight="1">
      <c r="G888" s="157"/>
    </row>
    <row r="889" ht="15.75" customHeight="1">
      <c r="G889" s="157"/>
    </row>
    <row r="890" ht="15.75" customHeight="1">
      <c r="G890" s="157"/>
    </row>
    <row r="891" ht="15.75" customHeight="1">
      <c r="G891" s="157"/>
    </row>
    <row r="892" ht="15.75" customHeight="1">
      <c r="G892" s="157"/>
    </row>
    <row r="893" ht="15.75" customHeight="1">
      <c r="G893" s="157"/>
    </row>
    <row r="894" ht="15.75" customHeight="1">
      <c r="G894" s="157"/>
    </row>
    <row r="895" ht="15.75" customHeight="1">
      <c r="G895" s="157"/>
    </row>
    <row r="896" ht="15.75" customHeight="1">
      <c r="G896" s="157"/>
    </row>
    <row r="897" ht="15.75" customHeight="1">
      <c r="G897" s="157"/>
    </row>
    <row r="898" ht="15.75" customHeight="1">
      <c r="G898" s="157"/>
    </row>
    <row r="899" ht="15.75" customHeight="1">
      <c r="G899" s="157"/>
    </row>
    <row r="900" ht="15.75" customHeight="1">
      <c r="G900" s="157"/>
    </row>
    <row r="901" ht="15.75" customHeight="1">
      <c r="G901" s="157"/>
    </row>
    <row r="902" ht="15.75" customHeight="1">
      <c r="G902" s="157"/>
    </row>
    <row r="903" ht="15.75" customHeight="1">
      <c r="G903" s="157"/>
    </row>
    <row r="904" ht="15.75" customHeight="1">
      <c r="G904" s="157"/>
    </row>
    <row r="905" ht="15.75" customHeight="1">
      <c r="G905" s="157"/>
    </row>
    <row r="906" ht="15.75" customHeight="1">
      <c r="G906" s="157"/>
    </row>
    <row r="907" ht="15.75" customHeight="1">
      <c r="G907" s="157"/>
    </row>
    <row r="908" ht="15.75" customHeight="1">
      <c r="G908" s="157"/>
    </row>
    <row r="909" ht="15.75" customHeight="1">
      <c r="G909" s="157"/>
    </row>
    <row r="910" ht="15.75" customHeight="1">
      <c r="G910" s="157"/>
    </row>
    <row r="911" ht="15.75" customHeight="1">
      <c r="G911" s="157"/>
    </row>
    <row r="912" ht="15.75" customHeight="1">
      <c r="G912" s="157"/>
    </row>
    <row r="913" ht="15.75" customHeight="1">
      <c r="G913" s="157"/>
    </row>
    <row r="914" ht="15.75" customHeight="1">
      <c r="G914" s="157"/>
    </row>
    <row r="915" ht="15.75" customHeight="1">
      <c r="G915" s="157"/>
    </row>
    <row r="916" ht="15.75" customHeight="1">
      <c r="G916" s="157"/>
    </row>
    <row r="917" ht="15.75" customHeight="1">
      <c r="G917" s="157"/>
    </row>
    <row r="918" ht="15.75" customHeight="1">
      <c r="G918" s="157"/>
    </row>
    <row r="919" ht="15.75" customHeight="1">
      <c r="G919" s="157"/>
    </row>
    <row r="920" ht="15.75" customHeight="1">
      <c r="G920" s="157"/>
    </row>
    <row r="921" ht="15.75" customHeight="1">
      <c r="G921" s="157"/>
    </row>
    <row r="922" ht="15.75" customHeight="1">
      <c r="G922" s="157"/>
    </row>
    <row r="923" ht="15.75" customHeight="1">
      <c r="G923" s="157"/>
    </row>
    <row r="924" ht="15.75" customHeight="1">
      <c r="G924" s="157"/>
    </row>
    <row r="925" ht="15.75" customHeight="1">
      <c r="G925" s="157"/>
    </row>
    <row r="926" ht="15.75" customHeight="1">
      <c r="G926" s="157"/>
    </row>
    <row r="927" ht="15.75" customHeight="1">
      <c r="G927" s="157"/>
    </row>
    <row r="928" ht="15.75" customHeight="1">
      <c r="G928" s="157"/>
    </row>
    <row r="929" ht="15.75" customHeight="1">
      <c r="G929" s="157"/>
    </row>
    <row r="930" ht="15.75" customHeight="1">
      <c r="G930" s="157"/>
    </row>
    <row r="931" ht="15.75" customHeight="1">
      <c r="G931" s="157"/>
    </row>
    <row r="932" ht="15.75" customHeight="1">
      <c r="G932" s="157"/>
    </row>
    <row r="933" ht="15.75" customHeight="1">
      <c r="G933" s="157"/>
    </row>
    <row r="934" ht="15.75" customHeight="1">
      <c r="G934" s="157"/>
    </row>
    <row r="935" ht="15.75" customHeight="1">
      <c r="G935" s="157"/>
    </row>
    <row r="936" ht="15.75" customHeight="1">
      <c r="G936" s="157"/>
    </row>
    <row r="937" ht="15.75" customHeight="1">
      <c r="G937" s="157"/>
    </row>
    <row r="938" ht="15.75" customHeight="1">
      <c r="G938" s="157"/>
    </row>
    <row r="939" ht="15.75" customHeight="1">
      <c r="G939" s="157"/>
    </row>
    <row r="940" ht="15.75" customHeight="1">
      <c r="G940" s="157"/>
    </row>
    <row r="941" ht="15.75" customHeight="1">
      <c r="G941" s="157"/>
    </row>
    <row r="942" ht="15.75" customHeight="1">
      <c r="G942" s="157"/>
    </row>
    <row r="943" ht="15.75" customHeight="1">
      <c r="G943" s="157"/>
    </row>
    <row r="944" ht="15.75" customHeight="1">
      <c r="G944" s="157"/>
    </row>
    <row r="945" ht="15.75" customHeight="1">
      <c r="G945" s="157"/>
    </row>
    <row r="946" ht="15.75" customHeight="1">
      <c r="G946" s="157"/>
    </row>
    <row r="947" ht="15.75" customHeight="1">
      <c r="G947" s="157"/>
    </row>
    <row r="948" ht="15.75" customHeight="1">
      <c r="G948" s="157"/>
    </row>
    <row r="949" ht="15.75" customHeight="1">
      <c r="G949" s="157"/>
    </row>
    <row r="950" ht="15.75" customHeight="1">
      <c r="G950" s="157"/>
    </row>
    <row r="951" ht="15.75" customHeight="1">
      <c r="G951" s="157"/>
    </row>
    <row r="952" ht="15.75" customHeight="1">
      <c r="G952" s="157"/>
    </row>
    <row r="953" ht="15.75" customHeight="1">
      <c r="G953" s="157"/>
    </row>
    <row r="954" ht="15.75" customHeight="1">
      <c r="G954" s="157"/>
    </row>
    <row r="955" ht="15.75" customHeight="1">
      <c r="G955" s="157"/>
    </row>
    <row r="956" ht="15.75" customHeight="1">
      <c r="G956" s="157"/>
    </row>
    <row r="957" ht="15.75" customHeight="1">
      <c r="G957" s="157"/>
    </row>
    <row r="958" ht="15.75" customHeight="1">
      <c r="G958" s="157"/>
    </row>
    <row r="959" ht="15.75" customHeight="1">
      <c r="G959" s="157"/>
    </row>
    <row r="960" ht="15.75" customHeight="1">
      <c r="G960" s="157"/>
    </row>
    <row r="961" ht="15.75" customHeight="1">
      <c r="G961" s="157"/>
    </row>
    <row r="962" ht="15.75" customHeight="1">
      <c r="G962" s="157"/>
    </row>
    <row r="963" ht="15.75" customHeight="1">
      <c r="G963" s="157"/>
    </row>
    <row r="964" ht="15.75" customHeight="1">
      <c r="G964" s="157"/>
    </row>
    <row r="965" ht="15.75" customHeight="1">
      <c r="G965" s="157"/>
    </row>
    <row r="966" ht="15.75" customHeight="1">
      <c r="G966" s="157"/>
    </row>
    <row r="967" ht="15.75" customHeight="1">
      <c r="G967" s="157"/>
    </row>
    <row r="968" ht="15.75" customHeight="1">
      <c r="G968" s="157"/>
    </row>
    <row r="969" ht="15.75" customHeight="1">
      <c r="G969" s="157"/>
    </row>
    <row r="970" ht="15.75" customHeight="1">
      <c r="G970" s="157"/>
    </row>
    <row r="971" ht="15.75" customHeight="1">
      <c r="G971" s="157"/>
    </row>
    <row r="972" ht="15.75" customHeight="1">
      <c r="G972" s="157"/>
    </row>
    <row r="973" ht="15.75" customHeight="1">
      <c r="G973" s="157"/>
    </row>
    <row r="974" ht="15.75" customHeight="1">
      <c r="G974" s="157"/>
    </row>
    <row r="975" ht="15.75" customHeight="1">
      <c r="G975" s="157"/>
    </row>
    <row r="976" ht="15.75" customHeight="1">
      <c r="G976" s="157"/>
    </row>
    <row r="977" ht="15.75" customHeight="1">
      <c r="G977" s="157"/>
    </row>
    <row r="978" ht="15.75" customHeight="1">
      <c r="G978" s="157"/>
    </row>
    <row r="979" ht="15.75" customHeight="1">
      <c r="G979" s="157"/>
    </row>
    <row r="980" ht="15.75" customHeight="1">
      <c r="G980" s="157"/>
    </row>
    <row r="981" ht="15.75" customHeight="1">
      <c r="G981" s="157"/>
    </row>
    <row r="982" ht="15.75" customHeight="1">
      <c r="G982" s="157"/>
    </row>
    <row r="983" ht="15.75" customHeight="1">
      <c r="G983" s="157"/>
    </row>
    <row r="984" ht="15.75" customHeight="1">
      <c r="G984" s="157"/>
    </row>
    <row r="985" ht="15.75" customHeight="1">
      <c r="G985" s="157"/>
    </row>
    <row r="986" ht="15.75" customHeight="1">
      <c r="G986" s="157"/>
    </row>
    <row r="987" ht="15.75" customHeight="1">
      <c r="G987" s="157"/>
    </row>
    <row r="988" ht="15.75" customHeight="1">
      <c r="G988" s="157"/>
    </row>
    <row r="989" ht="15.75" customHeight="1">
      <c r="G989" s="157"/>
    </row>
    <row r="990" ht="15.75" customHeight="1">
      <c r="G990" s="157"/>
    </row>
    <row r="991" ht="15.75" customHeight="1">
      <c r="G991" s="157"/>
    </row>
    <row r="992" ht="15.75" customHeight="1">
      <c r="G992" s="157"/>
    </row>
    <row r="993" ht="15.75" customHeight="1">
      <c r="G993" s="157"/>
    </row>
    <row r="994" ht="15.75" customHeight="1">
      <c r="G994" s="157"/>
    </row>
    <row r="995" ht="15.75" customHeight="1">
      <c r="G995" s="157"/>
    </row>
    <row r="996" ht="15.75" customHeight="1">
      <c r="G996" s="157"/>
    </row>
    <row r="997" ht="15.75" customHeight="1">
      <c r="G997" s="157"/>
    </row>
    <row r="998" ht="15.75" customHeight="1">
      <c r="G998" s="157"/>
    </row>
    <row r="999" ht="15.75" customHeight="1">
      <c r="G999" s="157"/>
    </row>
    <row r="1000" ht="15.75" customHeight="1">
      <c r="G1000" s="157"/>
    </row>
  </sheetData>
  <conditionalFormatting sqref="I10:S12">
    <cfRule type="cellIs" dxfId="1" priority="1" operator="greaterThan">
      <formula>0</formula>
    </cfRule>
  </conditionalFormatting>
  <conditionalFormatting sqref="T10:AB12">
    <cfRule type="cellIs" dxfId="1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2" priority="4">
      <formula>ISEVEN($A10)</formula>
    </cfRule>
  </conditionalFormatting>
  <conditionalFormatting sqref="I16:S18">
    <cfRule type="cellIs" dxfId="1" priority="5" operator="greaterThan">
      <formula>0</formula>
    </cfRule>
  </conditionalFormatting>
  <conditionalFormatting sqref="T16:AB18">
    <cfRule type="cellIs" dxfId="1" priority="6" operator="greaterThan">
      <formula>0</formula>
    </cfRule>
  </conditionalFormatting>
  <conditionalFormatting sqref="A16:AC18">
    <cfRule type="expression" dxfId="2" priority="7">
      <formula>ISEVEN($A16)</formula>
    </cfRule>
  </conditionalFormatting>
  <conditionalFormatting sqref="I22:S24">
    <cfRule type="cellIs" dxfId="1" priority="8" operator="greaterThan">
      <formula>0</formula>
    </cfRule>
  </conditionalFormatting>
  <conditionalFormatting sqref="T22:AB24">
    <cfRule type="cellIs" dxfId="1" priority="9" operator="greaterThan">
      <formula>0</formula>
    </cfRule>
  </conditionalFormatting>
  <conditionalFormatting sqref="A22:AC24">
    <cfRule type="expression" dxfId="2" priority="10">
      <formula>ISEVEN($A22)</formula>
    </cfRule>
  </conditionalFormatting>
  <conditionalFormatting sqref="I28:S30">
    <cfRule type="cellIs" dxfId="1" priority="11" operator="greaterThan">
      <formula>0</formula>
    </cfRule>
  </conditionalFormatting>
  <conditionalFormatting sqref="T28:AB30">
    <cfRule type="cellIs" dxfId="1" priority="12" operator="greaterThan">
      <formula>0</formula>
    </cfRule>
  </conditionalFormatting>
  <conditionalFormatting sqref="A28:AC30">
    <cfRule type="expression" dxfId="2" priority="13">
      <formula>ISEVEN($A28)</formula>
    </cfRule>
  </conditionalFormatting>
  <conditionalFormatting sqref="I34:S36">
    <cfRule type="cellIs" dxfId="1" priority="14" operator="greaterThan">
      <formula>0</formula>
    </cfRule>
  </conditionalFormatting>
  <conditionalFormatting sqref="T34:AB36">
    <cfRule type="cellIs" dxfId="1" priority="15" operator="greaterThan">
      <formula>0</formula>
    </cfRule>
  </conditionalFormatting>
  <conditionalFormatting sqref="A34:AC36">
    <cfRule type="expression" dxfId="2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" t="s">
        <v>192</v>
      </c>
      <c r="G1" s="157"/>
    </row>
    <row r="2" ht="19.5" customHeight="1">
      <c r="A2" s="92" t="s">
        <v>88</v>
      </c>
      <c r="B2" s="92"/>
      <c r="C2" s="92"/>
      <c r="D2" s="92"/>
      <c r="E2" s="92"/>
      <c r="F2" s="92"/>
      <c r="G2" s="158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</row>
    <row r="3">
      <c r="A3" s="125" t="s">
        <v>193</v>
      </c>
      <c r="B3" s="126">
        <v>5.0</v>
      </c>
      <c r="G3" s="157"/>
    </row>
    <row r="4">
      <c r="A4" s="125" t="s">
        <v>194</v>
      </c>
      <c r="B4" s="126">
        <v>3.0</v>
      </c>
      <c r="G4" s="157"/>
    </row>
    <row r="5">
      <c r="A5" s="125" t="s">
        <v>195</v>
      </c>
      <c r="B5" s="126">
        <v>1.0</v>
      </c>
      <c r="G5" s="157"/>
    </row>
    <row r="6">
      <c r="G6" s="157"/>
    </row>
    <row r="7" ht="19.5" customHeight="1">
      <c r="A7" s="159" t="s">
        <v>90</v>
      </c>
      <c r="B7" s="159"/>
      <c r="C7" s="159"/>
      <c r="D7" s="159"/>
      <c r="E7" s="159"/>
      <c r="F7" s="159"/>
      <c r="G7" s="160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</row>
    <row r="8" ht="17.25" customHeight="1">
      <c r="A8" s="161" t="s">
        <v>51</v>
      </c>
      <c r="B8" s="162"/>
      <c r="C8" s="162"/>
      <c r="D8" s="162"/>
      <c r="E8" s="162"/>
      <c r="F8" s="162"/>
      <c r="G8" s="163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</row>
    <row r="9" ht="90.0" customHeight="1">
      <c r="A9" s="164" t="s">
        <v>117</v>
      </c>
      <c r="B9" s="164" t="s">
        <v>131</v>
      </c>
      <c r="C9" s="164" t="s">
        <v>196</v>
      </c>
      <c r="D9" s="165" t="s">
        <v>197</v>
      </c>
      <c r="E9" s="165" t="s">
        <v>198</v>
      </c>
      <c r="F9" s="164" t="s">
        <v>3</v>
      </c>
      <c r="G9" s="166" t="s">
        <v>199</v>
      </c>
      <c r="I9" s="167" t="s">
        <v>5</v>
      </c>
      <c r="J9" s="167" t="s">
        <v>6</v>
      </c>
      <c r="K9" s="167" t="s">
        <v>7</v>
      </c>
      <c r="L9" s="167" t="s">
        <v>8</v>
      </c>
      <c r="M9" s="167" t="s">
        <v>9</v>
      </c>
      <c r="N9" s="167" t="s">
        <v>10</v>
      </c>
      <c r="O9" s="167" t="s">
        <v>11</v>
      </c>
      <c r="P9" s="167" t="s">
        <v>12</v>
      </c>
      <c r="Q9" s="167" t="s">
        <v>13</v>
      </c>
      <c r="R9" s="167" t="s">
        <v>14</v>
      </c>
      <c r="S9" s="167" t="s">
        <v>15</v>
      </c>
      <c r="T9" s="168" t="s">
        <v>77</v>
      </c>
      <c r="U9" s="168" t="s">
        <v>92</v>
      </c>
      <c r="V9" s="168" t="s">
        <v>78</v>
      </c>
      <c r="W9" s="168" t="s">
        <v>79</v>
      </c>
      <c r="X9" s="168" t="s">
        <v>80</v>
      </c>
      <c r="Y9" s="168" t="s">
        <v>81</v>
      </c>
      <c r="Z9" s="168" t="s">
        <v>82</v>
      </c>
      <c r="AA9" s="168" t="s">
        <v>83</v>
      </c>
      <c r="AB9" s="168" t="s">
        <v>84</v>
      </c>
      <c r="AC9" s="164" t="s">
        <v>200</v>
      </c>
    </row>
    <row r="10">
      <c r="A10" s="101">
        <v>1.0</v>
      </c>
      <c r="B10" s="101">
        <v>1.0</v>
      </c>
      <c r="C10" s="101" t="s">
        <v>201</v>
      </c>
      <c r="D10" s="139">
        <v>2.0</v>
      </c>
      <c r="E10" s="139">
        <v>2.0</v>
      </c>
      <c r="F10" s="139">
        <v>0.0</v>
      </c>
      <c r="G10" s="169">
        <f t="shared" ref="G10:G12" si="1">IF(D10=0,0,F10/D10)</f>
        <v>0</v>
      </c>
      <c r="I10" s="139">
        <v>0.0</v>
      </c>
      <c r="J10" s="139">
        <v>0.0</v>
      </c>
      <c r="K10" s="139">
        <v>0.0</v>
      </c>
      <c r="L10" s="139">
        <v>0.0</v>
      </c>
      <c r="M10" s="139">
        <v>0.0</v>
      </c>
      <c r="N10" s="139">
        <v>0.0</v>
      </c>
      <c r="O10" s="139">
        <v>0.0</v>
      </c>
      <c r="P10" s="139">
        <v>20.0</v>
      </c>
      <c r="Q10" s="139">
        <v>0.0</v>
      </c>
      <c r="R10" s="139">
        <v>0.0</v>
      </c>
      <c r="S10" s="139">
        <v>0.0</v>
      </c>
      <c r="T10" s="101">
        <v>0.0</v>
      </c>
      <c r="U10" s="101">
        <v>0.0</v>
      </c>
      <c r="V10" s="101">
        <v>0.0</v>
      </c>
      <c r="W10" s="101">
        <v>0.0</v>
      </c>
      <c r="X10" s="101">
        <v>0.0</v>
      </c>
      <c r="Y10" s="101">
        <v>0.0</v>
      </c>
      <c r="Z10" s="101">
        <v>0.0</v>
      </c>
      <c r="AA10" s="101">
        <v>0.0</v>
      </c>
      <c r="AB10" s="101">
        <v>0.0</v>
      </c>
      <c r="AC10" s="101">
        <f t="shared" ref="AC10:AC12" si="2">SUMPRODUCT(I10:S10, {0,33,50,67,167,67,50,4.17,7.56,12.17,16.22})</f>
        <v>83.4</v>
      </c>
    </row>
    <row r="11">
      <c r="A11" s="101">
        <v>2.0</v>
      </c>
      <c r="B11" s="101">
        <v>1.0</v>
      </c>
      <c r="C11" s="101" t="s">
        <v>201</v>
      </c>
      <c r="D11" s="139">
        <v>3.0</v>
      </c>
      <c r="E11" s="139">
        <v>5.0</v>
      </c>
      <c r="F11" s="139">
        <v>10.0</v>
      </c>
      <c r="G11" s="169">
        <f t="shared" si="1"/>
        <v>3.333333333</v>
      </c>
      <c r="H11" s="155"/>
      <c r="I11" s="139">
        <v>0.0</v>
      </c>
      <c r="J11" s="139">
        <v>1.0</v>
      </c>
      <c r="K11" s="139">
        <v>0.0</v>
      </c>
      <c r="L11" s="139">
        <v>0.0</v>
      </c>
      <c r="M11" s="139">
        <v>0.0</v>
      </c>
      <c r="N11" s="139">
        <v>0.0</v>
      </c>
      <c r="O11" s="139">
        <v>0.0</v>
      </c>
      <c r="P11" s="139">
        <v>0.0</v>
      </c>
      <c r="Q11" s="139">
        <v>0.0</v>
      </c>
      <c r="R11" s="139">
        <v>0.0</v>
      </c>
      <c r="S11" s="139">
        <v>0.0</v>
      </c>
      <c r="T11" s="101">
        <v>0.0</v>
      </c>
      <c r="U11" s="101">
        <v>0.0</v>
      </c>
      <c r="V11" s="101">
        <v>0.0</v>
      </c>
      <c r="W11" s="101">
        <v>0.0</v>
      </c>
      <c r="X11" s="101">
        <v>0.0</v>
      </c>
      <c r="Y11" s="101">
        <v>0.0</v>
      </c>
      <c r="Z11" s="101">
        <v>0.0</v>
      </c>
      <c r="AA11" s="101">
        <v>0.0</v>
      </c>
      <c r="AB11" s="101">
        <v>0.0</v>
      </c>
      <c r="AC11" s="101">
        <f t="shared" si="2"/>
        <v>33</v>
      </c>
    </row>
    <row r="12">
      <c r="A12" s="101">
        <v>3.0</v>
      </c>
      <c r="B12" s="101">
        <v>1.0</v>
      </c>
      <c r="C12" s="101" t="s">
        <v>201</v>
      </c>
      <c r="D12" s="139">
        <v>5.0</v>
      </c>
      <c r="E12" s="139">
        <v>10.0</v>
      </c>
      <c r="F12" s="139">
        <v>15.0</v>
      </c>
      <c r="G12" s="169">
        <f t="shared" si="1"/>
        <v>3</v>
      </c>
      <c r="I12" s="139">
        <v>0.0</v>
      </c>
      <c r="J12" s="139">
        <v>0.0</v>
      </c>
      <c r="K12" s="139">
        <v>1.0</v>
      </c>
      <c r="L12" s="139">
        <v>0.0</v>
      </c>
      <c r="M12" s="139">
        <v>1.0</v>
      </c>
      <c r="N12" s="139">
        <v>0.0</v>
      </c>
      <c r="O12" s="139">
        <v>0.0</v>
      </c>
      <c r="P12" s="139">
        <v>0.0</v>
      </c>
      <c r="Q12" s="139">
        <v>0.0</v>
      </c>
      <c r="R12" s="139">
        <v>0.0</v>
      </c>
      <c r="S12" s="139">
        <v>0.0</v>
      </c>
      <c r="T12" s="101">
        <v>0.0</v>
      </c>
      <c r="U12" s="101">
        <v>0.0</v>
      </c>
      <c r="V12" s="101">
        <v>0.0</v>
      </c>
      <c r="W12" s="101">
        <v>0.0</v>
      </c>
      <c r="X12" s="101">
        <v>0.0</v>
      </c>
      <c r="Y12" s="101">
        <v>0.0</v>
      </c>
      <c r="Z12" s="101">
        <v>0.0</v>
      </c>
      <c r="AA12" s="101">
        <v>0.0</v>
      </c>
      <c r="AB12" s="101">
        <v>0.0</v>
      </c>
      <c r="AC12" s="101">
        <f t="shared" si="2"/>
        <v>217</v>
      </c>
    </row>
    <row r="13">
      <c r="G13" s="157"/>
    </row>
    <row r="14" ht="17.25" customHeight="1">
      <c r="A14" s="161" t="s">
        <v>52</v>
      </c>
      <c r="B14" s="162"/>
      <c r="C14" s="162"/>
      <c r="D14" s="162"/>
      <c r="E14" s="162"/>
      <c r="F14" s="162"/>
      <c r="G14" s="163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</row>
    <row r="15" ht="90.0" customHeight="1">
      <c r="A15" s="96" t="s">
        <v>117</v>
      </c>
      <c r="B15" s="96" t="s">
        <v>131</v>
      </c>
      <c r="C15" s="96" t="s">
        <v>196</v>
      </c>
      <c r="D15" s="170" t="s">
        <v>197</v>
      </c>
      <c r="E15" s="170" t="s">
        <v>198</v>
      </c>
      <c r="F15" s="96" t="s">
        <v>3</v>
      </c>
      <c r="G15" s="171" t="s">
        <v>199</v>
      </c>
      <c r="I15" s="116" t="s">
        <v>5</v>
      </c>
      <c r="J15" s="116" t="s">
        <v>6</v>
      </c>
      <c r="K15" s="116" t="s">
        <v>7</v>
      </c>
      <c r="L15" s="116" t="s">
        <v>8</v>
      </c>
      <c r="M15" s="116" t="s">
        <v>9</v>
      </c>
      <c r="N15" s="116" t="s">
        <v>10</v>
      </c>
      <c r="O15" s="116" t="s">
        <v>11</v>
      </c>
      <c r="P15" s="116" t="s">
        <v>12</v>
      </c>
      <c r="Q15" s="116" t="s">
        <v>13</v>
      </c>
      <c r="R15" s="116" t="s">
        <v>14</v>
      </c>
      <c r="S15" s="116" t="s">
        <v>15</v>
      </c>
      <c r="T15" s="99" t="s">
        <v>77</v>
      </c>
      <c r="U15" s="99" t="s">
        <v>92</v>
      </c>
      <c r="V15" s="99" t="s">
        <v>78</v>
      </c>
      <c r="W15" s="99" t="s">
        <v>79</v>
      </c>
      <c r="X15" s="99" t="s">
        <v>80</v>
      </c>
      <c r="Y15" s="99" t="s">
        <v>81</v>
      </c>
      <c r="Z15" s="99" t="s">
        <v>82</v>
      </c>
      <c r="AA15" s="99" t="s">
        <v>83</v>
      </c>
      <c r="AB15" s="99" t="s">
        <v>84</v>
      </c>
      <c r="AC15" s="96" t="s">
        <v>200</v>
      </c>
    </row>
    <row r="16">
      <c r="A16" s="101">
        <v>1.0</v>
      </c>
      <c r="B16" s="101">
        <v>1.0</v>
      </c>
      <c r="C16" s="101" t="s">
        <v>201</v>
      </c>
      <c r="D16" s="139">
        <v>6.0</v>
      </c>
      <c r="E16" s="139">
        <v>6.0</v>
      </c>
      <c r="F16" s="139">
        <v>10.0</v>
      </c>
      <c r="G16" s="169">
        <f t="shared" ref="G16:G18" si="3">IF(D16=0,0,F16/D16)</f>
        <v>1.666666667</v>
      </c>
      <c r="I16" s="139">
        <v>0.0</v>
      </c>
      <c r="J16" s="139">
        <v>0.0</v>
      </c>
      <c r="K16" s="139">
        <v>0.0</v>
      </c>
      <c r="L16" s="139">
        <v>0.0</v>
      </c>
      <c r="M16" s="139">
        <v>0.0</v>
      </c>
      <c r="N16" s="139">
        <v>0.0</v>
      </c>
      <c r="O16" s="139">
        <v>0.0</v>
      </c>
      <c r="P16" s="139">
        <v>20.0</v>
      </c>
      <c r="Q16" s="139">
        <v>0.0</v>
      </c>
      <c r="R16" s="139">
        <v>0.0</v>
      </c>
      <c r="S16" s="139">
        <v>0.0</v>
      </c>
      <c r="T16" s="101">
        <v>0.0</v>
      </c>
      <c r="U16" s="101">
        <v>0.0</v>
      </c>
      <c r="V16" s="101">
        <v>0.0</v>
      </c>
      <c r="W16" s="101">
        <v>0.0</v>
      </c>
      <c r="X16" s="101">
        <v>0.0</v>
      </c>
      <c r="Y16" s="101">
        <v>0.0</v>
      </c>
      <c r="Z16" s="101">
        <v>0.0</v>
      </c>
      <c r="AA16" s="101">
        <v>0.0</v>
      </c>
      <c r="AB16" s="101">
        <v>0.0</v>
      </c>
      <c r="AC16" s="101">
        <f t="shared" ref="AC16:AC18" si="4">SUMPRODUCT(I16:S16, {0,33,50,67,167,67,50,4.17,7.56,12.17,16.22})</f>
        <v>83.4</v>
      </c>
    </row>
    <row r="17">
      <c r="A17" s="101">
        <v>2.0</v>
      </c>
      <c r="B17" s="101">
        <v>1.0</v>
      </c>
      <c r="C17" s="101" t="s">
        <v>201</v>
      </c>
      <c r="D17" s="139">
        <v>7.0</v>
      </c>
      <c r="E17" s="139">
        <v>13.0</v>
      </c>
      <c r="F17" s="139">
        <v>30.0</v>
      </c>
      <c r="G17" s="169">
        <f t="shared" si="3"/>
        <v>4.285714286</v>
      </c>
      <c r="H17" s="155"/>
      <c r="I17" s="139">
        <v>0.0</v>
      </c>
      <c r="J17" s="139">
        <v>1.0</v>
      </c>
      <c r="K17" s="139">
        <v>0.0</v>
      </c>
      <c r="L17" s="139">
        <v>0.0</v>
      </c>
      <c r="M17" s="139">
        <v>0.0</v>
      </c>
      <c r="N17" s="139">
        <v>0.0</v>
      </c>
      <c r="O17" s="139">
        <v>0.0</v>
      </c>
      <c r="P17" s="139">
        <v>0.0</v>
      </c>
      <c r="Q17" s="139">
        <v>0.0</v>
      </c>
      <c r="R17" s="139">
        <v>0.0</v>
      </c>
      <c r="S17" s="139">
        <v>0.0</v>
      </c>
      <c r="T17" s="101">
        <v>0.0</v>
      </c>
      <c r="U17" s="101">
        <v>0.0</v>
      </c>
      <c r="V17" s="101">
        <v>0.0</v>
      </c>
      <c r="W17" s="101">
        <v>0.0</v>
      </c>
      <c r="X17" s="101">
        <v>0.0</v>
      </c>
      <c r="Y17" s="101">
        <v>0.0</v>
      </c>
      <c r="Z17" s="101">
        <v>0.0</v>
      </c>
      <c r="AA17" s="101">
        <v>0.0</v>
      </c>
      <c r="AB17" s="101">
        <v>0.0</v>
      </c>
      <c r="AC17" s="101">
        <f t="shared" si="4"/>
        <v>33</v>
      </c>
    </row>
    <row r="18">
      <c r="A18" s="101">
        <v>3.0</v>
      </c>
      <c r="B18" s="101">
        <v>1.0</v>
      </c>
      <c r="C18" s="101" t="s">
        <v>201</v>
      </c>
      <c r="D18" s="139">
        <v>13.0</v>
      </c>
      <c r="E18" s="139">
        <v>26.0</v>
      </c>
      <c r="F18" s="139">
        <v>60.0</v>
      </c>
      <c r="G18" s="169">
        <f t="shared" si="3"/>
        <v>4.615384615</v>
      </c>
      <c r="I18" s="139">
        <v>0.0</v>
      </c>
      <c r="J18" s="139">
        <v>0.0</v>
      </c>
      <c r="K18" s="139">
        <v>1.0</v>
      </c>
      <c r="L18" s="139">
        <v>0.0</v>
      </c>
      <c r="M18" s="139">
        <v>1.0</v>
      </c>
      <c r="N18" s="139">
        <v>0.0</v>
      </c>
      <c r="O18" s="139">
        <v>0.0</v>
      </c>
      <c r="P18" s="139">
        <v>0.0</v>
      </c>
      <c r="Q18" s="139">
        <v>0.0</v>
      </c>
      <c r="R18" s="139">
        <v>0.0</v>
      </c>
      <c r="S18" s="139">
        <v>0.0</v>
      </c>
      <c r="T18" s="101">
        <v>0.0</v>
      </c>
      <c r="U18" s="101">
        <v>0.0</v>
      </c>
      <c r="V18" s="101">
        <v>0.0</v>
      </c>
      <c r="W18" s="101">
        <v>0.0</v>
      </c>
      <c r="X18" s="101">
        <v>0.0</v>
      </c>
      <c r="Y18" s="101">
        <v>0.0</v>
      </c>
      <c r="Z18" s="101">
        <v>0.0</v>
      </c>
      <c r="AA18" s="101">
        <v>0.0</v>
      </c>
      <c r="AB18" s="101">
        <v>0.0</v>
      </c>
      <c r="AC18" s="101">
        <f t="shared" si="4"/>
        <v>217</v>
      </c>
    </row>
    <row r="19">
      <c r="G19" s="157"/>
    </row>
    <row r="20" ht="17.25" customHeight="1">
      <c r="A20" s="161" t="s">
        <v>53</v>
      </c>
      <c r="B20" s="162"/>
      <c r="C20" s="162"/>
      <c r="D20" s="162"/>
      <c r="E20" s="162"/>
      <c r="F20" s="162"/>
      <c r="G20" s="163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</row>
    <row r="21" ht="90.0" customHeight="1">
      <c r="A21" s="96" t="s">
        <v>117</v>
      </c>
      <c r="B21" s="96" t="s">
        <v>131</v>
      </c>
      <c r="C21" s="96" t="s">
        <v>196</v>
      </c>
      <c r="D21" s="170" t="s">
        <v>197</v>
      </c>
      <c r="E21" s="170" t="s">
        <v>198</v>
      </c>
      <c r="F21" s="96" t="s">
        <v>3</v>
      </c>
      <c r="G21" s="171" t="s">
        <v>199</v>
      </c>
      <c r="I21" s="116" t="s">
        <v>5</v>
      </c>
      <c r="J21" s="116" t="s">
        <v>6</v>
      </c>
      <c r="K21" s="116" t="s">
        <v>7</v>
      </c>
      <c r="L21" s="116" t="s">
        <v>8</v>
      </c>
      <c r="M21" s="116" t="s">
        <v>9</v>
      </c>
      <c r="N21" s="116" t="s">
        <v>10</v>
      </c>
      <c r="O21" s="116" t="s">
        <v>11</v>
      </c>
      <c r="P21" s="116" t="s">
        <v>12</v>
      </c>
      <c r="Q21" s="116" t="s">
        <v>13</v>
      </c>
      <c r="R21" s="116" t="s">
        <v>14</v>
      </c>
      <c r="S21" s="116" t="s">
        <v>15</v>
      </c>
      <c r="T21" s="99" t="s">
        <v>77</v>
      </c>
      <c r="U21" s="99" t="s">
        <v>92</v>
      </c>
      <c r="V21" s="99" t="s">
        <v>78</v>
      </c>
      <c r="W21" s="99" t="s">
        <v>79</v>
      </c>
      <c r="X21" s="99" t="s">
        <v>80</v>
      </c>
      <c r="Y21" s="99" t="s">
        <v>81</v>
      </c>
      <c r="Z21" s="99" t="s">
        <v>82</v>
      </c>
      <c r="AA21" s="99" t="s">
        <v>83</v>
      </c>
      <c r="AB21" s="99" t="s">
        <v>84</v>
      </c>
      <c r="AC21" s="96" t="s">
        <v>200</v>
      </c>
    </row>
    <row r="22" ht="15.75" customHeight="1">
      <c r="A22" s="101">
        <v>1.0</v>
      </c>
      <c r="B22" s="101">
        <v>1.0</v>
      </c>
      <c r="C22" s="101" t="s">
        <v>201</v>
      </c>
      <c r="D22" s="139">
        <v>11.0</v>
      </c>
      <c r="E22" s="139">
        <v>11.0</v>
      </c>
      <c r="F22" s="139">
        <v>15.0</v>
      </c>
      <c r="G22" s="169">
        <f t="shared" ref="G22:G24" si="5">IF(D22=0,0,F22/D22)</f>
        <v>1.363636364</v>
      </c>
      <c r="I22" s="139">
        <v>0.0</v>
      </c>
      <c r="J22" s="139">
        <v>0.0</v>
      </c>
      <c r="K22" s="139">
        <v>0.0</v>
      </c>
      <c r="L22" s="139">
        <v>0.0</v>
      </c>
      <c r="M22" s="139">
        <v>0.0</v>
      </c>
      <c r="N22" s="139">
        <v>0.0</v>
      </c>
      <c r="O22" s="139">
        <v>0.0</v>
      </c>
      <c r="P22" s="139">
        <v>20.0</v>
      </c>
      <c r="Q22" s="139">
        <v>0.0</v>
      </c>
      <c r="R22" s="139">
        <v>0.0</v>
      </c>
      <c r="S22" s="139">
        <v>0.0</v>
      </c>
      <c r="T22" s="101">
        <v>0.0</v>
      </c>
      <c r="U22" s="101">
        <v>0.0</v>
      </c>
      <c r="V22" s="101">
        <v>0.0</v>
      </c>
      <c r="W22" s="101">
        <v>0.0</v>
      </c>
      <c r="X22" s="101">
        <v>0.0</v>
      </c>
      <c r="Y22" s="101">
        <v>0.0</v>
      </c>
      <c r="Z22" s="101">
        <v>0.0</v>
      </c>
      <c r="AA22" s="101">
        <v>0.0</v>
      </c>
      <c r="AB22" s="101">
        <v>0.0</v>
      </c>
      <c r="AC22" s="101">
        <f t="shared" ref="AC22:AC24" si="6">SUMPRODUCT(I22:S22, {0,33,50,67,167,67,50,4.17,7.56,12.17,16.22})</f>
        <v>83.4</v>
      </c>
    </row>
    <row r="23" ht="15.75" customHeight="1">
      <c r="A23" s="101">
        <v>2.0</v>
      </c>
      <c r="B23" s="101">
        <v>1.0</v>
      </c>
      <c r="C23" s="101" t="s">
        <v>201</v>
      </c>
      <c r="D23" s="139">
        <v>15.0</v>
      </c>
      <c r="E23" s="139">
        <v>26.0</v>
      </c>
      <c r="F23" s="139">
        <v>50.0</v>
      </c>
      <c r="G23" s="169">
        <f t="shared" si="5"/>
        <v>3.333333333</v>
      </c>
      <c r="H23" s="155"/>
      <c r="I23" s="139">
        <v>0.0</v>
      </c>
      <c r="J23" s="139">
        <v>1.0</v>
      </c>
      <c r="K23" s="139">
        <v>0.0</v>
      </c>
      <c r="L23" s="139">
        <v>0.0</v>
      </c>
      <c r="M23" s="139">
        <v>0.0</v>
      </c>
      <c r="N23" s="139">
        <v>0.0</v>
      </c>
      <c r="O23" s="139">
        <v>0.0</v>
      </c>
      <c r="P23" s="139">
        <v>0.0</v>
      </c>
      <c r="Q23" s="139">
        <v>0.0</v>
      </c>
      <c r="R23" s="139">
        <v>0.0</v>
      </c>
      <c r="S23" s="139">
        <v>0.0</v>
      </c>
      <c r="T23" s="101">
        <v>0.0</v>
      </c>
      <c r="U23" s="101">
        <v>0.0</v>
      </c>
      <c r="V23" s="101">
        <v>0.0</v>
      </c>
      <c r="W23" s="101">
        <v>0.0</v>
      </c>
      <c r="X23" s="101">
        <v>0.0</v>
      </c>
      <c r="Y23" s="101">
        <v>0.0</v>
      </c>
      <c r="Z23" s="101">
        <v>0.0</v>
      </c>
      <c r="AA23" s="101">
        <v>0.0</v>
      </c>
      <c r="AB23" s="101">
        <v>0.0</v>
      </c>
      <c r="AC23" s="101">
        <f t="shared" si="6"/>
        <v>33</v>
      </c>
    </row>
    <row r="24" ht="15.75" customHeight="1">
      <c r="A24" s="101">
        <v>3.0</v>
      </c>
      <c r="B24" s="101">
        <v>1.0</v>
      </c>
      <c r="C24" s="101" t="s">
        <v>201</v>
      </c>
      <c r="D24" s="139">
        <v>16.0</v>
      </c>
      <c r="E24" s="139">
        <v>42.0</v>
      </c>
      <c r="F24" s="139">
        <v>100.0</v>
      </c>
      <c r="G24" s="169">
        <f t="shared" si="5"/>
        <v>6.25</v>
      </c>
      <c r="I24" s="139">
        <v>0.0</v>
      </c>
      <c r="J24" s="139">
        <v>0.0</v>
      </c>
      <c r="K24" s="139">
        <v>1.0</v>
      </c>
      <c r="L24" s="139">
        <v>0.0</v>
      </c>
      <c r="M24" s="139">
        <v>1.0</v>
      </c>
      <c r="N24" s="139">
        <v>0.0</v>
      </c>
      <c r="O24" s="139">
        <v>0.0</v>
      </c>
      <c r="P24" s="139">
        <v>0.0</v>
      </c>
      <c r="Q24" s="139">
        <v>0.0</v>
      </c>
      <c r="R24" s="139">
        <v>0.0</v>
      </c>
      <c r="S24" s="139">
        <v>0.0</v>
      </c>
      <c r="T24" s="101">
        <v>0.0</v>
      </c>
      <c r="U24" s="101">
        <v>0.0</v>
      </c>
      <c r="V24" s="101">
        <v>0.0</v>
      </c>
      <c r="W24" s="101">
        <v>0.0</v>
      </c>
      <c r="X24" s="101">
        <v>0.0</v>
      </c>
      <c r="Y24" s="101">
        <v>0.0</v>
      </c>
      <c r="Z24" s="101">
        <v>0.0</v>
      </c>
      <c r="AA24" s="101">
        <v>0.0</v>
      </c>
      <c r="AB24" s="101">
        <v>0.0</v>
      </c>
      <c r="AC24" s="101">
        <f t="shared" si="6"/>
        <v>217</v>
      </c>
    </row>
    <row r="25" ht="15.75" customHeight="1">
      <c r="G25" s="157"/>
    </row>
    <row r="26" ht="17.25" customHeight="1">
      <c r="A26" s="161" t="s">
        <v>54</v>
      </c>
      <c r="B26" s="162"/>
      <c r="C26" s="162"/>
      <c r="D26" s="162"/>
      <c r="E26" s="162"/>
      <c r="F26" s="162"/>
      <c r="G26" s="163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</row>
    <row r="27" ht="90.0" customHeight="1">
      <c r="A27" s="96" t="s">
        <v>117</v>
      </c>
      <c r="B27" s="96" t="s">
        <v>131</v>
      </c>
      <c r="C27" s="96" t="s">
        <v>196</v>
      </c>
      <c r="D27" s="170" t="s">
        <v>197</v>
      </c>
      <c r="E27" s="170" t="s">
        <v>198</v>
      </c>
      <c r="F27" s="96" t="s">
        <v>3</v>
      </c>
      <c r="G27" s="171" t="s">
        <v>199</v>
      </c>
      <c r="I27" s="116" t="s">
        <v>5</v>
      </c>
      <c r="J27" s="116" t="s">
        <v>6</v>
      </c>
      <c r="K27" s="116" t="s">
        <v>7</v>
      </c>
      <c r="L27" s="116" t="s">
        <v>8</v>
      </c>
      <c r="M27" s="116" t="s">
        <v>9</v>
      </c>
      <c r="N27" s="116" t="s">
        <v>10</v>
      </c>
      <c r="O27" s="116" t="s">
        <v>11</v>
      </c>
      <c r="P27" s="116" t="s">
        <v>12</v>
      </c>
      <c r="Q27" s="116" t="s">
        <v>13</v>
      </c>
      <c r="R27" s="116" t="s">
        <v>14</v>
      </c>
      <c r="S27" s="116" t="s">
        <v>15</v>
      </c>
      <c r="T27" s="99" t="s">
        <v>77</v>
      </c>
      <c r="U27" s="99" t="s">
        <v>92</v>
      </c>
      <c r="V27" s="99" t="s">
        <v>78</v>
      </c>
      <c r="W27" s="99" t="s">
        <v>79</v>
      </c>
      <c r="X27" s="99" t="s">
        <v>80</v>
      </c>
      <c r="Y27" s="99" t="s">
        <v>81</v>
      </c>
      <c r="Z27" s="99" t="s">
        <v>82</v>
      </c>
      <c r="AA27" s="99" t="s">
        <v>83</v>
      </c>
      <c r="AB27" s="99" t="s">
        <v>84</v>
      </c>
      <c r="AC27" s="96" t="s">
        <v>200</v>
      </c>
    </row>
    <row r="28" ht="15.75" customHeight="1">
      <c r="A28" s="101">
        <v>1.0</v>
      </c>
      <c r="B28" s="101">
        <v>1.0</v>
      </c>
      <c r="C28" s="101" t="s">
        <v>201</v>
      </c>
      <c r="D28" s="139">
        <v>28.0</v>
      </c>
      <c r="E28" s="139">
        <v>28.0</v>
      </c>
      <c r="F28" s="139">
        <v>50.0</v>
      </c>
      <c r="G28" s="169">
        <f t="shared" ref="G28:G30" si="7">IF(D28=0,0,F28/D28)</f>
        <v>1.785714286</v>
      </c>
      <c r="I28" s="139">
        <v>0.0</v>
      </c>
      <c r="J28" s="139">
        <v>0.0</v>
      </c>
      <c r="K28" s="139">
        <v>0.0</v>
      </c>
      <c r="L28" s="139">
        <v>0.0</v>
      </c>
      <c r="M28" s="139">
        <v>0.0</v>
      </c>
      <c r="N28" s="139">
        <v>0.0</v>
      </c>
      <c r="O28" s="139">
        <v>0.0</v>
      </c>
      <c r="P28" s="139">
        <v>30.0</v>
      </c>
      <c r="Q28" s="139">
        <v>0.0</v>
      </c>
      <c r="R28" s="139">
        <v>0.0</v>
      </c>
      <c r="S28" s="139">
        <v>0.0</v>
      </c>
      <c r="T28" s="101">
        <v>0.0</v>
      </c>
      <c r="U28" s="101">
        <v>0.0</v>
      </c>
      <c r="V28" s="101">
        <v>0.0</v>
      </c>
      <c r="W28" s="101">
        <v>0.0</v>
      </c>
      <c r="X28" s="101">
        <v>0.0</v>
      </c>
      <c r="Y28" s="101">
        <v>0.0</v>
      </c>
      <c r="Z28" s="101">
        <v>0.0</v>
      </c>
      <c r="AA28" s="101">
        <v>0.0</v>
      </c>
      <c r="AB28" s="101">
        <v>0.0</v>
      </c>
      <c r="AC28" s="101">
        <f t="shared" ref="AC28:AC30" si="8">SUMPRODUCT(I28:S28, {0,33,50,67,167,67,50,4.17,7.56,12.17,16.22})</f>
        <v>125.1</v>
      </c>
    </row>
    <row r="29" ht="15.75" customHeight="1">
      <c r="A29" s="101">
        <v>2.0</v>
      </c>
      <c r="B29" s="101">
        <v>1.0</v>
      </c>
      <c r="C29" s="101" t="s">
        <v>201</v>
      </c>
      <c r="D29" s="139">
        <v>32.0</v>
      </c>
      <c r="E29" s="139">
        <v>60.0</v>
      </c>
      <c r="F29" s="139">
        <v>120.0</v>
      </c>
      <c r="G29" s="169">
        <f t="shared" si="7"/>
        <v>3.75</v>
      </c>
      <c r="H29" s="155"/>
      <c r="I29" s="139">
        <v>0.0</v>
      </c>
      <c r="J29" s="139">
        <v>1.0</v>
      </c>
      <c r="K29" s="139">
        <v>0.0</v>
      </c>
      <c r="L29" s="139">
        <v>0.0</v>
      </c>
      <c r="M29" s="139">
        <v>0.0</v>
      </c>
      <c r="N29" s="139">
        <v>0.0</v>
      </c>
      <c r="O29" s="139">
        <v>0.0</v>
      </c>
      <c r="P29" s="139">
        <v>0.0</v>
      </c>
      <c r="Q29" s="139">
        <v>0.0</v>
      </c>
      <c r="R29" s="139">
        <v>0.0</v>
      </c>
      <c r="S29" s="139">
        <v>0.0</v>
      </c>
      <c r="T29" s="101">
        <v>0.0</v>
      </c>
      <c r="U29" s="101">
        <v>0.0</v>
      </c>
      <c r="V29" s="101">
        <v>0.0</v>
      </c>
      <c r="W29" s="101">
        <v>0.0</v>
      </c>
      <c r="X29" s="101">
        <v>0.0</v>
      </c>
      <c r="Y29" s="101">
        <v>0.0</v>
      </c>
      <c r="Z29" s="101">
        <v>0.0</v>
      </c>
      <c r="AA29" s="101">
        <v>0.0</v>
      </c>
      <c r="AB29" s="101">
        <v>0.0</v>
      </c>
      <c r="AC29" s="101">
        <f t="shared" si="8"/>
        <v>33</v>
      </c>
    </row>
    <row r="30" ht="15.75" customHeight="1">
      <c r="A30" s="101">
        <v>3.0</v>
      </c>
      <c r="B30" s="101">
        <v>1.0</v>
      </c>
      <c r="C30" s="101" t="s">
        <v>201</v>
      </c>
      <c r="D30" s="139">
        <v>40.0</v>
      </c>
      <c r="E30" s="139">
        <v>100.0</v>
      </c>
      <c r="F30" s="139">
        <v>250.0</v>
      </c>
      <c r="G30" s="169">
        <f t="shared" si="7"/>
        <v>6.25</v>
      </c>
      <c r="I30" s="139">
        <v>0.0</v>
      </c>
      <c r="J30" s="139">
        <v>0.0</v>
      </c>
      <c r="K30" s="139">
        <v>0.0</v>
      </c>
      <c r="L30" s="139">
        <v>0.0</v>
      </c>
      <c r="M30" s="139">
        <v>1.0</v>
      </c>
      <c r="N30" s="139">
        <v>0.0</v>
      </c>
      <c r="O30" s="139">
        <v>1.0</v>
      </c>
      <c r="P30" s="139">
        <v>0.0</v>
      </c>
      <c r="Q30" s="139">
        <v>0.0</v>
      </c>
      <c r="R30" s="139">
        <v>0.0</v>
      </c>
      <c r="S30" s="139">
        <v>0.0</v>
      </c>
      <c r="T30" s="101">
        <v>0.0</v>
      </c>
      <c r="U30" s="101">
        <v>0.0</v>
      </c>
      <c r="V30" s="101">
        <v>0.0</v>
      </c>
      <c r="W30" s="101">
        <v>0.0</v>
      </c>
      <c r="X30" s="101">
        <v>0.0</v>
      </c>
      <c r="Y30" s="101">
        <v>0.0</v>
      </c>
      <c r="Z30" s="101">
        <v>0.0</v>
      </c>
      <c r="AA30" s="101">
        <v>0.0</v>
      </c>
      <c r="AB30" s="101">
        <v>0.0</v>
      </c>
      <c r="AC30" s="101">
        <f t="shared" si="8"/>
        <v>217</v>
      </c>
    </row>
    <row r="31" ht="15.75" customHeight="1">
      <c r="G31" s="157"/>
    </row>
    <row r="32" ht="17.25" customHeight="1">
      <c r="A32" s="161" t="s">
        <v>55</v>
      </c>
      <c r="B32" s="162"/>
      <c r="C32" s="162"/>
      <c r="D32" s="162"/>
      <c r="E32" s="162"/>
      <c r="F32" s="162"/>
      <c r="G32" s="163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</row>
    <row r="33" ht="90.0" customHeight="1">
      <c r="A33" s="96" t="s">
        <v>117</v>
      </c>
      <c r="B33" s="96" t="s">
        <v>131</v>
      </c>
      <c r="C33" s="96" t="s">
        <v>196</v>
      </c>
      <c r="D33" s="170" t="s">
        <v>197</v>
      </c>
      <c r="E33" s="170" t="s">
        <v>198</v>
      </c>
      <c r="F33" s="96" t="s">
        <v>3</v>
      </c>
      <c r="G33" s="171" t="s">
        <v>199</v>
      </c>
      <c r="I33" s="116" t="s">
        <v>5</v>
      </c>
      <c r="J33" s="116" t="s">
        <v>6</v>
      </c>
      <c r="K33" s="116" t="s">
        <v>7</v>
      </c>
      <c r="L33" s="116" t="s">
        <v>8</v>
      </c>
      <c r="M33" s="116" t="s">
        <v>9</v>
      </c>
      <c r="N33" s="116" t="s">
        <v>10</v>
      </c>
      <c r="O33" s="116" t="s">
        <v>11</v>
      </c>
      <c r="P33" s="116" t="s">
        <v>12</v>
      </c>
      <c r="Q33" s="116" t="s">
        <v>13</v>
      </c>
      <c r="R33" s="116" t="s">
        <v>14</v>
      </c>
      <c r="S33" s="116" t="s">
        <v>15</v>
      </c>
      <c r="T33" s="99" t="s">
        <v>77</v>
      </c>
      <c r="U33" s="99" t="s">
        <v>92</v>
      </c>
      <c r="V33" s="99" t="s">
        <v>78</v>
      </c>
      <c r="W33" s="99" t="s">
        <v>79</v>
      </c>
      <c r="X33" s="99" t="s">
        <v>80</v>
      </c>
      <c r="Y33" s="99" t="s">
        <v>81</v>
      </c>
      <c r="Z33" s="99" t="s">
        <v>82</v>
      </c>
      <c r="AA33" s="99" t="s">
        <v>83</v>
      </c>
      <c r="AB33" s="99" t="s">
        <v>84</v>
      </c>
      <c r="AC33" s="96" t="s">
        <v>200</v>
      </c>
    </row>
    <row r="34" ht="15.75" customHeight="1">
      <c r="A34" s="101">
        <v>1.0</v>
      </c>
      <c r="B34" s="101">
        <v>1.0</v>
      </c>
      <c r="C34" s="101" t="s">
        <v>201</v>
      </c>
      <c r="D34" s="139">
        <v>80.0</v>
      </c>
      <c r="E34" s="139">
        <v>80.0</v>
      </c>
      <c r="F34" s="139">
        <v>100.0</v>
      </c>
      <c r="G34" s="169">
        <f t="shared" ref="G34:G36" si="9">IF(D34=0,0,F34/D34)</f>
        <v>1.25</v>
      </c>
      <c r="I34" s="139">
        <v>0.0</v>
      </c>
      <c r="J34" s="139">
        <v>0.0</v>
      </c>
      <c r="K34" s="139">
        <v>0.0</v>
      </c>
      <c r="L34" s="139">
        <v>0.0</v>
      </c>
      <c r="M34" s="139">
        <v>0.0</v>
      </c>
      <c r="N34" s="139">
        <v>0.0</v>
      </c>
      <c r="O34" s="139">
        <v>0.0</v>
      </c>
      <c r="P34" s="139">
        <v>60.0</v>
      </c>
      <c r="Q34" s="139">
        <v>0.0</v>
      </c>
      <c r="R34" s="139">
        <v>0.0</v>
      </c>
      <c r="S34" s="139">
        <v>0.0</v>
      </c>
      <c r="T34" s="101">
        <v>0.0</v>
      </c>
      <c r="U34" s="101">
        <v>0.0</v>
      </c>
      <c r="V34" s="101">
        <v>0.0</v>
      </c>
      <c r="W34" s="101">
        <v>0.0</v>
      </c>
      <c r="X34" s="101">
        <v>0.0</v>
      </c>
      <c r="Y34" s="101">
        <v>0.0</v>
      </c>
      <c r="Z34" s="101">
        <v>0.0</v>
      </c>
      <c r="AA34" s="101">
        <v>0.0</v>
      </c>
      <c r="AB34" s="101">
        <v>0.0</v>
      </c>
      <c r="AC34" s="101">
        <f t="shared" ref="AC34:AC36" si="10">SUMPRODUCT(I34:S34, {0,33,50,67,167,67,50,4.17,7.56,12.17,16.22})</f>
        <v>250.2</v>
      </c>
    </row>
    <row r="35" ht="15.75" customHeight="1">
      <c r="A35" s="101">
        <v>2.0</v>
      </c>
      <c r="B35" s="101">
        <v>1.0</v>
      </c>
      <c r="C35" s="101" t="s">
        <v>201</v>
      </c>
      <c r="D35" s="139">
        <v>95.0</v>
      </c>
      <c r="E35" s="139">
        <v>175.0</v>
      </c>
      <c r="F35" s="139">
        <v>300.0</v>
      </c>
      <c r="G35" s="169">
        <f t="shared" si="9"/>
        <v>3.157894737</v>
      </c>
      <c r="H35" s="155"/>
      <c r="I35" s="139">
        <v>0.0</v>
      </c>
      <c r="J35" s="139">
        <v>1.0</v>
      </c>
      <c r="K35" s="139">
        <v>0.0</v>
      </c>
      <c r="L35" s="139">
        <v>0.0</v>
      </c>
      <c r="M35" s="139">
        <v>0.0</v>
      </c>
      <c r="N35" s="139">
        <v>0.0</v>
      </c>
      <c r="O35" s="139">
        <v>0.0</v>
      </c>
      <c r="P35" s="139">
        <v>0.0</v>
      </c>
      <c r="Q35" s="139">
        <v>0.0</v>
      </c>
      <c r="R35" s="139">
        <v>0.0</v>
      </c>
      <c r="S35" s="139">
        <v>0.0</v>
      </c>
      <c r="T35" s="101">
        <v>0.0</v>
      </c>
      <c r="U35" s="101">
        <v>0.0</v>
      </c>
      <c r="V35" s="101">
        <v>0.0</v>
      </c>
      <c r="W35" s="101">
        <v>0.0</v>
      </c>
      <c r="X35" s="101">
        <v>0.0</v>
      </c>
      <c r="Y35" s="101">
        <v>0.0</v>
      </c>
      <c r="Z35" s="101">
        <v>0.0</v>
      </c>
      <c r="AA35" s="101">
        <v>0.0</v>
      </c>
      <c r="AB35" s="101">
        <v>0.0</v>
      </c>
      <c r="AC35" s="101">
        <f t="shared" si="10"/>
        <v>33</v>
      </c>
    </row>
    <row r="36" ht="15.75" customHeight="1">
      <c r="A36" s="101">
        <v>3.0</v>
      </c>
      <c r="B36" s="101">
        <v>1.0</v>
      </c>
      <c r="C36" s="101" t="s">
        <v>201</v>
      </c>
      <c r="D36" s="139">
        <v>105.0</v>
      </c>
      <c r="E36" s="139">
        <v>280.0</v>
      </c>
      <c r="F36" s="139">
        <v>400.0</v>
      </c>
      <c r="G36" s="169">
        <f t="shared" si="9"/>
        <v>3.80952381</v>
      </c>
      <c r="I36" s="139">
        <v>0.0</v>
      </c>
      <c r="J36" s="139">
        <v>0.0</v>
      </c>
      <c r="K36" s="139">
        <v>0.0</v>
      </c>
      <c r="L36" s="139">
        <v>0.0</v>
      </c>
      <c r="M36" s="139">
        <v>1.0</v>
      </c>
      <c r="N36" s="139">
        <v>0.0</v>
      </c>
      <c r="O36" s="139">
        <v>1.0</v>
      </c>
      <c r="P36" s="139">
        <v>0.0</v>
      </c>
      <c r="Q36" s="139">
        <v>0.0</v>
      </c>
      <c r="R36" s="139">
        <v>0.0</v>
      </c>
      <c r="S36" s="139">
        <v>0.0</v>
      </c>
      <c r="T36" s="101">
        <v>0.0</v>
      </c>
      <c r="U36" s="101">
        <v>0.0</v>
      </c>
      <c r="V36" s="101">
        <v>0.0</v>
      </c>
      <c r="W36" s="101">
        <v>0.0</v>
      </c>
      <c r="X36" s="101">
        <v>0.0</v>
      </c>
      <c r="Y36" s="101">
        <v>0.0</v>
      </c>
      <c r="Z36" s="101">
        <v>0.0</v>
      </c>
      <c r="AA36" s="101">
        <v>0.0</v>
      </c>
      <c r="AB36" s="101">
        <v>0.0</v>
      </c>
      <c r="AC36" s="101">
        <f t="shared" si="10"/>
        <v>217</v>
      </c>
    </row>
    <row r="37" ht="15.75" customHeight="1">
      <c r="G37" s="157"/>
    </row>
    <row r="38" ht="15.75" customHeight="1">
      <c r="G38" s="157"/>
    </row>
    <row r="39" ht="15.75" customHeight="1">
      <c r="G39" s="157"/>
    </row>
    <row r="40" ht="15.75" customHeight="1">
      <c r="G40" s="157"/>
    </row>
    <row r="41" ht="15.75" customHeight="1">
      <c r="G41" s="157"/>
    </row>
    <row r="42" ht="15.75" customHeight="1">
      <c r="G42" s="157"/>
    </row>
    <row r="43" ht="15.75" customHeight="1">
      <c r="G43" s="157"/>
    </row>
    <row r="44" ht="15.75" customHeight="1">
      <c r="G44" s="157"/>
    </row>
    <row r="45" ht="15.75" customHeight="1">
      <c r="G45" s="157"/>
    </row>
    <row r="46" ht="15.75" customHeight="1">
      <c r="G46" s="157"/>
    </row>
    <row r="47" ht="15.75" customHeight="1">
      <c r="G47" s="157"/>
    </row>
    <row r="48" ht="15.75" customHeight="1">
      <c r="G48" s="157"/>
    </row>
    <row r="49" ht="15.75" customHeight="1">
      <c r="G49" s="157"/>
    </row>
    <row r="50" ht="15.75" customHeight="1">
      <c r="G50" s="157"/>
    </row>
    <row r="51" ht="15.75" customHeight="1">
      <c r="G51" s="157"/>
    </row>
    <row r="52" ht="15.75" customHeight="1">
      <c r="G52" s="157"/>
    </row>
    <row r="53" ht="15.75" customHeight="1">
      <c r="G53" s="157"/>
    </row>
    <row r="54" ht="15.75" customHeight="1">
      <c r="G54" s="157"/>
    </row>
    <row r="55" ht="15.75" customHeight="1">
      <c r="G55" s="157"/>
    </row>
    <row r="56" ht="15.75" customHeight="1">
      <c r="G56" s="157"/>
    </row>
    <row r="57" ht="15.75" customHeight="1">
      <c r="G57" s="157"/>
    </row>
    <row r="58" ht="15.75" customHeight="1">
      <c r="G58" s="157"/>
    </row>
    <row r="59" ht="15.75" customHeight="1">
      <c r="G59" s="157"/>
    </row>
    <row r="60" ht="15.75" customHeight="1">
      <c r="G60" s="157"/>
    </row>
    <row r="61" ht="15.75" customHeight="1">
      <c r="G61" s="157"/>
    </row>
    <row r="62" ht="15.75" customHeight="1">
      <c r="G62" s="157"/>
    </row>
    <row r="63" ht="15.75" customHeight="1">
      <c r="G63" s="157"/>
    </row>
    <row r="64" ht="15.75" customHeight="1">
      <c r="G64" s="157"/>
    </row>
    <row r="65" ht="15.75" customHeight="1">
      <c r="G65" s="157"/>
    </row>
    <row r="66" ht="15.75" customHeight="1">
      <c r="G66" s="157"/>
    </row>
    <row r="67" ht="15.75" customHeight="1">
      <c r="G67" s="157"/>
    </row>
    <row r="68" ht="15.75" customHeight="1">
      <c r="G68" s="157"/>
    </row>
    <row r="69" ht="15.75" customHeight="1">
      <c r="G69" s="157"/>
    </row>
    <row r="70" ht="15.75" customHeight="1">
      <c r="G70" s="157"/>
    </row>
    <row r="71" ht="15.75" customHeight="1">
      <c r="G71" s="157"/>
    </row>
    <row r="72" ht="15.75" customHeight="1">
      <c r="G72" s="157"/>
    </row>
    <row r="73" ht="15.75" customHeight="1">
      <c r="G73" s="157"/>
    </row>
    <row r="74" ht="15.75" customHeight="1">
      <c r="G74" s="157"/>
    </row>
    <row r="75" ht="15.75" customHeight="1">
      <c r="G75" s="157"/>
    </row>
    <row r="76" ht="15.75" customHeight="1">
      <c r="G76" s="157"/>
    </row>
    <row r="77" ht="15.75" customHeight="1">
      <c r="G77" s="157"/>
    </row>
    <row r="78" ht="15.75" customHeight="1">
      <c r="G78" s="157"/>
    </row>
    <row r="79" ht="15.75" customHeight="1">
      <c r="G79" s="157"/>
    </row>
    <row r="80" ht="15.75" customHeight="1">
      <c r="G80" s="157"/>
    </row>
    <row r="81" ht="15.75" customHeight="1">
      <c r="G81" s="157"/>
    </row>
    <row r="82" ht="15.75" customHeight="1">
      <c r="G82" s="157"/>
    </row>
    <row r="83" ht="15.75" customHeight="1">
      <c r="G83" s="157"/>
    </row>
    <row r="84" ht="15.75" customHeight="1">
      <c r="G84" s="157"/>
    </row>
    <row r="85" ht="15.75" customHeight="1">
      <c r="G85" s="157"/>
    </row>
    <row r="86" ht="15.75" customHeight="1">
      <c r="G86" s="157"/>
    </row>
    <row r="87" ht="15.75" customHeight="1">
      <c r="G87" s="157"/>
    </row>
    <row r="88" ht="15.75" customHeight="1">
      <c r="G88" s="157"/>
    </row>
    <row r="89" ht="15.75" customHeight="1">
      <c r="G89" s="157"/>
    </row>
    <row r="90" ht="15.75" customHeight="1">
      <c r="G90" s="157"/>
    </row>
    <row r="91" ht="15.75" customHeight="1">
      <c r="G91" s="157"/>
    </row>
    <row r="92" ht="15.75" customHeight="1">
      <c r="G92" s="157"/>
    </row>
    <row r="93" ht="15.75" customHeight="1">
      <c r="G93" s="157"/>
    </row>
    <row r="94" ht="15.75" customHeight="1">
      <c r="G94" s="157"/>
    </row>
    <row r="95" ht="15.75" customHeight="1">
      <c r="G95" s="157"/>
    </row>
    <row r="96" ht="15.75" customHeight="1">
      <c r="G96" s="157"/>
    </row>
    <row r="97" ht="15.75" customHeight="1">
      <c r="G97" s="157"/>
    </row>
    <row r="98" ht="15.75" customHeight="1">
      <c r="G98" s="157"/>
    </row>
    <row r="99" ht="15.75" customHeight="1">
      <c r="G99" s="157"/>
    </row>
    <row r="100" ht="15.75" customHeight="1">
      <c r="G100" s="157"/>
    </row>
    <row r="101" ht="15.75" customHeight="1">
      <c r="G101" s="157"/>
    </row>
    <row r="102" ht="15.75" customHeight="1">
      <c r="G102" s="157"/>
    </row>
    <row r="103" ht="15.75" customHeight="1">
      <c r="G103" s="157"/>
    </row>
    <row r="104" ht="15.75" customHeight="1">
      <c r="G104" s="157"/>
    </row>
    <row r="105" ht="15.75" customHeight="1">
      <c r="G105" s="157"/>
    </row>
    <row r="106" ht="15.75" customHeight="1">
      <c r="G106" s="157"/>
    </row>
    <row r="107" ht="15.75" customHeight="1">
      <c r="G107" s="157"/>
    </row>
    <row r="108" ht="15.75" customHeight="1">
      <c r="G108" s="157"/>
    </row>
    <row r="109" ht="15.75" customHeight="1">
      <c r="G109" s="157"/>
    </row>
    <row r="110" ht="15.75" customHeight="1">
      <c r="G110" s="157"/>
    </row>
    <row r="111" ht="15.75" customHeight="1">
      <c r="G111" s="157"/>
    </row>
    <row r="112" ht="15.75" customHeight="1">
      <c r="G112" s="157"/>
    </row>
    <row r="113" ht="15.75" customHeight="1">
      <c r="G113" s="157"/>
    </row>
    <row r="114" ht="15.75" customHeight="1">
      <c r="G114" s="157"/>
    </row>
    <row r="115" ht="15.75" customHeight="1">
      <c r="G115" s="157"/>
    </row>
    <row r="116" ht="15.75" customHeight="1">
      <c r="G116" s="157"/>
    </row>
    <row r="117" ht="15.75" customHeight="1">
      <c r="G117" s="157"/>
    </row>
    <row r="118" ht="15.75" customHeight="1">
      <c r="G118" s="157"/>
    </row>
    <row r="119" ht="15.75" customHeight="1">
      <c r="G119" s="157"/>
    </row>
    <row r="120" ht="15.75" customHeight="1">
      <c r="G120" s="157"/>
    </row>
    <row r="121" ht="15.75" customHeight="1">
      <c r="G121" s="157"/>
    </row>
    <row r="122" ht="15.75" customHeight="1">
      <c r="G122" s="157"/>
    </row>
    <row r="123" ht="15.75" customHeight="1">
      <c r="G123" s="157"/>
    </row>
    <row r="124" ht="15.75" customHeight="1">
      <c r="G124" s="157"/>
    </row>
    <row r="125" ht="15.75" customHeight="1">
      <c r="G125" s="157"/>
    </row>
    <row r="126" ht="15.75" customHeight="1">
      <c r="G126" s="157"/>
    </row>
    <row r="127" ht="15.75" customHeight="1">
      <c r="G127" s="157"/>
    </row>
    <row r="128" ht="15.75" customHeight="1">
      <c r="G128" s="157"/>
    </row>
    <row r="129" ht="15.75" customHeight="1">
      <c r="G129" s="157"/>
    </row>
    <row r="130" ht="15.75" customHeight="1">
      <c r="G130" s="157"/>
    </row>
    <row r="131" ht="15.75" customHeight="1">
      <c r="G131" s="157"/>
    </row>
    <row r="132" ht="15.75" customHeight="1">
      <c r="G132" s="157"/>
    </row>
    <row r="133" ht="15.75" customHeight="1">
      <c r="G133" s="157"/>
    </row>
    <row r="134" ht="15.75" customHeight="1">
      <c r="G134" s="157"/>
    </row>
    <row r="135" ht="15.75" customHeight="1">
      <c r="G135" s="157"/>
    </row>
    <row r="136" ht="15.75" customHeight="1">
      <c r="G136" s="157"/>
    </row>
    <row r="137" ht="15.75" customHeight="1">
      <c r="G137" s="157"/>
    </row>
    <row r="138" ht="15.75" customHeight="1">
      <c r="G138" s="157"/>
    </row>
    <row r="139" ht="15.75" customHeight="1">
      <c r="G139" s="157"/>
    </row>
    <row r="140" ht="15.75" customHeight="1">
      <c r="G140" s="157"/>
    </row>
    <row r="141" ht="15.75" customHeight="1">
      <c r="G141" s="157"/>
    </row>
    <row r="142" ht="15.75" customHeight="1">
      <c r="G142" s="157"/>
    </row>
    <row r="143" ht="15.75" customHeight="1">
      <c r="G143" s="157"/>
    </row>
    <row r="144" ht="15.75" customHeight="1">
      <c r="G144" s="157"/>
    </row>
    <row r="145" ht="15.75" customHeight="1">
      <c r="G145" s="157"/>
    </row>
    <row r="146" ht="15.75" customHeight="1">
      <c r="G146" s="157"/>
    </row>
    <row r="147" ht="15.75" customHeight="1">
      <c r="G147" s="157"/>
    </row>
    <row r="148" ht="15.75" customHeight="1">
      <c r="G148" s="157"/>
    </row>
    <row r="149" ht="15.75" customHeight="1">
      <c r="G149" s="157"/>
    </row>
    <row r="150" ht="15.75" customHeight="1">
      <c r="G150" s="157"/>
    </row>
    <row r="151" ht="15.75" customHeight="1">
      <c r="G151" s="157"/>
    </row>
    <row r="152" ht="15.75" customHeight="1">
      <c r="G152" s="157"/>
    </row>
    <row r="153" ht="15.75" customHeight="1">
      <c r="G153" s="157"/>
    </row>
    <row r="154" ht="15.75" customHeight="1">
      <c r="G154" s="157"/>
    </row>
    <row r="155" ht="15.75" customHeight="1">
      <c r="G155" s="157"/>
    </row>
    <row r="156" ht="15.75" customHeight="1">
      <c r="G156" s="157"/>
    </row>
    <row r="157" ht="15.75" customHeight="1">
      <c r="G157" s="157"/>
    </row>
    <row r="158" ht="15.75" customHeight="1">
      <c r="G158" s="157"/>
    </row>
    <row r="159" ht="15.75" customHeight="1">
      <c r="G159" s="157"/>
    </row>
    <row r="160" ht="15.75" customHeight="1">
      <c r="G160" s="157"/>
    </row>
    <row r="161" ht="15.75" customHeight="1">
      <c r="G161" s="157"/>
    </row>
    <row r="162" ht="15.75" customHeight="1">
      <c r="G162" s="157"/>
    </row>
    <row r="163" ht="15.75" customHeight="1">
      <c r="G163" s="157"/>
    </row>
    <row r="164" ht="15.75" customHeight="1">
      <c r="G164" s="157"/>
    </row>
    <row r="165" ht="15.75" customHeight="1">
      <c r="G165" s="157"/>
    </row>
    <row r="166" ht="15.75" customHeight="1">
      <c r="G166" s="157"/>
    </row>
    <row r="167" ht="15.75" customHeight="1">
      <c r="G167" s="157"/>
    </row>
    <row r="168" ht="15.75" customHeight="1">
      <c r="G168" s="157"/>
    </row>
    <row r="169" ht="15.75" customHeight="1">
      <c r="G169" s="157"/>
    </row>
    <row r="170" ht="15.75" customHeight="1">
      <c r="G170" s="157"/>
    </row>
    <row r="171" ht="15.75" customHeight="1">
      <c r="G171" s="157"/>
    </row>
    <row r="172" ht="15.75" customHeight="1">
      <c r="G172" s="157"/>
    </row>
    <row r="173" ht="15.75" customHeight="1">
      <c r="G173" s="157"/>
    </row>
    <row r="174" ht="15.75" customHeight="1">
      <c r="G174" s="157"/>
    </row>
    <row r="175" ht="15.75" customHeight="1">
      <c r="G175" s="157"/>
    </row>
    <row r="176" ht="15.75" customHeight="1">
      <c r="G176" s="157"/>
    </row>
    <row r="177" ht="15.75" customHeight="1">
      <c r="G177" s="157"/>
    </row>
    <row r="178" ht="15.75" customHeight="1">
      <c r="G178" s="157"/>
    </row>
    <row r="179" ht="15.75" customHeight="1">
      <c r="G179" s="157"/>
    </row>
    <row r="180" ht="15.75" customHeight="1">
      <c r="G180" s="157"/>
    </row>
    <row r="181" ht="15.75" customHeight="1">
      <c r="G181" s="157"/>
    </row>
    <row r="182" ht="15.75" customHeight="1">
      <c r="G182" s="157"/>
    </row>
    <row r="183" ht="15.75" customHeight="1">
      <c r="G183" s="157"/>
    </row>
    <row r="184" ht="15.75" customHeight="1">
      <c r="G184" s="157"/>
    </row>
    <row r="185" ht="15.75" customHeight="1">
      <c r="G185" s="157"/>
    </row>
    <row r="186" ht="15.75" customHeight="1">
      <c r="G186" s="157"/>
    </row>
    <row r="187" ht="15.75" customHeight="1">
      <c r="G187" s="157"/>
    </row>
    <row r="188" ht="15.75" customHeight="1">
      <c r="G188" s="157"/>
    </row>
    <row r="189" ht="15.75" customHeight="1">
      <c r="G189" s="157"/>
    </row>
    <row r="190" ht="15.75" customHeight="1">
      <c r="G190" s="157"/>
    </row>
    <row r="191" ht="15.75" customHeight="1">
      <c r="G191" s="157"/>
    </row>
    <row r="192" ht="15.75" customHeight="1">
      <c r="G192" s="157"/>
    </row>
    <row r="193" ht="15.75" customHeight="1">
      <c r="G193" s="157"/>
    </row>
    <row r="194" ht="15.75" customHeight="1">
      <c r="G194" s="157"/>
    </row>
    <row r="195" ht="15.75" customHeight="1">
      <c r="G195" s="157"/>
    </row>
    <row r="196" ht="15.75" customHeight="1">
      <c r="G196" s="157"/>
    </row>
    <row r="197" ht="15.75" customHeight="1">
      <c r="G197" s="157"/>
    </row>
    <row r="198" ht="15.75" customHeight="1">
      <c r="G198" s="157"/>
    </row>
    <row r="199" ht="15.75" customHeight="1">
      <c r="G199" s="157"/>
    </row>
    <row r="200" ht="15.75" customHeight="1">
      <c r="G200" s="157"/>
    </row>
    <row r="201" ht="15.75" customHeight="1">
      <c r="G201" s="157"/>
    </row>
    <row r="202" ht="15.75" customHeight="1">
      <c r="G202" s="157"/>
    </row>
    <row r="203" ht="15.75" customHeight="1">
      <c r="G203" s="157"/>
    </row>
    <row r="204" ht="15.75" customHeight="1">
      <c r="G204" s="157"/>
    </row>
    <row r="205" ht="15.75" customHeight="1">
      <c r="G205" s="157"/>
    </row>
    <row r="206" ht="15.75" customHeight="1">
      <c r="G206" s="157"/>
    </row>
    <row r="207" ht="15.75" customHeight="1">
      <c r="G207" s="157"/>
    </row>
    <row r="208" ht="15.75" customHeight="1">
      <c r="G208" s="157"/>
    </row>
    <row r="209" ht="15.75" customHeight="1">
      <c r="G209" s="157"/>
    </row>
    <row r="210" ht="15.75" customHeight="1">
      <c r="G210" s="157"/>
    </row>
    <row r="211" ht="15.75" customHeight="1">
      <c r="G211" s="157"/>
    </row>
    <row r="212" ht="15.75" customHeight="1">
      <c r="G212" s="157"/>
    </row>
    <row r="213" ht="15.75" customHeight="1">
      <c r="G213" s="157"/>
    </row>
    <row r="214" ht="15.75" customHeight="1">
      <c r="G214" s="157"/>
    </row>
    <row r="215" ht="15.75" customHeight="1">
      <c r="G215" s="157"/>
    </row>
    <row r="216" ht="15.75" customHeight="1">
      <c r="G216" s="157"/>
    </row>
    <row r="217" ht="15.75" customHeight="1">
      <c r="G217" s="157"/>
    </row>
    <row r="218" ht="15.75" customHeight="1">
      <c r="G218" s="157"/>
    </row>
    <row r="219" ht="15.75" customHeight="1">
      <c r="G219" s="157"/>
    </row>
    <row r="220" ht="15.75" customHeight="1">
      <c r="G220" s="157"/>
    </row>
    <row r="221" ht="15.75" customHeight="1">
      <c r="G221" s="157"/>
    </row>
    <row r="222" ht="15.75" customHeight="1">
      <c r="G222" s="157"/>
    </row>
    <row r="223" ht="15.75" customHeight="1">
      <c r="G223" s="157"/>
    </row>
    <row r="224" ht="15.75" customHeight="1">
      <c r="G224" s="157"/>
    </row>
    <row r="225" ht="15.75" customHeight="1">
      <c r="G225" s="157"/>
    </row>
    <row r="226" ht="15.75" customHeight="1">
      <c r="G226" s="157"/>
    </row>
    <row r="227" ht="15.75" customHeight="1">
      <c r="G227" s="157"/>
    </row>
    <row r="228" ht="15.75" customHeight="1">
      <c r="G228" s="157"/>
    </row>
    <row r="229" ht="15.75" customHeight="1">
      <c r="G229" s="157"/>
    </row>
    <row r="230" ht="15.75" customHeight="1">
      <c r="G230" s="157"/>
    </row>
    <row r="231" ht="15.75" customHeight="1">
      <c r="G231" s="157"/>
    </row>
    <row r="232" ht="15.75" customHeight="1">
      <c r="G232" s="157"/>
    </row>
    <row r="233" ht="15.75" customHeight="1">
      <c r="G233" s="157"/>
    </row>
    <row r="234" ht="15.75" customHeight="1">
      <c r="G234" s="157"/>
    </row>
    <row r="235" ht="15.75" customHeight="1">
      <c r="G235" s="157"/>
    </row>
    <row r="236" ht="15.75" customHeight="1">
      <c r="G236" s="157"/>
    </row>
    <row r="237" ht="15.75" customHeight="1">
      <c r="G237" s="157"/>
    </row>
    <row r="238" ht="15.75" customHeight="1">
      <c r="G238" s="157"/>
    </row>
    <row r="239" ht="15.75" customHeight="1">
      <c r="G239" s="157"/>
    </row>
    <row r="240" ht="15.75" customHeight="1">
      <c r="G240" s="157"/>
    </row>
    <row r="241" ht="15.75" customHeight="1">
      <c r="G241" s="157"/>
    </row>
    <row r="242" ht="15.75" customHeight="1">
      <c r="G242" s="157"/>
    </row>
    <row r="243" ht="15.75" customHeight="1">
      <c r="G243" s="157"/>
    </row>
    <row r="244" ht="15.75" customHeight="1">
      <c r="G244" s="157"/>
    </row>
    <row r="245" ht="15.75" customHeight="1">
      <c r="G245" s="157"/>
    </row>
    <row r="246" ht="15.75" customHeight="1">
      <c r="G246" s="157"/>
    </row>
    <row r="247" ht="15.75" customHeight="1">
      <c r="G247" s="157"/>
    </row>
    <row r="248" ht="15.75" customHeight="1">
      <c r="G248" s="157"/>
    </row>
    <row r="249" ht="15.75" customHeight="1">
      <c r="G249" s="157"/>
    </row>
    <row r="250" ht="15.75" customHeight="1">
      <c r="G250" s="157"/>
    </row>
    <row r="251" ht="15.75" customHeight="1">
      <c r="G251" s="157"/>
    </row>
    <row r="252" ht="15.75" customHeight="1">
      <c r="G252" s="157"/>
    </row>
    <row r="253" ht="15.75" customHeight="1">
      <c r="G253" s="157"/>
    </row>
    <row r="254" ht="15.75" customHeight="1">
      <c r="G254" s="157"/>
    </row>
    <row r="255" ht="15.75" customHeight="1">
      <c r="G255" s="157"/>
    </row>
    <row r="256" ht="15.75" customHeight="1">
      <c r="G256" s="157"/>
    </row>
    <row r="257" ht="15.75" customHeight="1">
      <c r="G257" s="157"/>
    </row>
    <row r="258" ht="15.75" customHeight="1">
      <c r="G258" s="157"/>
    </row>
    <row r="259" ht="15.75" customHeight="1">
      <c r="G259" s="157"/>
    </row>
    <row r="260" ht="15.75" customHeight="1">
      <c r="G260" s="157"/>
    </row>
    <row r="261" ht="15.75" customHeight="1">
      <c r="G261" s="157"/>
    </row>
    <row r="262" ht="15.75" customHeight="1">
      <c r="G262" s="157"/>
    </row>
    <row r="263" ht="15.75" customHeight="1">
      <c r="G263" s="157"/>
    </row>
    <row r="264" ht="15.75" customHeight="1">
      <c r="G264" s="157"/>
    </row>
    <row r="265" ht="15.75" customHeight="1">
      <c r="G265" s="157"/>
    </row>
    <row r="266" ht="15.75" customHeight="1">
      <c r="G266" s="157"/>
    </row>
    <row r="267" ht="15.75" customHeight="1">
      <c r="G267" s="157"/>
    </row>
    <row r="268" ht="15.75" customHeight="1">
      <c r="G268" s="157"/>
    </row>
    <row r="269" ht="15.75" customHeight="1">
      <c r="G269" s="157"/>
    </row>
    <row r="270" ht="15.75" customHeight="1">
      <c r="G270" s="157"/>
    </row>
    <row r="271" ht="15.75" customHeight="1">
      <c r="G271" s="157"/>
    </row>
    <row r="272" ht="15.75" customHeight="1">
      <c r="G272" s="157"/>
    </row>
    <row r="273" ht="15.75" customHeight="1">
      <c r="G273" s="157"/>
    </row>
    <row r="274" ht="15.75" customHeight="1">
      <c r="G274" s="157"/>
    </row>
    <row r="275" ht="15.75" customHeight="1">
      <c r="G275" s="157"/>
    </row>
    <row r="276" ht="15.75" customHeight="1">
      <c r="G276" s="157"/>
    </row>
    <row r="277" ht="15.75" customHeight="1">
      <c r="G277" s="157"/>
    </row>
    <row r="278" ht="15.75" customHeight="1">
      <c r="G278" s="157"/>
    </row>
    <row r="279" ht="15.75" customHeight="1">
      <c r="G279" s="157"/>
    </row>
    <row r="280" ht="15.75" customHeight="1">
      <c r="G280" s="157"/>
    </row>
    <row r="281" ht="15.75" customHeight="1">
      <c r="G281" s="157"/>
    </row>
    <row r="282" ht="15.75" customHeight="1">
      <c r="G282" s="157"/>
    </row>
    <row r="283" ht="15.75" customHeight="1">
      <c r="G283" s="157"/>
    </row>
    <row r="284" ht="15.75" customHeight="1">
      <c r="G284" s="157"/>
    </row>
    <row r="285" ht="15.75" customHeight="1">
      <c r="G285" s="157"/>
    </row>
    <row r="286" ht="15.75" customHeight="1">
      <c r="G286" s="157"/>
    </row>
    <row r="287" ht="15.75" customHeight="1">
      <c r="G287" s="157"/>
    </row>
    <row r="288" ht="15.75" customHeight="1">
      <c r="G288" s="157"/>
    </row>
    <row r="289" ht="15.75" customHeight="1">
      <c r="G289" s="157"/>
    </row>
    <row r="290" ht="15.75" customHeight="1">
      <c r="G290" s="157"/>
    </row>
    <row r="291" ht="15.75" customHeight="1">
      <c r="G291" s="157"/>
    </row>
    <row r="292" ht="15.75" customHeight="1">
      <c r="G292" s="157"/>
    </row>
    <row r="293" ht="15.75" customHeight="1">
      <c r="G293" s="157"/>
    </row>
    <row r="294" ht="15.75" customHeight="1">
      <c r="G294" s="157"/>
    </row>
    <row r="295" ht="15.75" customHeight="1">
      <c r="G295" s="157"/>
    </row>
    <row r="296" ht="15.75" customHeight="1">
      <c r="G296" s="157"/>
    </row>
    <row r="297" ht="15.75" customHeight="1">
      <c r="G297" s="157"/>
    </row>
    <row r="298" ht="15.75" customHeight="1">
      <c r="G298" s="157"/>
    </row>
    <row r="299" ht="15.75" customHeight="1">
      <c r="G299" s="157"/>
    </row>
    <row r="300" ht="15.75" customHeight="1">
      <c r="G300" s="157"/>
    </row>
    <row r="301" ht="15.75" customHeight="1">
      <c r="G301" s="157"/>
    </row>
    <row r="302" ht="15.75" customHeight="1">
      <c r="G302" s="157"/>
    </row>
    <row r="303" ht="15.75" customHeight="1">
      <c r="G303" s="157"/>
    </row>
    <row r="304" ht="15.75" customHeight="1">
      <c r="G304" s="157"/>
    </row>
    <row r="305" ht="15.75" customHeight="1">
      <c r="G305" s="157"/>
    </row>
    <row r="306" ht="15.75" customHeight="1">
      <c r="G306" s="157"/>
    </row>
    <row r="307" ht="15.75" customHeight="1">
      <c r="G307" s="157"/>
    </row>
    <row r="308" ht="15.75" customHeight="1">
      <c r="G308" s="157"/>
    </row>
    <row r="309" ht="15.75" customHeight="1">
      <c r="G309" s="157"/>
    </row>
    <row r="310" ht="15.75" customHeight="1">
      <c r="G310" s="157"/>
    </row>
    <row r="311" ht="15.75" customHeight="1">
      <c r="G311" s="157"/>
    </row>
    <row r="312" ht="15.75" customHeight="1">
      <c r="G312" s="157"/>
    </row>
    <row r="313" ht="15.75" customHeight="1">
      <c r="G313" s="157"/>
    </row>
    <row r="314" ht="15.75" customHeight="1">
      <c r="G314" s="157"/>
    </row>
    <row r="315" ht="15.75" customHeight="1">
      <c r="G315" s="157"/>
    </row>
    <row r="316" ht="15.75" customHeight="1">
      <c r="G316" s="157"/>
    </row>
    <row r="317" ht="15.75" customHeight="1">
      <c r="G317" s="157"/>
    </row>
    <row r="318" ht="15.75" customHeight="1">
      <c r="G318" s="157"/>
    </row>
    <row r="319" ht="15.75" customHeight="1">
      <c r="G319" s="157"/>
    </row>
    <row r="320" ht="15.75" customHeight="1">
      <c r="G320" s="157"/>
    </row>
    <row r="321" ht="15.75" customHeight="1">
      <c r="G321" s="157"/>
    </row>
    <row r="322" ht="15.75" customHeight="1">
      <c r="G322" s="157"/>
    </row>
    <row r="323" ht="15.75" customHeight="1">
      <c r="G323" s="157"/>
    </row>
    <row r="324" ht="15.75" customHeight="1">
      <c r="G324" s="157"/>
    </row>
    <row r="325" ht="15.75" customHeight="1">
      <c r="G325" s="157"/>
    </row>
    <row r="326" ht="15.75" customHeight="1">
      <c r="G326" s="157"/>
    </row>
    <row r="327" ht="15.75" customHeight="1">
      <c r="G327" s="157"/>
    </row>
    <row r="328" ht="15.75" customHeight="1">
      <c r="G328" s="157"/>
    </row>
    <row r="329" ht="15.75" customHeight="1">
      <c r="G329" s="157"/>
    </row>
    <row r="330" ht="15.75" customHeight="1">
      <c r="G330" s="157"/>
    </row>
    <row r="331" ht="15.75" customHeight="1">
      <c r="G331" s="157"/>
    </row>
    <row r="332" ht="15.75" customHeight="1">
      <c r="G332" s="157"/>
    </row>
    <row r="333" ht="15.75" customHeight="1">
      <c r="G333" s="157"/>
    </row>
    <row r="334" ht="15.75" customHeight="1">
      <c r="G334" s="157"/>
    </row>
    <row r="335" ht="15.75" customHeight="1">
      <c r="G335" s="157"/>
    </row>
    <row r="336" ht="15.75" customHeight="1">
      <c r="G336" s="157"/>
    </row>
    <row r="337" ht="15.75" customHeight="1">
      <c r="G337" s="157"/>
    </row>
    <row r="338" ht="15.75" customHeight="1">
      <c r="G338" s="157"/>
    </row>
    <row r="339" ht="15.75" customHeight="1">
      <c r="G339" s="157"/>
    </row>
    <row r="340" ht="15.75" customHeight="1">
      <c r="G340" s="157"/>
    </row>
    <row r="341" ht="15.75" customHeight="1">
      <c r="G341" s="157"/>
    </row>
    <row r="342" ht="15.75" customHeight="1">
      <c r="G342" s="157"/>
    </row>
    <row r="343" ht="15.75" customHeight="1">
      <c r="G343" s="157"/>
    </row>
    <row r="344" ht="15.75" customHeight="1">
      <c r="G344" s="157"/>
    </row>
    <row r="345" ht="15.75" customHeight="1">
      <c r="G345" s="157"/>
    </row>
    <row r="346" ht="15.75" customHeight="1">
      <c r="G346" s="157"/>
    </row>
    <row r="347" ht="15.75" customHeight="1">
      <c r="G347" s="157"/>
    </row>
    <row r="348" ht="15.75" customHeight="1">
      <c r="G348" s="157"/>
    </row>
    <row r="349" ht="15.75" customHeight="1">
      <c r="G349" s="157"/>
    </row>
    <row r="350" ht="15.75" customHeight="1">
      <c r="G350" s="157"/>
    </row>
    <row r="351" ht="15.75" customHeight="1">
      <c r="G351" s="157"/>
    </row>
    <row r="352" ht="15.75" customHeight="1">
      <c r="G352" s="157"/>
    </row>
    <row r="353" ht="15.75" customHeight="1">
      <c r="G353" s="157"/>
    </row>
    <row r="354" ht="15.75" customHeight="1">
      <c r="G354" s="157"/>
    </row>
    <row r="355" ht="15.75" customHeight="1">
      <c r="G355" s="157"/>
    </row>
    <row r="356" ht="15.75" customHeight="1">
      <c r="G356" s="157"/>
    </row>
    <row r="357" ht="15.75" customHeight="1">
      <c r="G357" s="157"/>
    </row>
    <row r="358" ht="15.75" customHeight="1">
      <c r="G358" s="157"/>
    </row>
    <row r="359" ht="15.75" customHeight="1">
      <c r="G359" s="157"/>
    </row>
    <row r="360" ht="15.75" customHeight="1">
      <c r="G360" s="157"/>
    </row>
    <row r="361" ht="15.75" customHeight="1">
      <c r="G361" s="157"/>
    </row>
    <row r="362" ht="15.75" customHeight="1">
      <c r="G362" s="157"/>
    </row>
    <row r="363" ht="15.75" customHeight="1">
      <c r="G363" s="157"/>
    </row>
    <row r="364" ht="15.75" customHeight="1">
      <c r="G364" s="157"/>
    </row>
    <row r="365" ht="15.75" customHeight="1">
      <c r="G365" s="157"/>
    </row>
    <row r="366" ht="15.75" customHeight="1">
      <c r="G366" s="157"/>
    </row>
    <row r="367" ht="15.75" customHeight="1">
      <c r="G367" s="157"/>
    </row>
    <row r="368" ht="15.75" customHeight="1">
      <c r="G368" s="157"/>
    </row>
    <row r="369" ht="15.75" customHeight="1">
      <c r="G369" s="157"/>
    </row>
    <row r="370" ht="15.75" customHeight="1">
      <c r="G370" s="157"/>
    </row>
    <row r="371" ht="15.75" customHeight="1">
      <c r="G371" s="157"/>
    </row>
    <row r="372" ht="15.75" customHeight="1">
      <c r="G372" s="157"/>
    </row>
    <row r="373" ht="15.75" customHeight="1">
      <c r="G373" s="157"/>
    </row>
    <row r="374" ht="15.75" customHeight="1">
      <c r="G374" s="157"/>
    </row>
    <row r="375" ht="15.75" customHeight="1">
      <c r="G375" s="157"/>
    </row>
    <row r="376" ht="15.75" customHeight="1">
      <c r="G376" s="157"/>
    </row>
    <row r="377" ht="15.75" customHeight="1">
      <c r="G377" s="157"/>
    </row>
    <row r="378" ht="15.75" customHeight="1">
      <c r="G378" s="157"/>
    </row>
    <row r="379" ht="15.75" customHeight="1">
      <c r="G379" s="157"/>
    </row>
    <row r="380" ht="15.75" customHeight="1">
      <c r="G380" s="157"/>
    </row>
    <row r="381" ht="15.75" customHeight="1">
      <c r="G381" s="157"/>
    </row>
    <row r="382" ht="15.75" customHeight="1">
      <c r="G382" s="157"/>
    </row>
    <row r="383" ht="15.75" customHeight="1">
      <c r="G383" s="157"/>
    </row>
    <row r="384" ht="15.75" customHeight="1">
      <c r="G384" s="157"/>
    </row>
    <row r="385" ht="15.75" customHeight="1">
      <c r="G385" s="157"/>
    </row>
    <row r="386" ht="15.75" customHeight="1">
      <c r="G386" s="157"/>
    </row>
    <row r="387" ht="15.75" customHeight="1">
      <c r="G387" s="157"/>
    </row>
    <row r="388" ht="15.75" customHeight="1">
      <c r="G388" s="157"/>
    </row>
    <row r="389" ht="15.75" customHeight="1">
      <c r="G389" s="157"/>
    </row>
    <row r="390" ht="15.75" customHeight="1">
      <c r="G390" s="157"/>
    </row>
    <row r="391" ht="15.75" customHeight="1">
      <c r="G391" s="157"/>
    </row>
    <row r="392" ht="15.75" customHeight="1">
      <c r="G392" s="157"/>
    </row>
    <row r="393" ht="15.75" customHeight="1">
      <c r="G393" s="157"/>
    </row>
    <row r="394" ht="15.75" customHeight="1">
      <c r="G394" s="157"/>
    </row>
    <row r="395" ht="15.75" customHeight="1">
      <c r="G395" s="157"/>
    </row>
    <row r="396" ht="15.75" customHeight="1">
      <c r="G396" s="157"/>
    </row>
    <row r="397" ht="15.75" customHeight="1">
      <c r="G397" s="157"/>
    </row>
    <row r="398" ht="15.75" customHeight="1">
      <c r="G398" s="157"/>
    </row>
    <row r="399" ht="15.75" customHeight="1">
      <c r="G399" s="157"/>
    </row>
    <row r="400" ht="15.75" customHeight="1">
      <c r="G400" s="157"/>
    </row>
    <row r="401" ht="15.75" customHeight="1">
      <c r="G401" s="157"/>
    </row>
    <row r="402" ht="15.75" customHeight="1">
      <c r="G402" s="157"/>
    </row>
    <row r="403" ht="15.75" customHeight="1">
      <c r="G403" s="157"/>
    </row>
    <row r="404" ht="15.75" customHeight="1">
      <c r="G404" s="157"/>
    </row>
    <row r="405" ht="15.75" customHeight="1">
      <c r="G405" s="157"/>
    </row>
    <row r="406" ht="15.75" customHeight="1">
      <c r="G406" s="157"/>
    </row>
    <row r="407" ht="15.75" customHeight="1">
      <c r="G407" s="157"/>
    </row>
    <row r="408" ht="15.75" customHeight="1">
      <c r="G408" s="157"/>
    </row>
    <row r="409" ht="15.75" customHeight="1">
      <c r="G409" s="157"/>
    </row>
    <row r="410" ht="15.75" customHeight="1">
      <c r="G410" s="157"/>
    </row>
    <row r="411" ht="15.75" customHeight="1">
      <c r="G411" s="157"/>
    </row>
    <row r="412" ht="15.75" customHeight="1">
      <c r="G412" s="157"/>
    </row>
    <row r="413" ht="15.75" customHeight="1">
      <c r="G413" s="157"/>
    </row>
    <row r="414" ht="15.75" customHeight="1">
      <c r="G414" s="157"/>
    </row>
    <row r="415" ht="15.75" customHeight="1">
      <c r="G415" s="157"/>
    </row>
    <row r="416" ht="15.75" customHeight="1">
      <c r="G416" s="157"/>
    </row>
    <row r="417" ht="15.75" customHeight="1">
      <c r="G417" s="157"/>
    </row>
    <row r="418" ht="15.75" customHeight="1">
      <c r="G418" s="157"/>
    </row>
    <row r="419" ht="15.75" customHeight="1">
      <c r="G419" s="157"/>
    </row>
    <row r="420" ht="15.75" customHeight="1">
      <c r="G420" s="157"/>
    </row>
    <row r="421" ht="15.75" customHeight="1">
      <c r="G421" s="157"/>
    </row>
    <row r="422" ht="15.75" customHeight="1">
      <c r="G422" s="157"/>
    </row>
    <row r="423" ht="15.75" customHeight="1">
      <c r="G423" s="157"/>
    </row>
    <row r="424" ht="15.75" customHeight="1">
      <c r="G424" s="157"/>
    </row>
    <row r="425" ht="15.75" customHeight="1">
      <c r="G425" s="157"/>
    </row>
    <row r="426" ht="15.75" customHeight="1">
      <c r="G426" s="157"/>
    </row>
    <row r="427" ht="15.75" customHeight="1">
      <c r="G427" s="157"/>
    </row>
    <row r="428" ht="15.75" customHeight="1">
      <c r="G428" s="157"/>
    </row>
    <row r="429" ht="15.75" customHeight="1">
      <c r="G429" s="157"/>
    </row>
    <row r="430" ht="15.75" customHeight="1">
      <c r="G430" s="157"/>
    </row>
    <row r="431" ht="15.75" customHeight="1">
      <c r="G431" s="157"/>
    </row>
    <row r="432" ht="15.75" customHeight="1">
      <c r="G432" s="157"/>
    </row>
    <row r="433" ht="15.75" customHeight="1">
      <c r="G433" s="157"/>
    </row>
    <row r="434" ht="15.75" customHeight="1">
      <c r="G434" s="157"/>
    </row>
    <row r="435" ht="15.75" customHeight="1">
      <c r="G435" s="157"/>
    </row>
    <row r="436" ht="15.75" customHeight="1">
      <c r="G436" s="157"/>
    </row>
    <row r="437" ht="15.75" customHeight="1">
      <c r="G437" s="157"/>
    </row>
    <row r="438" ht="15.75" customHeight="1">
      <c r="G438" s="157"/>
    </row>
    <row r="439" ht="15.75" customHeight="1">
      <c r="G439" s="157"/>
    </row>
    <row r="440" ht="15.75" customHeight="1">
      <c r="G440" s="157"/>
    </row>
    <row r="441" ht="15.75" customHeight="1">
      <c r="G441" s="157"/>
    </row>
    <row r="442" ht="15.75" customHeight="1">
      <c r="G442" s="157"/>
    </row>
    <row r="443" ht="15.75" customHeight="1">
      <c r="G443" s="157"/>
    </row>
    <row r="444" ht="15.75" customHeight="1">
      <c r="G444" s="157"/>
    </row>
    <row r="445" ht="15.75" customHeight="1">
      <c r="G445" s="157"/>
    </row>
    <row r="446" ht="15.75" customHeight="1">
      <c r="G446" s="157"/>
    </row>
    <row r="447" ht="15.75" customHeight="1">
      <c r="G447" s="157"/>
    </row>
    <row r="448" ht="15.75" customHeight="1">
      <c r="G448" s="157"/>
    </row>
    <row r="449" ht="15.75" customHeight="1">
      <c r="G449" s="157"/>
    </row>
    <row r="450" ht="15.75" customHeight="1">
      <c r="G450" s="157"/>
    </row>
    <row r="451" ht="15.75" customHeight="1">
      <c r="G451" s="157"/>
    </row>
    <row r="452" ht="15.75" customHeight="1">
      <c r="G452" s="157"/>
    </row>
    <row r="453" ht="15.75" customHeight="1">
      <c r="G453" s="157"/>
    </row>
    <row r="454" ht="15.75" customHeight="1">
      <c r="G454" s="157"/>
    </row>
    <row r="455" ht="15.75" customHeight="1">
      <c r="G455" s="157"/>
    </row>
    <row r="456" ht="15.75" customHeight="1">
      <c r="G456" s="157"/>
    </row>
    <row r="457" ht="15.75" customHeight="1">
      <c r="G457" s="157"/>
    </row>
    <row r="458" ht="15.75" customHeight="1">
      <c r="G458" s="157"/>
    </row>
    <row r="459" ht="15.75" customHeight="1">
      <c r="G459" s="157"/>
    </row>
    <row r="460" ht="15.75" customHeight="1">
      <c r="G460" s="157"/>
    </row>
    <row r="461" ht="15.75" customHeight="1">
      <c r="G461" s="157"/>
    </row>
    <row r="462" ht="15.75" customHeight="1">
      <c r="G462" s="157"/>
    </row>
    <row r="463" ht="15.75" customHeight="1">
      <c r="G463" s="157"/>
    </row>
    <row r="464" ht="15.75" customHeight="1">
      <c r="G464" s="157"/>
    </row>
    <row r="465" ht="15.75" customHeight="1">
      <c r="G465" s="157"/>
    </row>
    <row r="466" ht="15.75" customHeight="1">
      <c r="G466" s="157"/>
    </row>
    <row r="467" ht="15.75" customHeight="1">
      <c r="G467" s="157"/>
    </row>
    <row r="468" ht="15.75" customHeight="1">
      <c r="G468" s="157"/>
    </row>
    <row r="469" ht="15.75" customHeight="1">
      <c r="G469" s="157"/>
    </row>
    <row r="470" ht="15.75" customHeight="1">
      <c r="G470" s="157"/>
    </row>
    <row r="471" ht="15.75" customHeight="1">
      <c r="G471" s="157"/>
    </row>
    <row r="472" ht="15.75" customHeight="1">
      <c r="G472" s="157"/>
    </row>
    <row r="473" ht="15.75" customHeight="1">
      <c r="G473" s="157"/>
    </row>
    <row r="474" ht="15.75" customHeight="1">
      <c r="G474" s="157"/>
    </row>
    <row r="475" ht="15.75" customHeight="1">
      <c r="G475" s="157"/>
    </row>
    <row r="476" ht="15.75" customHeight="1">
      <c r="G476" s="157"/>
    </row>
    <row r="477" ht="15.75" customHeight="1">
      <c r="G477" s="157"/>
    </row>
    <row r="478" ht="15.75" customHeight="1">
      <c r="G478" s="157"/>
    </row>
    <row r="479" ht="15.75" customHeight="1">
      <c r="G479" s="157"/>
    </row>
    <row r="480" ht="15.75" customHeight="1">
      <c r="G480" s="157"/>
    </row>
    <row r="481" ht="15.75" customHeight="1">
      <c r="G481" s="157"/>
    </row>
    <row r="482" ht="15.75" customHeight="1">
      <c r="G482" s="157"/>
    </row>
    <row r="483" ht="15.75" customHeight="1">
      <c r="G483" s="157"/>
    </row>
    <row r="484" ht="15.75" customHeight="1">
      <c r="G484" s="157"/>
    </row>
    <row r="485" ht="15.75" customHeight="1">
      <c r="G485" s="157"/>
    </row>
    <row r="486" ht="15.75" customHeight="1">
      <c r="G486" s="157"/>
    </row>
    <row r="487" ht="15.75" customHeight="1">
      <c r="G487" s="157"/>
    </row>
    <row r="488" ht="15.75" customHeight="1">
      <c r="G488" s="157"/>
    </row>
    <row r="489" ht="15.75" customHeight="1">
      <c r="G489" s="157"/>
    </row>
    <row r="490" ht="15.75" customHeight="1">
      <c r="G490" s="157"/>
    </row>
    <row r="491" ht="15.75" customHeight="1">
      <c r="G491" s="157"/>
    </row>
    <row r="492" ht="15.75" customHeight="1">
      <c r="G492" s="157"/>
    </row>
    <row r="493" ht="15.75" customHeight="1">
      <c r="G493" s="157"/>
    </row>
    <row r="494" ht="15.75" customHeight="1">
      <c r="G494" s="157"/>
    </row>
    <row r="495" ht="15.75" customHeight="1">
      <c r="G495" s="157"/>
    </row>
    <row r="496" ht="15.75" customHeight="1">
      <c r="G496" s="157"/>
    </row>
    <row r="497" ht="15.75" customHeight="1">
      <c r="G497" s="157"/>
    </row>
    <row r="498" ht="15.75" customHeight="1">
      <c r="G498" s="157"/>
    </row>
    <row r="499" ht="15.75" customHeight="1">
      <c r="G499" s="157"/>
    </row>
    <row r="500" ht="15.75" customHeight="1">
      <c r="G500" s="157"/>
    </row>
    <row r="501" ht="15.75" customHeight="1">
      <c r="G501" s="157"/>
    </row>
    <row r="502" ht="15.75" customHeight="1">
      <c r="G502" s="157"/>
    </row>
    <row r="503" ht="15.75" customHeight="1">
      <c r="G503" s="157"/>
    </row>
    <row r="504" ht="15.75" customHeight="1">
      <c r="G504" s="157"/>
    </row>
    <row r="505" ht="15.75" customHeight="1">
      <c r="G505" s="157"/>
    </row>
    <row r="506" ht="15.75" customHeight="1">
      <c r="G506" s="157"/>
    </row>
    <row r="507" ht="15.75" customHeight="1">
      <c r="G507" s="157"/>
    </row>
    <row r="508" ht="15.75" customHeight="1">
      <c r="G508" s="157"/>
    </row>
    <row r="509" ht="15.75" customHeight="1">
      <c r="G509" s="157"/>
    </row>
    <row r="510" ht="15.75" customHeight="1">
      <c r="G510" s="157"/>
    </row>
    <row r="511" ht="15.75" customHeight="1">
      <c r="G511" s="157"/>
    </row>
    <row r="512" ht="15.75" customHeight="1">
      <c r="G512" s="157"/>
    </row>
    <row r="513" ht="15.75" customHeight="1">
      <c r="G513" s="157"/>
    </row>
    <row r="514" ht="15.75" customHeight="1">
      <c r="G514" s="157"/>
    </row>
    <row r="515" ht="15.75" customHeight="1">
      <c r="G515" s="157"/>
    </row>
    <row r="516" ht="15.75" customHeight="1">
      <c r="G516" s="157"/>
    </row>
    <row r="517" ht="15.75" customHeight="1">
      <c r="G517" s="157"/>
    </row>
    <row r="518" ht="15.75" customHeight="1">
      <c r="G518" s="157"/>
    </row>
    <row r="519" ht="15.75" customHeight="1">
      <c r="G519" s="157"/>
    </row>
    <row r="520" ht="15.75" customHeight="1">
      <c r="G520" s="157"/>
    </row>
    <row r="521" ht="15.75" customHeight="1">
      <c r="G521" s="157"/>
    </row>
    <row r="522" ht="15.75" customHeight="1">
      <c r="G522" s="157"/>
    </row>
    <row r="523" ht="15.75" customHeight="1">
      <c r="G523" s="157"/>
    </row>
    <row r="524" ht="15.75" customHeight="1">
      <c r="G524" s="157"/>
    </row>
    <row r="525" ht="15.75" customHeight="1">
      <c r="G525" s="157"/>
    </row>
    <row r="526" ht="15.75" customHeight="1">
      <c r="G526" s="157"/>
    </row>
    <row r="527" ht="15.75" customHeight="1">
      <c r="G527" s="157"/>
    </row>
    <row r="528" ht="15.75" customHeight="1">
      <c r="G528" s="157"/>
    </row>
    <row r="529" ht="15.75" customHeight="1">
      <c r="G529" s="157"/>
    </row>
    <row r="530" ht="15.75" customHeight="1">
      <c r="G530" s="157"/>
    </row>
    <row r="531" ht="15.75" customHeight="1">
      <c r="G531" s="157"/>
    </row>
    <row r="532" ht="15.75" customHeight="1">
      <c r="G532" s="157"/>
    </row>
    <row r="533" ht="15.75" customHeight="1">
      <c r="G533" s="157"/>
    </row>
    <row r="534" ht="15.75" customHeight="1">
      <c r="G534" s="157"/>
    </row>
    <row r="535" ht="15.75" customHeight="1">
      <c r="G535" s="157"/>
    </row>
    <row r="536" ht="15.75" customHeight="1">
      <c r="G536" s="157"/>
    </row>
    <row r="537" ht="15.75" customHeight="1">
      <c r="G537" s="157"/>
    </row>
    <row r="538" ht="15.75" customHeight="1">
      <c r="G538" s="157"/>
    </row>
    <row r="539" ht="15.75" customHeight="1">
      <c r="G539" s="157"/>
    </row>
    <row r="540" ht="15.75" customHeight="1">
      <c r="G540" s="157"/>
    </row>
    <row r="541" ht="15.75" customHeight="1">
      <c r="G541" s="157"/>
    </row>
    <row r="542" ht="15.75" customHeight="1">
      <c r="G542" s="157"/>
    </row>
    <row r="543" ht="15.75" customHeight="1">
      <c r="G543" s="157"/>
    </row>
    <row r="544" ht="15.75" customHeight="1">
      <c r="G544" s="157"/>
    </row>
    <row r="545" ht="15.75" customHeight="1">
      <c r="G545" s="157"/>
    </row>
    <row r="546" ht="15.75" customHeight="1">
      <c r="G546" s="157"/>
    </row>
    <row r="547" ht="15.75" customHeight="1">
      <c r="G547" s="157"/>
    </row>
    <row r="548" ht="15.75" customHeight="1">
      <c r="G548" s="157"/>
    </row>
    <row r="549" ht="15.75" customHeight="1">
      <c r="G549" s="157"/>
    </row>
    <row r="550" ht="15.75" customHeight="1">
      <c r="G550" s="157"/>
    </row>
    <row r="551" ht="15.75" customHeight="1">
      <c r="G551" s="157"/>
    </row>
    <row r="552" ht="15.75" customHeight="1">
      <c r="G552" s="157"/>
    </row>
    <row r="553" ht="15.75" customHeight="1">
      <c r="G553" s="157"/>
    </row>
    <row r="554" ht="15.75" customHeight="1">
      <c r="G554" s="157"/>
    </row>
    <row r="555" ht="15.75" customHeight="1">
      <c r="G555" s="157"/>
    </row>
    <row r="556" ht="15.75" customHeight="1">
      <c r="G556" s="157"/>
    </row>
    <row r="557" ht="15.75" customHeight="1">
      <c r="G557" s="157"/>
    </row>
    <row r="558" ht="15.75" customHeight="1">
      <c r="G558" s="157"/>
    </row>
    <row r="559" ht="15.75" customHeight="1">
      <c r="G559" s="157"/>
    </row>
    <row r="560" ht="15.75" customHeight="1">
      <c r="G560" s="157"/>
    </row>
    <row r="561" ht="15.75" customHeight="1">
      <c r="G561" s="157"/>
    </row>
    <row r="562" ht="15.75" customHeight="1">
      <c r="G562" s="157"/>
    </row>
    <row r="563" ht="15.75" customHeight="1">
      <c r="G563" s="157"/>
    </row>
    <row r="564" ht="15.75" customHeight="1">
      <c r="G564" s="157"/>
    </row>
    <row r="565" ht="15.75" customHeight="1">
      <c r="G565" s="157"/>
    </row>
    <row r="566" ht="15.75" customHeight="1">
      <c r="G566" s="157"/>
    </row>
    <row r="567" ht="15.75" customHeight="1">
      <c r="G567" s="157"/>
    </row>
    <row r="568" ht="15.75" customHeight="1">
      <c r="G568" s="157"/>
    </row>
    <row r="569" ht="15.75" customHeight="1">
      <c r="G569" s="157"/>
    </row>
    <row r="570" ht="15.75" customHeight="1">
      <c r="G570" s="157"/>
    </row>
    <row r="571" ht="15.75" customHeight="1">
      <c r="G571" s="157"/>
    </row>
    <row r="572" ht="15.75" customHeight="1">
      <c r="G572" s="157"/>
    </row>
    <row r="573" ht="15.75" customHeight="1">
      <c r="G573" s="157"/>
    </row>
    <row r="574" ht="15.75" customHeight="1">
      <c r="G574" s="157"/>
    </row>
    <row r="575" ht="15.75" customHeight="1">
      <c r="G575" s="157"/>
    </row>
    <row r="576" ht="15.75" customHeight="1">
      <c r="G576" s="157"/>
    </row>
    <row r="577" ht="15.75" customHeight="1">
      <c r="G577" s="157"/>
    </row>
    <row r="578" ht="15.75" customHeight="1">
      <c r="G578" s="157"/>
    </row>
    <row r="579" ht="15.75" customHeight="1">
      <c r="G579" s="157"/>
    </row>
    <row r="580" ht="15.75" customHeight="1">
      <c r="G580" s="157"/>
    </row>
    <row r="581" ht="15.75" customHeight="1">
      <c r="G581" s="157"/>
    </row>
    <row r="582" ht="15.75" customHeight="1">
      <c r="G582" s="157"/>
    </row>
    <row r="583" ht="15.75" customHeight="1">
      <c r="G583" s="157"/>
    </row>
    <row r="584" ht="15.75" customHeight="1">
      <c r="G584" s="157"/>
    </row>
    <row r="585" ht="15.75" customHeight="1">
      <c r="G585" s="157"/>
    </row>
    <row r="586" ht="15.75" customHeight="1">
      <c r="G586" s="157"/>
    </row>
    <row r="587" ht="15.75" customHeight="1">
      <c r="G587" s="157"/>
    </row>
    <row r="588" ht="15.75" customHeight="1">
      <c r="G588" s="157"/>
    </row>
    <row r="589" ht="15.75" customHeight="1">
      <c r="G589" s="157"/>
    </row>
    <row r="590" ht="15.75" customHeight="1">
      <c r="G590" s="157"/>
    </row>
    <row r="591" ht="15.75" customHeight="1">
      <c r="G591" s="157"/>
    </row>
    <row r="592" ht="15.75" customHeight="1">
      <c r="G592" s="157"/>
    </row>
    <row r="593" ht="15.75" customHeight="1">
      <c r="G593" s="157"/>
    </row>
    <row r="594" ht="15.75" customHeight="1">
      <c r="G594" s="157"/>
    </row>
    <row r="595" ht="15.75" customHeight="1">
      <c r="G595" s="157"/>
    </row>
    <row r="596" ht="15.75" customHeight="1">
      <c r="G596" s="157"/>
    </row>
    <row r="597" ht="15.75" customHeight="1">
      <c r="G597" s="157"/>
    </row>
    <row r="598" ht="15.75" customHeight="1">
      <c r="G598" s="157"/>
    </row>
    <row r="599" ht="15.75" customHeight="1">
      <c r="G599" s="157"/>
    </row>
    <row r="600" ht="15.75" customHeight="1">
      <c r="G600" s="157"/>
    </row>
    <row r="601" ht="15.75" customHeight="1">
      <c r="G601" s="157"/>
    </row>
    <row r="602" ht="15.75" customHeight="1">
      <c r="G602" s="157"/>
    </row>
    <row r="603" ht="15.75" customHeight="1">
      <c r="G603" s="157"/>
    </row>
    <row r="604" ht="15.75" customHeight="1">
      <c r="G604" s="157"/>
    </row>
    <row r="605" ht="15.75" customHeight="1">
      <c r="G605" s="157"/>
    </row>
    <row r="606" ht="15.75" customHeight="1">
      <c r="G606" s="157"/>
    </row>
    <row r="607" ht="15.75" customHeight="1">
      <c r="G607" s="157"/>
    </row>
    <row r="608" ht="15.75" customHeight="1">
      <c r="G608" s="157"/>
    </row>
    <row r="609" ht="15.75" customHeight="1">
      <c r="G609" s="157"/>
    </row>
    <row r="610" ht="15.75" customHeight="1">
      <c r="G610" s="157"/>
    </row>
    <row r="611" ht="15.75" customHeight="1">
      <c r="G611" s="157"/>
    </row>
    <row r="612" ht="15.75" customHeight="1">
      <c r="G612" s="157"/>
    </row>
    <row r="613" ht="15.75" customHeight="1">
      <c r="G613" s="157"/>
    </row>
    <row r="614" ht="15.75" customHeight="1">
      <c r="G614" s="157"/>
    </row>
    <row r="615" ht="15.75" customHeight="1">
      <c r="G615" s="157"/>
    </row>
    <row r="616" ht="15.75" customHeight="1">
      <c r="G616" s="157"/>
    </row>
    <row r="617" ht="15.75" customHeight="1">
      <c r="G617" s="157"/>
    </row>
    <row r="618" ht="15.75" customHeight="1">
      <c r="G618" s="157"/>
    </row>
    <row r="619" ht="15.75" customHeight="1">
      <c r="G619" s="157"/>
    </row>
    <row r="620" ht="15.75" customHeight="1">
      <c r="G620" s="157"/>
    </row>
    <row r="621" ht="15.75" customHeight="1">
      <c r="G621" s="157"/>
    </row>
    <row r="622" ht="15.75" customHeight="1">
      <c r="G622" s="157"/>
    </row>
    <row r="623" ht="15.75" customHeight="1">
      <c r="G623" s="157"/>
    </row>
    <row r="624" ht="15.75" customHeight="1">
      <c r="G624" s="157"/>
    </row>
    <row r="625" ht="15.75" customHeight="1">
      <c r="G625" s="157"/>
    </row>
    <row r="626" ht="15.75" customHeight="1">
      <c r="G626" s="157"/>
    </row>
    <row r="627" ht="15.75" customHeight="1">
      <c r="G627" s="157"/>
    </row>
    <row r="628" ht="15.75" customHeight="1">
      <c r="G628" s="157"/>
    </row>
    <row r="629" ht="15.75" customHeight="1">
      <c r="G629" s="157"/>
    </row>
    <row r="630" ht="15.75" customHeight="1">
      <c r="G630" s="157"/>
    </row>
    <row r="631" ht="15.75" customHeight="1">
      <c r="G631" s="157"/>
    </row>
    <row r="632" ht="15.75" customHeight="1">
      <c r="G632" s="157"/>
    </row>
    <row r="633" ht="15.75" customHeight="1">
      <c r="G633" s="157"/>
    </row>
    <row r="634" ht="15.75" customHeight="1">
      <c r="G634" s="157"/>
    </row>
    <row r="635" ht="15.75" customHeight="1">
      <c r="G635" s="157"/>
    </row>
    <row r="636" ht="15.75" customHeight="1">
      <c r="G636" s="157"/>
    </row>
    <row r="637" ht="15.75" customHeight="1">
      <c r="G637" s="157"/>
    </row>
    <row r="638" ht="15.75" customHeight="1">
      <c r="G638" s="157"/>
    </row>
    <row r="639" ht="15.75" customHeight="1">
      <c r="G639" s="157"/>
    </row>
    <row r="640" ht="15.75" customHeight="1">
      <c r="G640" s="157"/>
    </row>
    <row r="641" ht="15.75" customHeight="1">
      <c r="G641" s="157"/>
    </row>
    <row r="642" ht="15.75" customHeight="1">
      <c r="G642" s="157"/>
    </row>
    <row r="643" ht="15.75" customHeight="1">
      <c r="G643" s="157"/>
    </row>
    <row r="644" ht="15.75" customHeight="1">
      <c r="G644" s="157"/>
    </row>
    <row r="645" ht="15.75" customHeight="1">
      <c r="G645" s="157"/>
    </row>
    <row r="646" ht="15.75" customHeight="1">
      <c r="G646" s="157"/>
    </row>
    <row r="647" ht="15.75" customHeight="1">
      <c r="G647" s="157"/>
    </row>
    <row r="648" ht="15.75" customHeight="1">
      <c r="G648" s="157"/>
    </row>
    <row r="649" ht="15.75" customHeight="1">
      <c r="G649" s="157"/>
    </row>
    <row r="650" ht="15.75" customHeight="1">
      <c r="G650" s="157"/>
    </row>
    <row r="651" ht="15.75" customHeight="1">
      <c r="G651" s="157"/>
    </row>
    <row r="652" ht="15.75" customHeight="1">
      <c r="G652" s="157"/>
    </row>
    <row r="653" ht="15.75" customHeight="1">
      <c r="G653" s="157"/>
    </row>
    <row r="654" ht="15.75" customHeight="1">
      <c r="G654" s="157"/>
    </row>
    <row r="655" ht="15.75" customHeight="1">
      <c r="G655" s="157"/>
    </row>
    <row r="656" ht="15.75" customHeight="1">
      <c r="G656" s="157"/>
    </row>
    <row r="657" ht="15.75" customHeight="1">
      <c r="G657" s="157"/>
    </row>
    <row r="658" ht="15.75" customHeight="1">
      <c r="G658" s="157"/>
    </row>
    <row r="659" ht="15.75" customHeight="1">
      <c r="G659" s="157"/>
    </row>
    <row r="660" ht="15.75" customHeight="1">
      <c r="G660" s="157"/>
    </row>
    <row r="661" ht="15.75" customHeight="1">
      <c r="G661" s="157"/>
    </row>
    <row r="662" ht="15.75" customHeight="1">
      <c r="G662" s="157"/>
    </row>
    <row r="663" ht="15.75" customHeight="1">
      <c r="G663" s="157"/>
    </row>
    <row r="664" ht="15.75" customHeight="1">
      <c r="G664" s="157"/>
    </row>
    <row r="665" ht="15.75" customHeight="1">
      <c r="G665" s="157"/>
    </row>
    <row r="666" ht="15.75" customHeight="1">
      <c r="G666" s="157"/>
    </row>
    <row r="667" ht="15.75" customHeight="1">
      <c r="G667" s="157"/>
    </row>
    <row r="668" ht="15.75" customHeight="1">
      <c r="G668" s="157"/>
    </row>
    <row r="669" ht="15.75" customHeight="1">
      <c r="G669" s="157"/>
    </row>
    <row r="670" ht="15.75" customHeight="1">
      <c r="G670" s="157"/>
    </row>
    <row r="671" ht="15.75" customHeight="1">
      <c r="G671" s="157"/>
    </row>
    <row r="672" ht="15.75" customHeight="1">
      <c r="G672" s="157"/>
    </row>
    <row r="673" ht="15.75" customHeight="1">
      <c r="G673" s="157"/>
    </row>
    <row r="674" ht="15.75" customHeight="1">
      <c r="G674" s="157"/>
    </row>
    <row r="675" ht="15.75" customHeight="1">
      <c r="G675" s="157"/>
    </row>
    <row r="676" ht="15.75" customHeight="1">
      <c r="G676" s="157"/>
    </row>
    <row r="677" ht="15.75" customHeight="1">
      <c r="G677" s="157"/>
    </row>
    <row r="678" ht="15.75" customHeight="1">
      <c r="G678" s="157"/>
    </row>
    <row r="679" ht="15.75" customHeight="1">
      <c r="G679" s="157"/>
    </row>
    <row r="680" ht="15.75" customHeight="1">
      <c r="G680" s="157"/>
    </row>
    <row r="681" ht="15.75" customHeight="1">
      <c r="G681" s="157"/>
    </row>
    <row r="682" ht="15.75" customHeight="1">
      <c r="G682" s="157"/>
    </row>
    <row r="683" ht="15.75" customHeight="1">
      <c r="G683" s="157"/>
    </row>
    <row r="684" ht="15.75" customHeight="1">
      <c r="G684" s="157"/>
    </row>
    <row r="685" ht="15.75" customHeight="1">
      <c r="G685" s="157"/>
    </row>
    <row r="686" ht="15.75" customHeight="1">
      <c r="G686" s="157"/>
    </row>
    <row r="687" ht="15.75" customHeight="1">
      <c r="G687" s="157"/>
    </row>
    <row r="688" ht="15.75" customHeight="1">
      <c r="G688" s="157"/>
    </row>
    <row r="689" ht="15.75" customHeight="1">
      <c r="G689" s="157"/>
    </row>
    <row r="690" ht="15.75" customHeight="1">
      <c r="G690" s="157"/>
    </row>
    <row r="691" ht="15.75" customHeight="1">
      <c r="G691" s="157"/>
    </row>
    <row r="692" ht="15.75" customHeight="1">
      <c r="G692" s="157"/>
    </row>
    <row r="693" ht="15.75" customHeight="1">
      <c r="G693" s="157"/>
    </row>
    <row r="694" ht="15.75" customHeight="1">
      <c r="G694" s="157"/>
    </row>
    <row r="695" ht="15.75" customHeight="1">
      <c r="G695" s="157"/>
    </row>
    <row r="696" ht="15.75" customHeight="1">
      <c r="G696" s="157"/>
    </row>
    <row r="697" ht="15.75" customHeight="1">
      <c r="G697" s="157"/>
    </row>
    <row r="698" ht="15.75" customHeight="1">
      <c r="G698" s="157"/>
    </row>
    <row r="699" ht="15.75" customHeight="1">
      <c r="G699" s="157"/>
    </row>
    <row r="700" ht="15.75" customHeight="1">
      <c r="G700" s="157"/>
    </row>
    <row r="701" ht="15.75" customHeight="1">
      <c r="G701" s="157"/>
    </row>
    <row r="702" ht="15.75" customHeight="1">
      <c r="G702" s="157"/>
    </row>
    <row r="703" ht="15.75" customHeight="1">
      <c r="G703" s="157"/>
    </row>
    <row r="704" ht="15.75" customHeight="1">
      <c r="G704" s="157"/>
    </row>
    <row r="705" ht="15.75" customHeight="1">
      <c r="G705" s="157"/>
    </row>
    <row r="706" ht="15.75" customHeight="1">
      <c r="G706" s="157"/>
    </row>
    <row r="707" ht="15.75" customHeight="1">
      <c r="G707" s="157"/>
    </row>
    <row r="708" ht="15.75" customHeight="1">
      <c r="G708" s="157"/>
    </row>
    <row r="709" ht="15.75" customHeight="1">
      <c r="G709" s="157"/>
    </row>
    <row r="710" ht="15.75" customHeight="1">
      <c r="G710" s="157"/>
    </row>
    <row r="711" ht="15.75" customHeight="1">
      <c r="G711" s="157"/>
    </row>
    <row r="712" ht="15.75" customHeight="1">
      <c r="G712" s="157"/>
    </row>
    <row r="713" ht="15.75" customHeight="1">
      <c r="G713" s="157"/>
    </row>
    <row r="714" ht="15.75" customHeight="1">
      <c r="G714" s="157"/>
    </row>
    <row r="715" ht="15.75" customHeight="1">
      <c r="G715" s="157"/>
    </row>
    <row r="716" ht="15.75" customHeight="1">
      <c r="G716" s="157"/>
    </row>
    <row r="717" ht="15.75" customHeight="1">
      <c r="G717" s="157"/>
    </row>
    <row r="718" ht="15.75" customHeight="1">
      <c r="G718" s="157"/>
    </row>
    <row r="719" ht="15.75" customHeight="1">
      <c r="G719" s="157"/>
    </row>
    <row r="720" ht="15.75" customHeight="1">
      <c r="G720" s="157"/>
    </row>
    <row r="721" ht="15.75" customHeight="1">
      <c r="G721" s="157"/>
    </row>
    <row r="722" ht="15.75" customHeight="1">
      <c r="G722" s="157"/>
    </row>
    <row r="723" ht="15.75" customHeight="1">
      <c r="G723" s="157"/>
    </row>
    <row r="724" ht="15.75" customHeight="1">
      <c r="G724" s="157"/>
    </row>
    <row r="725" ht="15.75" customHeight="1">
      <c r="G725" s="157"/>
    </row>
    <row r="726" ht="15.75" customHeight="1">
      <c r="G726" s="157"/>
    </row>
    <row r="727" ht="15.75" customHeight="1">
      <c r="G727" s="157"/>
    </row>
    <row r="728" ht="15.75" customHeight="1">
      <c r="G728" s="157"/>
    </row>
    <row r="729" ht="15.75" customHeight="1">
      <c r="G729" s="157"/>
    </row>
    <row r="730" ht="15.75" customHeight="1">
      <c r="G730" s="157"/>
    </row>
    <row r="731" ht="15.75" customHeight="1">
      <c r="G731" s="157"/>
    </row>
    <row r="732" ht="15.75" customHeight="1">
      <c r="G732" s="157"/>
    </row>
    <row r="733" ht="15.75" customHeight="1">
      <c r="G733" s="157"/>
    </row>
    <row r="734" ht="15.75" customHeight="1">
      <c r="G734" s="157"/>
    </row>
    <row r="735" ht="15.75" customHeight="1">
      <c r="G735" s="157"/>
    </row>
    <row r="736" ht="15.75" customHeight="1">
      <c r="G736" s="157"/>
    </row>
    <row r="737" ht="15.75" customHeight="1">
      <c r="G737" s="157"/>
    </row>
    <row r="738" ht="15.75" customHeight="1">
      <c r="G738" s="157"/>
    </row>
    <row r="739" ht="15.75" customHeight="1">
      <c r="G739" s="157"/>
    </row>
    <row r="740" ht="15.75" customHeight="1">
      <c r="G740" s="157"/>
    </row>
    <row r="741" ht="15.75" customHeight="1">
      <c r="G741" s="157"/>
    </row>
    <row r="742" ht="15.75" customHeight="1">
      <c r="G742" s="157"/>
    </row>
    <row r="743" ht="15.75" customHeight="1">
      <c r="G743" s="157"/>
    </row>
    <row r="744" ht="15.75" customHeight="1">
      <c r="G744" s="157"/>
    </row>
    <row r="745" ht="15.75" customHeight="1">
      <c r="G745" s="157"/>
    </row>
    <row r="746" ht="15.75" customHeight="1">
      <c r="G746" s="157"/>
    </row>
    <row r="747" ht="15.75" customHeight="1">
      <c r="G747" s="157"/>
    </row>
    <row r="748" ht="15.75" customHeight="1">
      <c r="G748" s="157"/>
    </row>
    <row r="749" ht="15.75" customHeight="1">
      <c r="G749" s="157"/>
    </row>
    <row r="750" ht="15.75" customHeight="1">
      <c r="G750" s="157"/>
    </row>
    <row r="751" ht="15.75" customHeight="1">
      <c r="G751" s="157"/>
    </row>
    <row r="752" ht="15.75" customHeight="1">
      <c r="G752" s="157"/>
    </row>
    <row r="753" ht="15.75" customHeight="1">
      <c r="G753" s="157"/>
    </row>
    <row r="754" ht="15.75" customHeight="1">
      <c r="G754" s="157"/>
    </row>
    <row r="755" ht="15.75" customHeight="1">
      <c r="G755" s="157"/>
    </row>
    <row r="756" ht="15.75" customHeight="1">
      <c r="G756" s="157"/>
    </row>
    <row r="757" ht="15.75" customHeight="1">
      <c r="G757" s="157"/>
    </row>
    <row r="758" ht="15.75" customHeight="1">
      <c r="G758" s="157"/>
    </row>
    <row r="759" ht="15.75" customHeight="1">
      <c r="G759" s="157"/>
    </row>
    <row r="760" ht="15.75" customHeight="1">
      <c r="G760" s="157"/>
    </row>
    <row r="761" ht="15.75" customHeight="1">
      <c r="G761" s="157"/>
    </row>
    <row r="762" ht="15.75" customHeight="1">
      <c r="G762" s="157"/>
    </row>
    <row r="763" ht="15.75" customHeight="1">
      <c r="G763" s="157"/>
    </row>
    <row r="764" ht="15.75" customHeight="1">
      <c r="G764" s="157"/>
    </row>
    <row r="765" ht="15.75" customHeight="1">
      <c r="G765" s="157"/>
    </row>
    <row r="766" ht="15.75" customHeight="1">
      <c r="G766" s="157"/>
    </row>
    <row r="767" ht="15.75" customHeight="1">
      <c r="G767" s="157"/>
    </row>
    <row r="768" ht="15.75" customHeight="1">
      <c r="G768" s="157"/>
    </row>
    <row r="769" ht="15.75" customHeight="1">
      <c r="G769" s="157"/>
    </row>
    <row r="770" ht="15.75" customHeight="1">
      <c r="G770" s="157"/>
    </row>
    <row r="771" ht="15.75" customHeight="1">
      <c r="G771" s="157"/>
    </row>
    <row r="772" ht="15.75" customHeight="1">
      <c r="G772" s="157"/>
    </row>
    <row r="773" ht="15.75" customHeight="1">
      <c r="G773" s="157"/>
    </row>
    <row r="774" ht="15.75" customHeight="1">
      <c r="G774" s="157"/>
    </row>
    <row r="775" ht="15.75" customHeight="1">
      <c r="G775" s="157"/>
    </row>
    <row r="776" ht="15.75" customHeight="1">
      <c r="G776" s="157"/>
    </row>
    <row r="777" ht="15.75" customHeight="1">
      <c r="G777" s="157"/>
    </row>
    <row r="778" ht="15.75" customHeight="1">
      <c r="G778" s="157"/>
    </row>
    <row r="779" ht="15.75" customHeight="1">
      <c r="G779" s="157"/>
    </row>
    <row r="780" ht="15.75" customHeight="1">
      <c r="G780" s="157"/>
    </row>
    <row r="781" ht="15.75" customHeight="1">
      <c r="G781" s="157"/>
    </row>
    <row r="782" ht="15.75" customHeight="1">
      <c r="G782" s="157"/>
    </row>
    <row r="783" ht="15.75" customHeight="1">
      <c r="G783" s="157"/>
    </row>
    <row r="784" ht="15.75" customHeight="1">
      <c r="G784" s="157"/>
    </row>
    <row r="785" ht="15.75" customHeight="1">
      <c r="G785" s="157"/>
    </row>
    <row r="786" ht="15.75" customHeight="1">
      <c r="G786" s="157"/>
    </row>
    <row r="787" ht="15.75" customHeight="1">
      <c r="G787" s="157"/>
    </row>
    <row r="788" ht="15.75" customHeight="1">
      <c r="G788" s="157"/>
    </row>
    <row r="789" ht="15.75" customHeight="1">
      <c r="G789" s="157"/>
    </row>
    <row r="790" ht="15.75" customHeight="1">
      <c r="G790" s="157"/>
    </row>
    <row r="791" ht="15.75" customHeight="1">
      <c r="G791" s="157"/>
    </row>
    <row r="792" ht="15.75" customHeight="1">
      <c r="G792" s="157"/>
    </row>
    <row r="793" ht="15.75" customHeight="1">
      <c r="G793" s="157"/>
    </row>
    <row r="794" ht="15.75" customHeight="1">
      <c r="G794" s="157"/>
    </row>
    <row r="795" ht="15.75" customHeight="1">
      <c r="G795" s="157"/>
    </row>
    <row r="796" ht="15.75" customHeight="1">
      <c r="G796" s="157"/>
    </row>
    <row r="797" ht="15.75" customHeight="1">
      <c r="G797" s="157"/>
    </row>
    <row r="798" ht="15.75" customHeight="1">
      <c r="G798" s="157"/>
    </row>
    <row r="799" ht="15.75" customHeight="1">
      <c r="G799" s="157"/>
    </row>
    <row r="800" ht="15.75" customHeight="1">
      <c r="G800" s="157"/>
    </row>
    <row r="801" ht="15.75" customHeight="1">
      <c r="G801" s="157"/>
    </row>
    <row r="802" ht="15.75" customHeight="1">
      <c r="G802" s="157"/>
    </row>
    <row r="803" ht="15.75" customHeight="1">
      <c r="G803" s="157"/>
    </row>
    <row r="804" ht="15.75" customHeight="1">
      <c r="G804" s="157"/>
    </row>
    <row r="805" ht="15.75" customHeight="1">
      <c r="G805" s="157"/>
    </row>
    <row r="806" ht="15.75" customHeight="1">
      <c r="G806" s="157"/>
    </row>
    <row r="807" ht="15.75" customHeight="1">
      <c r="G807" s="157"/>
    </row>
    <row r="808" ht="15.75" customHeight="1">
      <c r="G808" s="157"/>
    </row>
    <row r="809" ht="15.75" customHeight="1">
      <c r="G809" s="157"/>
    </row>
    <row r="810" ht="15.75" customHeight="1">
      <c r="G810" s="157"/>
    </row>
    <row r="811" ht="15.75" customHeight="1">
      <c r="G811" s="157"/>
    </row>
    <row r="812" ht="15.75" customHeight="1">
      <c r="G812" s="157"/>
    </row>
    <row r="813" ht="15.75" customHeight="1">
      <c r="G813" s="157"/>
    </row>
    <row r="814" ht="15.75" customHeight="1">
      <c r="G814" s="157"/>
    </row>
    <row r="815" ht="15.75" customHeight="1">
      <c r="G815" s="157"/>
    </row>
    <row r="816" ht="15.75" customHeight="1">
      <c r="G816" s="157"/>
    </row>
    <row r="817" ht="15.75" customHeight="1">
      <c r="G817" s="157"/>
    </row>
    <row r="818" ht="15.75" customHeight="1">
      <c r="G818" s="157"/>
    </row>
    <row r="819" ht="15.75" customHeight="1">
      <c r="G819" s="157"/>
    </row>
    <row r="820" ht="15.75" customHeight="1">
      <c r="G820" s="157"/>
    </row>
    <row r="821" ht="15.75" customHeight="1">
      <c r="G821" s="157"/>
    </row>
    <row r="822" ht="15.75" customHeight="1">
      <c r="G822" s="157"/>
    </row>
    <row r="823" ht="15.75" customHeight="1">
      <c r="G823" s="157"/>
    </row>
    <row r="824" ht="15.75" customHeight="1">
      <c r="G824" s="157"/>
    </row>
    <row r="825" ht="15.75" customHeight="1">
      <c r="G825" s="157"/>
    </row>
    <row r="826" ht="15.75" customHeight="1">
      <c r="G826" s="157"/>
    </row>
    <row r="827" ht="15.75" customHeight="1">
      <c r="G827" s="157"/>
    </row>
    <row r="828" ht="15.75" customHeight="1">
      <c r="G828" s="157"/>
    </row>
    <row r="829" ht="15.75" customHeight="1">
      <c r="G829" s="157"/>
    </row>
    <row r="830" ht="15.75" customHeight="1">
      <c r="G830" s="157"/>
    </row>
    <row r="831" ht="15.75" customHeight="1">
      <c r="G831" s="157"/>
    </row>
    <row r="832" ht="15.75" customHeight="1">
      <c r="G832" s="157"/>
    </row>
    <row r="833" ht="15.75" customHeight="1">
      <c r="G833" s="157"/>
    </row>
    <row r="834" ht="15.75" customHeight="1">
      <c r="G834" s="157"/>
    </row>
    <row r="835" ht="15.75" customHeight="1">
      <c r="G835" s="157"/>
    </row>
    <row r="836" ht="15.75" customHeight="1">
      <c r="G836" s="157"/>
    </row>
    <row r="837" ht="15.75" customHeight="1">
      <c r="G837" s="157"/>
    </row>
    <row r="838" ht="15.75" customHeight="1">
      <c r="G838" s="157"/>
    </row>
    <row r="839" ht="15.75" customHeight="1">
      <c r="G839" s="157"/>
    </row>
    <row r="840" ht="15.75" customHeight="1">
      <c r="G840" s="157"/>
    </row>
    <row r="841" ht="15.75" customHeight="1">
      <c r="G841" s="157"/>
    </row>
    <row r="842" ht="15.75" customHeight="1">
      <c r="G842" s="157"/>
    </row>
    <row r="843" ht="15.75" customHeight="1">
      <c r="G843" s="157"/>
    </row>
    <row r="844" ht="15.75" customHeight="1">
      <c r="G844" s="157"/>
    </row>
    <row r="845" ht="15.75" customHeight="1">
      <c r="G845" s="157"/>
    </row>
    <row r="846" ht="15.75" customHeight="1">
      <c r="G846" s="157"/>
    </row>
    <row r="847" ht="15.75" customHeight="1">
      <c r="G847" s="157"/>
    </row>
    <row r="848" ht="15.75" customHeight="1">
      <c r="G848" s="157"/>
    </row>
    <row r="849" ht="15.75" customHeight="1">
      <c r="G849" s="157"/>
    </row>
    <row r="850" ht="15.75" customHeight="1">
      <c r="G850" s="157"/>
    </row>
    <row r="851" ht="15.75" customHeight="1">
      <c r="G851" s="157"/>
    </row>
    <row r="852" ht="15.75" customHeight="1">
      <c r="G852" s="157"/>
    </row>
    <row r="853" ht="15.75" customHeight="1">
      <c r="G853" s="157"/>
    </row>
    <row r="854" ht="15.75" customHeight="1">
      <c r="G854" s="157"/>
    </row>
    <row r="855" ht="15.75" customHeight="1">
      <c r="G855" s="157"/>
    </row>
    <row r="856" ht="15.75" customHeight="1">
      <c r="G856" s="157"/>
    </row>
    <row r="857" ht="15.75" customHeight="1">
      <c r="G857" s="157"/>
    </row>
    <row r="858" ht="15.75" customHeight="1">
      <c r="G858" s="157"/>
    </row>
    <row r="859" ht="15.75" customHeight="1">
      <c r="G859" s="157"/>
    </row>
    <row r="860" ht="15.75" customHeight="1">
      <c r="G860" s="157"/>
    </row>
    <row r="861" ht="15.75" customHeight="1">
      <c r="G861" s="157"/>
    </row>
    <row r="862" ht="15.75" customHeight="1">
      <c r="G862" s="157"/>
    </row>
    <row r="863" ht="15.75" customHeight="1">
      <c r="G863" s="157"/>
    </row>
    <row r="864" ht="15.75" customHeight="1">
      <c r="G864" s="157"/>
    </row>
    <row r="865" ht="15.75" customHeight="1">
      <c r="G865" s="157"/>
    </row>
    <row r="866" ht="15.75" customHeight="1">
      <c r="G866" s="157"/>
    </row>
    <row r="867" ht="15.75" customHeight="1">
      <c r="G867" s="157"/>
    </row>
    <row r="868" ht="15.75" customHeight="1">
      <c r="G868" s="157"/>
    </row>
    <row r="869" ht="15.75" customHeight="1">
      <c r="G869" s="157"/>
    </row>
    <row r="870" ht="15.75" customHeight="1">
      <c r="G870" s="157"/>
    </row>
    <row r="871" ht="15.75" customHeight="1">
      <c r="G871" s="157"/>
    </row>
    <row r="872" ht="15.75" customHeight="1">
      <c r="G872" s="157"/>
    </row>
    <row r="873" ht="15.75" customHeight="1">
      <c r="G873" s="157"/>
    </row>
    <row r="874" ht="15.75" customHeight="1">
      <c r="G874" s="157"/>
    </row>
    <row r="875" ht="15.75" customHeight="1">
      <c r="G875" s="157"/>
    </row>
    <row r="876" ht="15.75" customHeight="1">
      <c r="G876" s="157"/>
    </row>
    <row r="877" ht="15.75" customHeight="1">
      <c r="G877" s="157"/>
    </row>
    <row r="878" ht="15.75" customHeight="1">
      <c r="G878" s="157"/>
    </row>
    <row r="879" ht="15.75" customHeight="1">
      <c r="G879" s="157"/>
    </row>
    <row r="880" ht="15.75" customHeight="1">
      <c r="G880" s="157"/>
    </row>
    <row r="881" ht="15.75" customHeight="1">
      <c r="G881" s="157"/>
    </row>
    <row r="882" ht="15.75" customHeight="1">
      <c r="G882" s="157"/>
    </row>
    <row r="883" ht="15.75" customHeight="1">
      <c r="G883" s="157"/>
    </row>
    <row r="884" ht="15.75" customHeight="1">
      <c r="G884" s="157"/>
    </row>
    <row r="885" ht="15.75" customHeight="1">
      <c r="G885" s="157"/>
    </row>
    <row r="886" ht="15.75" customHeight="1">
      <c r="G886" s="157"/>
    </row>
    <row r="887" ht="15.75" customHeight="1">
      <c r="G887" s="157"/>
    </row>
    <row r="888" ht="15.75" customHeight="1">
      <c r="G888" s="157"/>
    </row>
    <row r="889" ht="15.75" customHeight="1">
      <c r="G889" s="157"/>
    </row>
    <row r="890" ht="15.75" customHeight="1">
      <c r="G890" s="157"/>
    </row>
    <row r="891" ht="15.75" customHeight="1">
      <c r="G891" s="157"/>
    </row>
    <row r="892" ht="15.75" customHeight="1">
      <c r="G892" s="157"/>
    </row>
    <row r="893" ht="15.75" customHeight="1">
      <c r="G893" s="157"/>
    </row>
    <row r="894" ht="15.75" customHeight="1">
      <c r="G894" s="157"/>
    </row>
    <row r="895" ht="15.75" customHeight="1">
      <c r="G895" s="157"/>
    </row>
    <row r="896" ht="15.75" customHeight="1">
      <c r="G896" s="157"/>
    </row>
    <row r="897" ht="15.75" customHeight="1">
      <c r="G897" s="157"/>
    </row>
    <row r="898" ht="15.75" customHeight="1">
      <c r="G898" s="157"/>
    </row>
    <row r="899" ht="15.75" customHeight="1">
      <c r="G899" s="157"/>
    </row>
    <row r="900" ht="15.75" customHeight="1">
      <c r="G900" s="157"/>
    </row>
    <row r="901" ht="15.75" customHeight="1">
      <c r="G901" s="157"/>
    </row>
    <row r="902" ht="15.75" customHeight="1">
      <c r="G902" s="157"/>
    </row>
    <row r="903" ht="15.75" customHeight="1">
      <c r="G903" s="157"/>
    </row>
    <row r="904" ht="15.75" customHeight="1">
      <c r="G904" s="157"/>
    </row>
    <row r="905" ht="15.75" customHeight="1">
      <c r="G905" s="157"/>
    </row>
    <row r="906" ht="15.75" customHeight="1">
      <c r="G906" s="157"/>
    </row>
    <row r="907" ht="15.75" customHeight="1">
      <c r="G907" s="157"/>
    </row>
    <row r="908" ht="15.75" customHeight="1">
      <c r="G908" s="157"/>
    </row>
    <row r="909" ht="15.75" customHeight="1">
      <c r="G909" s="157"/>
    </row>
    <row r="910" ht="15.75" customHeight="1">
      <c r="G910" s="157"/>
    </row>
    <row r="911" ht="15.75" customHeight="1">
      <c r="G911" s="157"/>
    </row>
    <row r="912" ht="15.75" customHeight="1">
      <c r="G912" s="157"/>
    </row>
    <row r="913" ht="15.75" customHeight="1">
      <c r="G913" s="157"/>
    </row>
    <row r="914" ht="15.75" customHeight="1">
      <c r="G914" s="157"/>
    </row>
    <row r="915" ht="15.75" customHeight="1">
      <c r="G915" s="157"/>
    </row>
    <row r="916" ht="15.75" customHeight="1">
      <c r="G916" s="157"/>
    </row>
    <row r="917" ht="15.75" customHeight="1">
      <c r="G917" s="157"/>
    </row>
    <row r="918" ht="15.75" customHeight="1">
      <c r="G918" s="157"/>
    </row>
    <row r="919" ht="15.75" customHeight="1">
      <c r="G919" s="157"/>
    </row>
    <row r="920" ht="15.75" customHeight="1">
      <c r="G920" s="157"/>
    </row>
    <row r="921" ht="15.75" customHeight="1">
      <c r="G921" s="157"/>
    </row>
    <row r="922" ht="15.75" customHeight="1">
      <c r="G922" s="157"/>
    </row>
    <row r="923" ht="15.75" customHeight="1">
      <c r="G923" s="157"/>
    </row>
    <row r="924" ht="15.75" customHeight="1">
      <c r="G924" s="157"/>
    </row>
    <row r="925" ht="15.75" customHeight="1">
      <c r="G925" s="157"/>
    </row>
    <row r="926" ht="15.75" customHeight="1">
      <c r="G926" s="157"/>
    </row>
    <row r="927" ht="15.75" customHeight="1">
      <c r="G927" s="157"/>
    </row>
    <row r="928" ht="15.75" customHeight="1">
      <c r="G928" s="157"/>
    </row>
    <row r="929" ht="15.75" customHeight="1">
      <c r="G929" s="157"/>
    </row>
    <row r="930" ht="15.75" customHeight="1">
      <c r="G930" s="157"/>
    </row>
    <row r="931" ht="15.75" customHeight="1">
      <c r="G931" s="157"/>
    </row>
    <row r="932" ht="15.75" customHeight="1">
      <c r="G932" s="157"/>
    </row>
    <row r="933" ht="15.75" customHeight="1">
      <c r="G933" s="157"/>
    </row>
    <row r="934" ht="15.75" customHeight="1">
      <c r="G934" s="157"/>
    </row>
    <row r="935" ht="15.75" customHeight="1">
      <c r="G935" s="157"/>
    </row>
    <row r="936" ht="15.75" customHeight="1">
      <c r="G936" s="157"/>
    </row>
    <row r="937" ht="15.75" customHeight="1">
      <c r="G937" s="157"/>
    </row>
    <row r="938" ht="15.75" customHeight="1">
      <c r="G938" s="157"/>
    </row>
    <row r="939" ht="15.75" customHeight="1">
      <c r="G939" s="157"/>
    </row>
    <row r="940" ht="15.75" customHeight="1">
      <c r="G940" s="157"/>
    </row>
    <row r="941" ht="15.75" customHeight="1">
      <c r="G941" s="157"/>
    </row>
    <row r="942" ht="15.75" customHeight="1">
      <c r="G942" s="157"/>
    </row>
    <row r="943" ht="15.75" customHeight="1">
      <c r="G943" s="157"/>
    </row>
    <row r="944" ht="15.75" customHeight="1">
      <c r="G944" s="157"/>
    </row>
    <row r="945" ht="15.75" customHeight="1">
      <c r="G945" s="157"/>
    </row>
    <row r="946" ht="15.75" customHeight="1">
      <c r="G946" s="157"/>
    </row>
    <row r="947" ht="15.75" customHeight="1">
      <c r="G947" s="157"/>
    </row>
    <row r="948" ht="15.75" customHeight="1">
      <c r="G948" s="157"/>
    </row>
    <row r="949" ht="15.75" customHeight="1">
      <c r="G949" s="157"/>
    </row>
    <row r="950" ht="15.75" customHeight="1">
      <c r="G950" s="157"/>
    </row>
    <row r="951" ht="15.75" customHeight="1">
      <c r="G951" s="157"/>
    </row>
    <row r="952" ht="15.75" customHeight="1">
      <c r="G952" s="157"/>
    </row>
    <row r="953" ht="15.75" customHeight="1">
      <c r="G953" s="157"/>
    </row>
    <row r="954" ht="15.75" customHeight="1">
      <c r="G954" s="157"/>
    </row>
    <row r="955" ht="15.75" customHeight="1">
      <c r="G955" s="157"/>
    </row>
    <row r="956" ht="15.75" customHeight="1">
      <c r="G956" s="157"/>
    </row>
    <row r="957" ht="15.75" customHeight="1">
      <c r="G957" s="157"/>
    </row>
    <row r="958" ht="15.75" customHeight="1">
      <c r="G958" s="157"/>
    </row>
    <row r="959" ht="15.75" customHeight="1">
      <c r="G959" s="157"/>
    </row>
    <row r="960" ht="15.75" customHeight="1">
      <c r="G960" s="157"/>
    </row>
    <row r="961" ht="15.75" customHeight="1">
      <c r="G961" s="157"/>
    </row>
    <row r="962" ht="15.75" customHeight="1">
      <c r="G962" s="157"/>
    </row>
    <row r="963" ht="15.75" customHeight="1">
      <c r="G963" s="157"/>
    </row>
    <row r="964" ht="15.75" customHeight="1">
      <c r="G964" s="157"/>
    </row>
    <row r="965" ht="15.75" customHeight="1">
      <c r="G965" s="157"/>
    </row>
    <row r="966" ht="15.75" customHeight="1">
      <c r="G966" s="157"/>
    </row>
    <row r="967" ht="15.75" customHeight="1">
      <c r="G967" s="157"/>
    </row>
    <row r="968" ht="15.75" customHeight="1">
      <c r="G968" s="157"/>
    </row>
    <row r="969" ht="15.75" customHeight="1">
      <c r="G969" s="157"/>
    </row>
    <row r="970" ht="15.75" customHeight="1">
      <c r="G970" s="157"/>
    </row>
    <row r="971" ht="15.75" customHeight="1">
      <c r="G971" s="157"/>
    </row>
    <row r="972" ht="15.75" customHeight="1">
      <c r="G972" s="157"/>
    </row>
    <row r="973" ht="15.75" customHeight="1">
      <c r="G973" s="157"/>
    </row>
    <row r="974" ht="15.75" customHeight="1">
      <c r="G974" s="157"/>
    </row>
    <row r="975" ht="15.75" customHeight="1">
      <c r="G975" s="157"/>
    </row>
    <row r="976" ht="15.75" customHeight="1">
      <c r="G976" s="157"/>
    </row>
    <row r="977" ht="15.75" customHeight="1">
      <c r="G977" s="157"/>
    </row>
    <row r="978" ht="15.75" customHeight="1">
      <c r="G978" s="157"/>
    </row>
    <row r="979" ht="15.75" customHeight="1">
      <c r="G979" s="157"/>
    </row>
    <row r="980" ht="15.75" customHeight="1">
      <c r="G980" s="157"/>
    </row>
    <row r="981" ht="15.75" customHeight="1">
      <c r="G981" s="157"/>
    </row>
    <row r="982" ht="15.75" customHeight="1">
      <c r="G982" s="157"/>
    </row>
    <row r="983" ht="15.75" customHeight="1">
      <c r="G983" s="157"/>
    </row>
    <row r="984" ht="15.75" customHeight="1">
      <c r="G984" s="157"/>
    </row>
    <row r="985" ht="15.75" customHeight="1">
      <c r="G985" s="157"/>
    </row>
    <row r="986" ht="15.75" customHeight="1">
      <c r="G986" s="157"/>
    </row>
    <row r="987" ht="15.75" customHeight="1">
      <c r="G987" s="157"/>
    </row>
    <row r="988" ht="15.75" customHeight="1">
      <c r="G988" s="157"/>
    </row>
    <row r="989" ht="15.75" customHeight="1">
      <c r="G989" s="157"/>
    </row>
    <row r="990" ht="15.75" customHeight="1">
      <c r="G990" s="157"/>
    </row>
    <row r="991" ht="15.75" customHeight="1">
      <c r="G991" s="157"/>
    </row>
    <row r="992" ht="15.75" customHeight="1">
      <c r="G992" s="157"/>
    </row>
    <row r="993" ht="15.75" customHeight="1">
      <c r="G993" s="157"/>
    </row>
    <row r="994" ht="15.75" customHeight="1">
      <c r="G994" s="157"/>
    </row>
    <row r="995" ht="15.75" customHeight="1">
      <c r="G995" s="157"/>
    </row>
    <row r="996" ht="15.75" customHeight="1">
      <c r="G996" s="157"/>
    </row>
    <row r="997" ht="15.75" customHeight="1">
      <c r="G997" s="157"/>
    </row>
    <row r="998" ht="15.75" customHeight="1">
      <c r="G998" s="157"/>
    </row>
    <row r="999" ht="15.75" customHeight="1">
      <c r="G999" s="157"/>
    </row>
    <row r="1000" ht="15.75" customHeight="1">
      <c r="G1000" s="157"/>
    </row>
  </sheetData>
  <conditionalFormatting sqref="I10:S12">
    <cfRule type="cellIs" dxfId="1" priority="1" operator="greaterThan">
      <formula>0</formula>
    </cfRule>
  </conditionalFormatting>
  <conditionalFormatting sqref="T10:AB12">
    <cfRule type="cellIs" dxfId="1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2" priority="4">
      <formula>ISEVEN($A10)</formula>
    </cfRule>
  </conditionalFormatting>
  <conditionalFormatting sqref="I16:S18">
    <cfRule type="cellIs" dxfId="1" priority="5" operator="greaterThan">
      <formula>0</formula>
    </cfRule>
  </conditionalFormatting>
  <conditionalFormatting sqref="T16:AB18">
    <cfRule type="cellIs" dxfId="1" priority="6" operator="greaterThan">
      <formula>0</formula>
    </cfRule>
  </conditionalFormatting>
  <conditionalFormatting sqref="A16:AC18">
    <cfRule type="expression" dxfId="2" priority="7">
      <formula>ISEVEN($A16)</formula>
    </cfRule>
  </conditionalFormatting>
  <conditionalFormatting sqref="I22:S24">
    <cfRule type="cellIs" dxfId="1" priority="8" operator="greaterThan">
      <formula>0</formula>
    </cfRule>
  </conditionalFormatting>
  <conditionalFormatting sqref="T22:AB24">
    <cfRule type="cellIs" dxfId="1" priority="9" operator="greaterThan">
      <formula>0</formula>
    </cfRule>
  </conditionalFormatting>
  <conditionalFormatting sqref="A22:AC24">
    <cfRule type="expression" dxfId="2" priority="10">
      <formula>ISEVEN($A22)</formula>
    </cfRule>
  </conditionalFormatting>
  <conditionalFormatting sqref="I28:S30">
    <cfRule type="cellIs" dxfId="1" priority="11" operator="greaterThan">
      <formula>0</formula>
    </cfRule>
  </conditionalFormatting>
  <conditionalFormatting sqref="T28:AB30">
    <cfRule type="cellIs" dxfId="1" priority="12" operator="greaterThan">
      <formula>0</formula>
    </cfRule>
  </conditionalFormatting>
  <conditionalFormatting sqref="A28:AC30">
    <cfRule type="expression" dxfId="2" priority="13">
      <formula>ISEVEN($A28)</formula>
    </cfRule>
  </conditionalFormatting>
  <conditionalFormatting sqref="I34:S36">
    <cfRule type="cellIs" dxfId="1" priority="14" operator="greaterThan">
      <formula>0</formula>
    </cfRule>
  </conditionalFormatting>
  <conditionalFormatting sqref="T34:AB36">
    <cfRule type="cellIs" dxfId="1" priority="15" operator="greaterThan">
      <formula>0</formula>
    </cfRule>
  </conditionalFormatting>
  <conditionalFormatting sqref="A34:AC36">
    <cfRule type="expression" dxfId="2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1" t="s">
        <v>30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</row>
    <row r="3">
      <c r="A3" s="125" t="s">
        <v>164</v>
      </c>
      <c r="B3" s="133">
        <v>4.0</v>
      </c>
    </row>
    <row r="4">
      <c r="A4" s="125" t="s">
        <v>127</v>
      </c>
      <c r="B4" s="126">
        <v>1.0</v>
      </c>
    </row>
    <row r="5">
      <c r="A5" s="125" t="s">
        <v>128</v>
      </c>
      <c r="B5" s="126">
        <v>17.0</v>
      </c>
    </row>
    <row r="6">
      <c r="A6" s="125" t="s">
        <v>202</v>
      </c>
      <c r="B6" s="126" t="b">
        <f>TRUE()</f>
        <v>1</v>
      </c>
    </row>
    <row r="7">
      <c r="A7" s="125" t="s">
        <v>203</v>
      </c>
      <c r="B7" s="126" t="b">
        <f>FALSE()</f>
        <v>0</v>
      </c>
    </row>
    <row r="8">
      <c r="A8" s="125" t="s">
        <v>175</v>
      </c>
      <c r="B8" s="172" t="s">
        <v>204</v>
      </c>
    </row>
    <row r="9">
      <c r="A9" s="125" t="s">
        <v>205</v>
      </c>
      <c r="B9" s="126">
        <v>30.0</v>
      </c>
    </row>
    <row r="10">
      <c r="A10" s="125" t="s">
        <v>206</v>
      </c>
      <c r="B10" s="126">
        <v>10.0</v>
      </c>
    </row>
    <row r="11">
      <c r="A11" s="125" t="s">
        <v>207</v>
      </c>
      <c r="B11" s="126">
        <v>3.0</v>
      </c>
    </row>
    <row r="12">
      <c r="A12" s="125" t="s">
        <v>208</v>
      </c>
      <c r="B12" s="126">
        <v>15.0</v>
      </c>
    </row>
    <row r="13">
      <c r="A13" s="125" t="s">
        <v>209</v>
      </c>
      <c r="B13" s="126" t="s">
        <v>210</v>
      </c>
    </row>
    <row r="15" ht="19.5" customHeight="1">
      <c r="A15" s="92" t="s">
        <v>211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</row>
    <row r="16" ht="21.75" customHeight="1">
      <c r="A16" s="96" t="s">
        <v>72</v>
      </c>
      <c r="B16" s="96" t="s">
        <v>212</v>
      </c>
    </row>
    <row r="17">
      <c r="A17" s="101">
        <v>1.0</v>
      </c>
      <c r="B17" s="101" t="s">
        <v>213</v>
      </c>
    </row>
    <row r="18">
      <c r="A18" s="101">
        <v>2.0</v>
      </c>
      <c r="B18" s="101" t="s">
        <v>214</v>
      </c>
    </row>
    <row r="19">
      <c r="A19" s="101">
        <v>3.0</v>
      </c>
      <c r="B19" s="101" t="s">
        <v>215</v>
      </c>
    </row>
    <row r="20">
      <c r="A20" s="101">
        <v>4.0</v>
      </c>
      <c r="B20" s="101" t="s">
        <v>216</v>
      </c>
    </row>
    <row r="21" ht="15.75" customHeight="1">
      <c r="A21" s="101">
        <v>5.0</v>
      </c>
      <c r="B21" s="101" t="s">
        <v>217</v>
      </c>
    </row>
    <row r="22" ht="15.75" customHeight="1"/>
    <row r="23" ht="19.5" customHeight="1">
      <c r="A23" s="92" t="s">
        <v>218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</row>
    <row r="24" ht="90.0" customHeight="1">
      <c r="A24" s="96" t="s">
        <v>219</v>
      </c>
      <c r="B24" s="96" t="s">
        <v>220</v>
      </c>
      <c r="C24" s="96" t="s">
        <v>221</v>
      </c>
      <c r="D24" s="96" t="s">
        <v>222</v>
      </c>
      <c r="E24" s="96" t="s">
        <v>223</v>
      </c>
      <c r="F24" s="96" t="s">
        <v>224</v>
      </c>
      <c r="G24" s="97" t="s">
        <v>225</v>
      </c>
      <c r="H24" s="173" t="s">
        <v>19</v>
      </c>
      <c r="I24" s="99" t="s">
        <v>5</v>
      </c>
      <c r="J24" s="99" t="s">
        <v>77</v>
      </c>
      <c r="K24" s="99" t="s">
        <v>6</v>
      </c>
      <c r="L24" s="99" t="s">
        <v>7</v>
      </c>
      <c r="M24" s="99" t="s">
        <v>8</v>
      </c>
      <c r="N24" s="99" t="s">
        <v>9</v>
      </c>
      <c r="O24" s="99" t="s">
        <v>10</v>
      </c>
      <c r="P24" s="99" t="s">
        <v>11</v>
      </c>
      <c r="Q24" s="99" t="s">
        <v>12</v>
      </c>
      <c r="R24" s="99" t="s">
        <v>13</v>
      </c>
      <c r="S24" s="99" t="s">
        <v>14</v>
      </c>
      <c r="T24" s="99" t="s">
        <v>15</v>
      </c>
      <c r="U24" s="99" t="s">
        <v>92</v>
      </c>
      <c r="V24" s="99" t="s">
        <v>78</v>
      </c>
      <c r="W24" s="99" t="s">
        <v>79</v>
      </c>
      <c r="X24" s="99" t="s">
        <v>80</v>
      </c>
      <c r="Y24" s="99" t="s">
        <v>81</v>
      </c>
      <c r="Z24" s="99" t="s">
        <v>82</v>
      </c>
      <c r="AA24" s="99" t="s">
        <v>83</v>
      </c>
      <c r="AB24" s="99" t="s">
        <v>84</v>
      </c>
    </row>
    <row r="25" ht="15.75" customHeight="1">
      <c r="A25" s="101">
        <v>1.0</v>
      </c>
      <c r="B25" s="101">
        <v>1.0</v>
      </c>
      <c r="C25" s="146" t="s">
        <v>226</v>
      </c>
      <c r="D25" s="146" t="s">
        <v>227</v>
      </c>
      <c r="E25" s="101">
        <v>0.0</v>
      </c>
      <c r="F25" s="101">
        <v>80.0</v>
      </c>
      <c r="G25" s="102">
        <f t="shared" ref="G25:G54" si="1">A25</f>
        <v>1</v>
      </c>
      <c r="H25" s="174">
        <v>0.0</v>
      </c>
      <c r="I25" s="101">
        <v>0.0</v>
      </c>
      <c r="J25" s="101">
        <v>0.0</v>
      </c>
      <c r="K25" s="101">
        <v>0.0</v>
      </c>
      <c r="L25" s="101">
        <v>0.0</v>
      </c>
      <c r="M25" s="101">
        <v>0.0</v>
      </c>
      <c r="N25" s="101">
        <v>0.0</v>
      </c>
      <c r="O25" s="101">
        <v>0.0</v>
      </c>
      <c r="P25" s="101">
        <v>0.0</v>
      </c>
      <c r="Q25" s="101">
        <v>0.0</v>
      </c>
      <c r="R25" s="101">
        <v>0.0</v>
      </c>
      <c r="S25" s="101">
        <v>0.0</v>
      </c>
      <c r="T25" s="101">
        <v>0.0</v>
      </c>
      <c r="U25" s="101">
        <v>0.0</v>
      </c>
      <c r="V25" s="101">
        <v>0.0</v>
      </c>
      <c r="W25" s="101">
        <v>0.0</v>
      </c>
      <c r="X25" s="101">
        <v>0.0</v>
      </c>
      <c r="Y25" s="101">
        <v>0.0</v>
      </c>
      <c r="Z25" s="101">
        <v>0.0</v>
      </c>
      <c r="AA25" s="101">
        <v>0.0</v>
      </c>
      <c r="AB25" s="101">
        <v>0.0</v>
      </c>
    </row>
    <row r="26" ht="15.75" customHeight="1">
      <c r="A26" s="101">
        <v>2.0</v>
      </c>
      <c r="B26" s="101">
        <v>1.0</v>
      </c>
      <c r="C26" s="146" t="s">
        <v>226</v>
      </c>
      <c r="D26" s="146" t="s">
        <v>228</v>
      </c>
      <c r="E26" s="101">
        <v>0.0</v>
      </c>
      <c r="F26" s="101">
        <v>130.0</v>
      </c>
      <c r="G26" s="102">
        <f t="shared" si="1"/>
        <v>2</v>
      </c>
      <c r="H26" s="174">
        <v>0.0</v>
      </c>
      <c r="I26" s="101">
        <v>0.0</v>
      </c>
      <c r="J26" s="101">
        <v>0.0</v>
      </c>
      <c r="K26" s="101">
        <v>0.0</v>
      </c>
      <c r="L26" s="101">
        <v>0.0</v>
      </c>
      <c r="M26" s="101">
        <v>0.0</v>
      </c>
      <c r="N26" s="101">
        <v>0.0</v>
      </c>
      <c r="O26" s="101">
        <v>0.0</v>
      </c>
      <c r="P26" s="101">
        <v>0.0</v>
      </c>
      <c r="Q26" s="101">
        <v>0.0</v>
      </c>
      <c r="R26" s="101">
        <v>0.0</v>
      </c>
      <c r="S26" s="101">
        <v>0.0</v>
      </c>
      <c r="T26" s="101">
        <v>0.0</v>
      </c>
      <c r="U26" s="101">
        <v>0.0</v>
      </c>
      <c r="V26" s="101">
        <v>0.0</v>
      </c>
      <c r="W26" s="101">
        <v>0.0</v>
      </c>
      <c r="X26" s="101">
        <v>0.0</v>
      </c>
      <c r="Y26" s="101">
        <v>0.0</v>
      </c>
      <c r="Z26" s="101">
        <v>0.0</v>
      </c>
      <c r="AA26" s="101">
        <v>0.0</v>
      </c>
      <c r="AB26" s="101">
        <v>0.0</v>
      </c>
    </row>
    <row r="27" ht="15.75" customHeight="1">
      <c r="A27" s="101">
        <v>3.0</v>
      </c>
      <c r="B27" s="101">
        <v>1.0</v>
      </c>
      <c r="C27" s="146" t="s">
        <v>226</v>
      </c>
      <c r="D27" s="146" t="s">
        <v>229</v>
      </c>
      <c r="E27" s="101">
        <v>0.0</v>
      </c>
      <c r="F27" s="101">
        <v>155.0</v>
      </c>
      <c r="G27" s="102">
        <f t="shared" si="1"/>
        <v>3</v>
      </c>
      <c r="H27" s="174">
        <v>0.0</v>
      </c>
      <c r="I27" s="101">
        <v>0.0</v>
      </c>
      <c r="J27" s="101">
        <v>0.0</v>
      </c>
      <c r="K27" s="101">
        <v>0.0</v>
      </c>
      <c r="L27" s="101">
        <v>1.0</v>
      </c>
      <c r="M27" s="101">
        <v>0.0</v>
      </c>
      <c r="N27" s="101">
        <v>0.0</v>
      </c>
      <c r="O27" s="101">
        <v>0.0</v>
      </c>
      <c r="P27" s="101">
        <v>0.0</v>
      </c>
      <c r="Q27" s="101">
        <v>0.0</v>
      </c>
      <c r="R27" s="101">
        <v>0.0</v>
      </c>
      <c r="S27" s="101">
        <v>0.0</v>
      </c>
      <c r="T27" s="101">
        <v>0.0</v>
      </c>
      <c r="U27" s="101">
        <v>0.0</v>
      </c>
      <c r="V27" s="101">
        <v>0.0</v>
      </c>
      <c r="W27" s="101">
        <v>0.0</v>
      </c>
      <c r="X27" s="101">
        <v>0.0</v>
      </c>
      <c r="Y27" s="101">
        <v>0.0</v>
      </c>
      <c r="Z27" s="101">
        <v>0.0</v>
      </c>
      <c r="AA27" s="101">
        <v>0.0</v>
      </c>
      <c r="AB27" s="101">
        <v>0.0</v>
      </c>
    </row>
    <row r="28" ht="15.75" customHeight="1">
      <c r="A28" s="101">
        <v>4.0</v>
      </c>
      <c r="B28" s="101">
        <v>2.0</v>
      </c>
      <c r="C28" s="146" t="s">
        <v>230</v>
      </c>
      <c r="D28" s="146" t="s">
        <v>231</v>
      </c>
      <c r="E28" s="101">
        <v>2.0</v>
      </c>
      <c r="F28" s="101">
        <v>80.0</v>
      </c>
      <c r="G28" s="102">
        <f t="shared" si="1"/>
        <v>4</v>
      </c>
      <c r="H28" s="174">
        <v>0.0</v>
      </c>
      <c r="I28" s="101">
        <v>0.0</v>
      </c>
      <c r="J28" s="101">
        <v>0.0</v>
      </c>
      <c r="K28" s="101">
        <v>0.0</v>
      </c>
      <c r="L28" s="101">
        <v>0.0</v>
      </c>
      <c r="M28" s="101">
        <v>0.0</v>
      </c>
      <c r="N28" s="101">
        <v>0.0</v>
      </c>
      <c r="O28" s="101">
        <v>0.0</v>
      </c>
      <c r="P28" s="101">
        <v>0.0</v>
      </c>
      <c r="Q28" s="101">
        <v>0.0</v>
      </c>
      <c r="R28" s="101">
        <v>0.0</v>
      </c>
      <c r="S28" s="101">
        <v>0.0</v>
      </c>
      <c r="T28" s="101">
        <v>0.0</v>
      </c>
      <c r="U28" s="101">
        <v>0.0</v>
      </c>
      <c r="V28" s="101">
        <v>0.0</v>
      </c>
      <c r="W28" s="101">
        <v>0.0</v>
      </c>
      <c r="X28" s="101">
        <v>0.0</v>
      </c>
      <c r="Y28" s="101">
        <v>0.0</v>
      </c>
      <c r="Z28" s="101">
        <v>0.0</v>
      </c>
      <c r="AA28" s="101">
        <v>0.0</v>
      </c>
      <c r="AB28" s="101">
        <v>0.0</v>
      </c>
    </row>
    <row r="29" ht="15.75" customHeight="1">
      <c r="A29" s="101">
        <v>5.0</v>
      </c>
      <c r="B29" s="101">
        <v>2.0</v>
      </c>
      <c r="C29" s="146" t="s">
        <v>230</v>
      </c>
      <c r="D29" s="146" t="s">
        <v>232</v>
      </c>
      <c r="E29" s="101">
        <v>2.0</v>
      </c>
      <c r="F29" s="101">
        <v>130.0</v>
      </c>
      <c r="G29" s="102">
        <f t="shared" si="1"/>
        <v>5</v>
      </c>
      <c r="H29" s="174">
        <v>0.0</v>
      </c>
      <c r="I29" s="101">
        <v>0.0</v>
      </c>
      <c r="J29" s="101">
        <v>0.0</v>
      </c>
      <c r="K29" s="101">
        <v>0.0</v>
      </c>
      <c r="L29" s="101">
        <v>0.0</v>
      </c>
      <c r="M29" s="101">
        <v>0.0</v>
      </c>
      <c r="N29" s="101">
        <v>0.0</v>
      </c>
      <c r="O29" s="101">
        <v>0.0</v>
      </c>
      <c r="P29" s="101">
        <v>0.0</v>
      </c>
      <c r="Q29" s="101">
        <v>0.0</v>
      </c>
      <c r="R29" s="101">
        <v>0.0</v>
      </c>
      <c r="S29" s="101">
        <v>0.0</v>
      </c>
      <c r="T29" s="101">
        <v>0.0</v>
      </c>
      <c r="U29" s="101">
        <v>0.0</v>
      </c>
      <c r="V29" s="101">
        <v>0.0</v>
      </c>
      <c r="W29" s="101">
        <v>0.0</v>
      </c>
      <c r="X29" s="101">
        <v>0.0</v>
      </c>
      <c r="Y29" s="101">
        <v>0.0</v>
      </c>
      <c r="Z29" s="101">
        <v>0.0</v>
      </c>
      <c r="AA29" s="101">
        <v>0.0</v>
      </c>
      <c r="AB29" s="101">
        <v>0.0</v>
      </c>
    </row>
    <row r="30" ht="15.75" customHeight="1">
      <c r="A30" s="101">
        <v>6.0</v>
      </c>
      <c r="B30" s="101">
        <v>2.0</v>
      </c>
      <c r="C30" s="146" t="s">
        <v>230</v>
      </c>
      <c r="D30" s="146" t="s">
        <v>233</v>
      </c>
      <c r="E30" s="101">
        <v>2.0</v>
      </c>
      <c r="F30" s="101">
        <v>160.0</v>
      </c>
      <c r="G30" s="102">
        <f t="shared" si="1"/>
        <v>6</v>
      </c>
      <c r="H30" s="174">
        <v>0.0</v>
      </c>
      <c r="I30" s="101">
        <v>0.0</v>
      </c>
      <c r="J30" s="101">
        <v>0.0</v>
      </c>
      <c r="K30" s="101">
        <v>0.0</v>
      </c>
      <c r="L30" s="101">
        <v>0.0</v>
      </c>
      <c r="M30" s="101">
        <v>0.0</v>
      </c>
      <c r="N30" s="101">
        <v>0.0</v>
      </c>
      <c r="O30" s="101">
        <v>0.0</v>
      </c>
      <c r="P30" s="101">
        <v>0.0</v>
      </c>
      <c r="Q30" s="101">
        <v>30.0</v>
      </c>
      <c r="R30" s="101">
        <v>0.0</v>
      </c>
      <c r="S30" s="101">
        <v>0.0</v>
      </c>
      <c r="T30" s="101">
        <v>0.0</v>
      </c>
      <c r="U30" s="101">
        <v>0.0</v>
      </c>
      <c r="V30" s="101">
        <v>0.0</v>
      </c>
      <c r="W30" s="101">
        <v>0.0</v>
      </c>
      <c r="X30" s="101">
        <v>0.0</v>
      </c>
      <c r="Y30" s="101">
        <v>0.0</v>
      </c>
      <c r="Z30" s="101">
        <v>0.0</v>
      </c>
      <c r="AA30" s="101">
        <v>0.0</v>
      </c>
      <c r="AB30" s="101">
        <v>0.0</v>
      </c>
    </row>
    <row r="31" ht="15.75" customHeight="1">
      <c r="A31" s="101">
        <v>7.0</v>
      </c>
      <c r="B31" s="101">
        <v>3.0</v>
      </c>
      <c r="C31" s="146" t="s">
        <v>234</v>
      </c>
      <c r="D31" s="146" t="s">
        <v>227</v>
      </c>
      <c r="E31" s="101">
        <v>4.0</v>
      </c>
      <c r="F31" s="101">
        <v>80.0</v>
      </c>
      <c r="G31" s="102">
        <f t="shared" si="1"/>
        <v>7</v>
      </c>
      <c r="H31" s="174">
        <v>0.0</v>
      </c>
      <c r="I31" s="101">
        <v>0.0</v>
      </c>
      <c r="J31" s="101">
        <v>0.0</v>
      </c>
      <c r="K31" s="101">
        <v>0.0</v>
      </c>
      <c r="L31" s="101">
        <v>0.0</v>
      </c>
      <c r="M31" s="101">
        <v>0.0</v>
      </c>
      <c r="N31" s="101">
        <v>0.0</v>
      </c>
      <c r="O31" s="101">
        <v>0.0</v>
      </c>
      <c r="P31" s="101">
        <v>0.0</v>
      </c>
      <c r="Q31" s="101">
        <v>0.0</v>
      </c>
      <c r="R31" s="101">
        <v>0.0</v>
      </c>
      <c r="S31" s="101">
        <v>0.0</v>
      </c>
      <c r="T31" s="101">
        <v>0.0</v>
      </c>
      <c r="U31" s="101">
        <v>0.0</v>
      </c>
      <c r="V31" s="101">
        <v>0.0</v>
      </c>
      <c r="W31" s="101">
        <v>0.0</v>
      </c>
      <c r="X31" s="101">
        <v>0.0</v>
      </c>
      <c r="Y31" s="101">
        <v>0.0</v>
      </c>
      <c r="Z31" s="101">
        <v>0.0</v>
      </c>
      <c r="AA31" s="101">
        <v>0.0</v>
      </c>
      <c r="AB31" s="101">
        <v>0.0</v>
      </c>
    </row>
    <row r="32" ht="15.75" customHeight="1">
      <c r="A32" s="101">
        <v>8.0</v>
      </c>
      <c r="B32" s="101">
        <v>3.0</v>
      </c>
      <c r="C32" s="146" t="s">
        <v>234</v>
      </c>
      <c r="D32" s="146" t="s">
        <v>228</v>
      </c>
      <c r="E32" s="101">
        <v>4.0</v>
      </c>
      <c r="F32" s="101">
        <v>135.0</v>
      </c>
      <c r="G32" s="102">
        <f t="shared" si="1"/>
        <v>8</v>
      </c>
      <c r="H32" s="174">
        <v>0.0</v>
      </c>
      <c r="I32" s="101">
        <v>0.0</v>
      </c>
      <c r="J32" s="101">
        <v>0.0</v>
      </c>
      <c r="K32" s="101">
        <v>0.0</v>
      </c>
      <c r="L32" s="101">
        <v>0.0</v>
      </c>
      <c r="M32" s="101">
        <v>0.0</v>
      </c>
      <c r="N32" s="101">
        <v>0.0</v>
      </c>
      <c r="O32" s="101">
        <v>0.0</v>
      </c>
      <c r="P32" s="101">
        <v>0.0</v>
      </c>
      <c r="Q32" s="101">
        <v>0.0</v>
      </c>
      <c r="R32" s="101">
        <v>0.0</v>
      </c>
      <c r="S32" s="101">
        <v>0.0</v>
      </c>
      <c r="T32" s="101">
        <v>0.0</v>
      </c>
      <c r="U32" s="101">
        <v>0.0</v>
      </c>
      <c r="V32" s="101">
        <v>0.0</v>
      </c>
      <c r="W32" s="101">
        <v>0.0</v>
      </c>
      <c r="X32" s="101">
        <v>0.0</v>
      </c>
      <c r="Y32" s="101">
        <v>0.0</v>
      </c>
      <c r="Z32" s="101">
        <v>0.0</v>
      </c>
      <c r="AA32" s="101">
        <v>0.0</v>
      </c>
      <c r="AB32" s="101">
        <v>0.0</v>
      </c>
    </row>
    <row r="33" ht="15.75" customHeight="1">
      <c r="A33" s="101">
        <v>9.0</v>
      </c>
      <c r="B33" s="101">
        <v>3.0</v>
      </c>
      <c r="C33" s="146" t="s">
        <v>234</v>
      </c>
      <c r="D33" s="146" t="s">
        <v>229</v>
      </c>
      <c r="E33" s="101">
        <v>4.0</v>
      </c>
      <c r="F33" s="101">
        <v>165.0</v>
      </c>
      <c r="G33" s="102">
        <f t="shared" si="1"/>
        <v>9</v>
      </c>
      <c r="H33" s="174">
        <v>25.0</v>
      </c>
      <c r="I33" s="101">
        <v>0.0</v>
      </c>
      <c r="J33" s="101">
        <v>0.0</v>
      </c>
      <c r="K33" s="101">
        <v>0.0</v>
      </c>
      <c r="L33" s="101">
        <v>0.0</v>
      </c>
      <c r="M33" s="101">
        <v>0.0</v>
      </c>
      <c r="N33" s="101">
        <v>0.0</v>
      </c>
      <c r="O33" s="101">
        <v>0.0</v>
      </c>
      <c r="P33" s="101">
        <v>0.0</v>
      </c>
      <c r="Q33" s="101">
        <v>0.0</v>
      </c>
      <c r="R33" s="101">
        <v>0.0</v>
      </c>
      <c r="S33" s="101">
        <v>0.0</v>
      </c>
      <c r="T33" s="101">
        <v>0.0</v>
      </c>
      <c r="U33" s="101">
        <v>0.0</v>
      </c>
      <c r="V33" s="101">
        <v>0.0</v>
      </c>
      <c r="W33" s="101">
        <v>0.0</v>
      </c>
      <c r="X33" s="101">
        <v>0.0</v>
      </c>
      <c r="Y33" s="101">
        <v>0.0</v>
      </c>
      <c r="Z33" s="101">
        <v>0.0</v>
      </c>
      <c r="AA33" s="101">
        <v>0.0</v>
      </c>
      <c r="AB33" s="101">
        <v>0.0</v>
      </c>
    </row>
    <row r="34" ht="15.75" customHeight="1">
      <c r="A34" s="101">
        <v>10.0</v>
      </c>
      <c r="B34" s="101">
        <v>4.0</v>
      </c>
      <c r="C34" s="146" t="s">
        <v>235</v>
      </c>
      <c r="D34" s="146" t="s">
        <v>227</v>
      </c>
      <c r="E34" s="101">
        <v>6.0</v>
      </c>
      <c r="F34" s="101">
        <v>165.0</v>
      </c>
      <c r="G34" s="102">
        <f t="shared" si="1"/>
        <v>10</v>
      </c>
      <c r="H34" s="174">
        <v>0.0</v>
      </c>
      <c r="I34" s="101">
        <v>0.0</v>
      </c>
      <c r="J34" s="101">
        <v>0.0</v>
      </c>
      <c r="K34" s="101">
        <v>0.0</v>
      </c>
      <c r="L34" s="101">
        <v>0.0</v>
      </c>
      <c r="M34" s="101">
        <v>0.0</v>
      </c>
      <c r="N34" s="101">
        <v>0.0</v>
      </c>
      <c r="O34" s="101">
        <v>0.0</v>
      </c>
      <c r="P34" s="101">
        <v>0.0</v>
      </c>
      <c r="Q34" s="101">
        <v>0.0</v>
      </c>
      <c r="R34" s="101">
        <v>0.0</v>
      </c>
      <c r="S34" s="101">
        <v>0.0</v>
      </c>
      <c r="T34" s="101">
        <v>0.0</v>
      </c>
      <c r="U34" s="101">
        <v>0.0</v>
      </c>
      <c r="V34" s="101">
        <v>0.0</v>
      </c>
      <c r="W34" s="101">
        <v>0.0</v>
      </c>
      <c r="X34" s="101">
        <v>0.0</v>
      </c>
      <c r="Y34" s="101">
        <v>0.0</v>
      </c>
      <c r="Z34" s="101">
        <v>0.0</v>
      </c>
      <c r="AA34" s="101">
        <v>0.0</v>
      </c>
      <c r="AB34" s="101">
        <v>0.0</v>
      </c>
    </row>
    <row r="35" ht="15.75" customHeight="1">
      <c r="A35" s="101">
        <v>11.0</v>
      </c>
      <c r="B35" s="101">
        <v>4.0</v>
      </c>
      <c r="C35" s="146" t="s">
        <v>235</v>
      </c>
      <c r="D35" s="146" t="s">
        <v>228</v>
      </c>
      <c r="E35" s="101">
        <v>6.0</v>
      </c>
      <c r="F35" s="101">
        <v>230.0</v>
      </c>
      <c r="G35" s="102">
        <f t="shared" si="1"/>
        <v>11</v>
      </c>
      <c r="H35" s="174">
        <v>0.0</v>
      </c>
      <c r="I35" s="101">
        <v>0.0</v>
      </c>
      <c r="J35" s="101">
        <v>0.0</v>
      </c>
      <c r="K35" s="101">
        <v>0.0</v>
      </c>
      <c r="L35" s="101">
        <v>0.0</v>
      </c>
      <c r="M35" s="101">
        <v>0.0</v>
      </c>
      <c r="N35" s="101">
        <v>0.0</v>
      </c>
      <c r="O35" s="101">
        <v>0.0</v>
      </c>
      <c r="P35" s="101">
        <v>0.0</v>
      </c>
      <c r="Q35" s="101">
        <v>0.0</v>
      </c>
      <c r="R35" s="101">
        <v>0.0</v>
      </c>
      <c r="S35" s="101">
        <v>0.0</v>
      </c>
      <c r="T35" s="101">
        <v>0.0</v>
      </c>
      <c r="U35" s="101">
        <v>0.0</v>
      </c>
      <c r="V35" s="101">
        <v>0.0</v>
      </c>
      <c r="W35" s="101">
        <v>0.0</v>
      </c>
      <c r="X35" s="101">
        <v>0.0</v>
      </c>
      <c r="Y35" s="101">
        <v>0.0</v>
      </c>
      <c r="Z35" s="101">
        <v>0.0</v>
      </c>
      <c r="AA35" s="101">
        <v>0.0</v>
      </c>
      <c r="AB35" s="101">
        <v>0.0</v>
      </c>
    </row>
    <row r="36" ht="15.75" customHeight="1">
      <c r="A36" s="101">
        <v>12.0</v>
      </c>
      <c r="B36" s="101">
        <v>4.0</v>
      </c>
      <c r="C36" s="146" t="s">
        <v>235</v>
      </c>
      <c r="D36" s="146" t="s">
        <v>229</v>
      </c>
      <c r="E36" s="101">
        <v>6.0</v>
      </c>
      <c r="F36" s="101">
        <v>265.0</v>
      </c>
      <c r="G36" s="102">
        <f t="shared" si="1"/>
        <v>12</v>
      </c>
      <c r="H36" s="174">
        <v>0.0</v>
      </c>
      <c r="I36" s="101">
        <v>0.0</v>
      </c>
      <c r="J36" s="101">
        <v>0.0</v>
      </c>
      <c r="K36" s="101">
        <v>0.0</v>
      </c>
      <c r="L36" s="101">
        <v>0.0</v>
      </c>
      <c r="M36" s="101">
        <v>0.0</v>
      </c>
      <c r="N36" s="101">
        <v>0.0</v>
      </c>
      <c r="O36" s="101">
        <v>0.0</v>
      </c>
      <c r="P36" s="101">
        <v>0.0</v>
      </c>
      <c r="Q36" s="101">
        <v>30.0</v>
      </c>
      <c r="R36" s="101">
        <v>15.0</v>
      </c>
      <c r="S36" s="101">
        <v>0.0</v>
      </c>
      <c r="T36" s="101">
        <v>0.0</v>
      </c>
      <c r="U36" s="101">
        <v>0.0</v>
      </c>
      <c r="V36" s="101">
        <v>0.0</v>
      </c>
      <c r="W36" s="101">
        <v>0.0</v>
      </c>
      <c r="X36" s="101">
        <v>0.0</v>
      </c>
      <c r="Y36" s="101">
        <v>0.0</v>
      </c>
      <c r="Z36" s="101">
        <v>0.0</v>
      </c>
      <c r="AA36" s="101">
        <v>0.0</v>
      </c>
      <c r="AB36" s="101">
        <v>0.0</v>
      </c>
    </row>
    <row r="37" ht="15.75" customHeight="1">
      <c r="A37" s="101">
        <v>13.0</v>
      </c>
      <c r="B37" s="101">
        <v>5.0</v>
      </c>
      <c r="C37" s="146" t="s">
        <v>236</v>
      </c>
      <c r="D37" s="146" t="s">
        <v>231</v>
      </c>
      <c r="E37" s="101">
        <v>8.0</v>
      </c>
      <c r="F37" s="101">
        <v>180.0</v>
      </c>
      <c r="G37" s="102">
        <f t="shared" si="1"/>
        <v>13</v>
      </c>
      <c r="H37" s="174">
        <v>0.0</v>
      </c>
      <c r="I37" s="101">
        <v>0.0</v>
      </c>
      <c r="J37" s="101">
        <v>0.0</v>
      </c>
      <c r="K37" s="101">
        <v>0.0</v>
      </c>
      <c r="L37" s="101">
        <v>0.0</v>
      </c>
      <c r="M37" s="101">
        <v>0.0</v>
      </c>
      <c r="N37" s="101">
        <v>0.0</v>
      </c>
      <c r="O37" s="101">
        <v>0.0</v>
      </c>
      <c r="P37" s="101">
        <v>0.0</v>
      </c>
      <c r="Q37" s="101">
        <v>0.0</v>
      </c>
      <c r="R37" s="101">
        <v>0.0</v>
      </c>
      <c r="S37" s="101">
        <v>0.0</v>
      </c>
      <c r="T37" s="101">
        <v>0.0</v>
      </c>
      <c r="U37" s="101">
        <v>0.0</v>
      </c>
      <c r="V37" s="101">
        <v>0.0</v>
      </c>
      <c r="W37" s="101">
        <v>0.0</v>
      </c>
      <c r="X37" s="101">
        <v>0.0</v>
      </c>
      <c r="Y37" s="101">
        <v>0.0</v>
      </c>
      <c r="Z37" s="101">
        <v>0.0</v>
      </c>
      <c r="AA37" s="101">
        <v>0.0</v>
      </c>
      <c r="AB37" s="101">
        <v>0.0</v>
      </c>
    </row>
    <row r="38" ht="15.75" customHeight="1">
      <c r="A38" s="101">
        <v>14.0</v>
      </c>
      <c r="B38" s="101">
        <v>5.0</v>
      </c>
      <c r="C38" s="146" t="s">
        <v>236</v>
      </c>
      <c r="D38" s="146" t="s">
        <v>232</v>
      </c>
      <c r="E38" s="101">
        <v>8.0</v>
      </c>
      <c r="F38" s="101">
        <v>250.0</v>
      </c>
      <c r="G38" s="102">
        <f t="shared" si="1"/>
        <v>14</v>
      </c>
      <c r="H38" s="174">
        <v>0.0</v>
      </c>
      <c r="I38" s="101">
        <v>0.0</v>
      </c>
      <c r="J38" s="101">
        <v>0.0</v>
      </c>
      <c r="K38" s="101">
        <v>0.0</v>
      </c>
      <c r="L38" s="101">
        <v>0.0</v>
      </c>
      <c r="M38" s="101">
        <v>0.0</v>
      </c>
      <c r="N38" s="101">
        <v>0.0</v>
      </c>
      <c r="O38" s="101">
        <v>0.0</v>
      </c>
      <c r="P38" s="101">
        <v>0.0</v>
      </c>
      <c r="Q38" s="101">
        <v>0.0</v>
      </c>
      <c r="R38" s="101">
        <v>0.0</v>
      </c>
      <c r="S38" s="101">
        <v>0.0</v>
      </c>
      <c r="T38" s="101">
        <v>0.0</v>
      </c>
      <c r="U38" s="101">
        <v>0.0</v>
      </c>
      <c r="V38" s="101">
        <v>0.0</v>
      </c>
      <c r="W38" s="101">
        <v>0.0</v>
      </c>
      <c r="X38" s="101">
        <v>0.0</v>
      </c>
      <c r="Y38" s="101">
        <v>0.0</v>
      </c>
      <c r="Z38" s="101">
        <v>0.0</v>
      </c>
      <c r="AA38" s="101">
        <v>0.0</v>
      </c>
      <c r="AB38" s="101">
        <v>0.0</v>
      </c>
    </row>
    <row r="39" ht="15.75" customHeight="1">
      <c r="A39" s="101">
        <v>15.0</v>
      </c>
      <c r="B39" s="101">
        <v>5.0</v>
      </c>
      <c r="C39" s="146" t="s">
        <v>236</v>
      </c>
      <c r="D39" s="146" t="s">
        <v>233</v>
      </c>
      <c r="E39" s="101">
        <v>8.0</v>
      </c>
      <c r="F39" s="101">
        <v>300.0</v>
      </c>
      <c r="G39" s="102">
        <f t="shared" si="1"/>
        <v>15</v>
      </c>
      <c r="H39" s="174">
        <v>0.0</v>
      </c>
      <c r="I39" s="101">
        <v>0.0</v>
      </c>
      <c r="J39" s="101">
        <v>0.0</v>
      </c>
      <c r="K39" s="101">
        <v>1.0</v>
      </c>
      <c r="L39" s="101">
        <v>0.0</v>
      </c>
      <c r="M39" s="101">
        <v>0.0</v>
      </c>
      <c r="N39" s="101">
        <v>0.0</v>
      </c>
      <c r="O39" s="101">
        <v>0.0</v>
      </c>
      <c r="P39" s="101">
        <v>0.0</v>
      </c>
      <c r="Q39" s="101">
        <v>0.0</v>
      </c>
      <c r="R39" s="101">
        <v>0.0</v>
      </c>
      <c r="S39" s="101">
        <v>0.0</v>
      </c>
      <c r="T39" s="101">
        <v>0.0</v>
      </c>
      <c r="U39" s="101">
        <v>0.0</v>
      </c>
      <c r="V39" s="101">
        <v>0.0</v>
      </c>
      <c r="W39" s="101">
        <v>0.0</v>
      </c>
      <c r="X39" s="101">
        <v>0.0</v>
      </c>
      <c r="Y39" s="101">
        <v>0.0</v>
      </c>
      <c r="Z39" s="101">
        <v>0.0</v>
      </c>
      <c r="AA39" s="101">
        <v>0.0</v>
      </c>
      <c r="AB39" s="101">
        <v>0.0</v>
      </c>
    </row>
    <row r="40" ht="15.75" customHeight="1">
      <c r="A40" s="101">
        <v>16.0</v>
      </c>
      <c r="B40" s="101">
        <v>6.0</v>
      </c>
      <c r="C40" s="146" t="s">
        <v>237</v>
      </c>
      <c r="D40" s="146" t="s">
        <v>231</v>
      </c>
      <c r="E40" s="101">
        <v>10.0</v>
      </c>
      <c r="F40" s="101">
        <v>180.0</v>
      </c>
      <c r="G40" s="102">
        <f t="shared" si="1"/>
        <v>16</v>
      </c>
      <c r="H40" s="174">
        <v>0.0</v>
      </c>
      <c r="I40" s="101">
        <v>0.0</v>
      </c>
      <c r="J40" s="101">
        <v>0.0</v>
      </c>
      <c r="K40" s="101">
        <v>0.0</v>
      </c>
      <c r="L40" s="101">
        <v>0.0</v>
      </c>
      <c r="M40" s="101">
        <v>0.0</v>
      </c>
      <c r="N40" s="101">
        <v>0.0</v>
      </c>
      <c r="O40" s="101">
        <v>0.0</v>
      </c>
      <c r="P40" s="101">
        <v>0.0</v>
      </c>
      <c r="Q40" s="101">
        <v>0.0</v>
      </c>
      <c r="R40" s="101">
        <v>0.0</v>
      </c>
      <c r="S40" s="101">
        <v>0.0</v>
      </c>
      <c r="T40" s="101">
        <v>0.0</v>
      </c>
      <c r="U40" s="101">
        <v>0.0</v>
      </c>
      <c r="V40" s="101">
        <v>0.0</v>
      </c>
      <c r="W40" s="101">
        <v>0.0</v>
      </c>
      <c r="X40" s="101">
        <v>0.0</v>
      </c>
      <c r="Y40" s="101">
        <v>0.0</v>
      </c>
      <c r="Z40" s="101">
        <v>0.0</v>
      </c>
      <c r="AA40" s="101">
        <v>0.0</v>
      </c>
      <c r="AB40" s="101">
        <v>0.0</v>
      </c>
    </row>
    <row r="41" ht="15.75" customHeight="1">
      <c r="A41" s="101">
        <v>17.0</v>
      </c>
      <c r="B41" s="101">
        <v>6.0</v>
      </c>
      <c r="C41" s="146" t="s">
        <v>237</v>
      </c>
      <c r="D41" s="146" t="s">
        <v>232</v>
      </c>
      <c r="E41" s="101">
        <v>10.0</v>
      </c>
      <c r="F41" s="101">
        <v>260.0</v>
      </c>
      <c r="G41" s="102">
        <f t="shared" si="1"/>
        <v>17</v>
      </c>
      <c r="H41" s="174">
        <v>0.0</v>
      </c>
      <c r="I41" s="101">
        <v>0.0</v>
      </c>
      <c r="J41" s="101">
        <v>0.0</v>
      </c>
      <c r="K41" s="101">
        <v>0.0</v>
      </c>
      <c r="L41" s="101">
        <v>0.0</v>
      </c>
      <c r="M41" s="101">
        <v>0.0</v>
      </c>
      <c r="N41" s="101">
        <v>0.0</v>
      </c>
      <c r="O41" s="101">
        <v>0.0</v>
      </c>
      <c r="P41" s="101">
        <v>0.0</v>
      </c>
      <c r="Q41" s="101">
        <v>0.0</v>
      </c>
      <c r="R41" s="101">
        <v>0.0</v>
      </c>
      <c r="S41" s="101">
        <v>0.0</v>
      </c>
      <c r="T41" s="101">
        <v>0.0</v>
      </c>
      <c r="U41" s="101">
        <v>0.0</v>
      </c>
      <c r="V41" s="101">
        <v>0.0</v>
      </c>
      <c r="W41" s="101">
        <v>0.0</v>
      </c>
      <c r="X41" s="101">
        <v>0.0</v>
      </c>
      <c r="Y41" s="101">
        <v>0.0</v>
      </c>
      <c r="Z41" s="101">
        <v>0.0</v>
      </c>
      <c r="AA41" s="101">
        <v>0.0</v>
      </c>
      <c r="AB41" s="101">
        <v>0.0</v>
      </c>
    </row>
    <row r="42" ht="15.75" customHeight="1">
      <c r="A42" s="101">
        <v>18.0</v>
      </c>
      <c r="B42" s="101">
        <v>6.0</v>
      </c>
      <c r="C42" s="146" t="s">
        <v>237</v>
      </c>
      <c r="D42" s="146" t="s">
        <v>233</v>
      </c>
      <c r="E42" s="101">
        <v>10.0</v>
      </c>
      <c r="F42" s="101">
        <v>300.0</v>
      </c>
      <c r="G42" s="102">
        <f t="shared" si="1"/>
        <v>18</v>
      </c>
      <c r="H42" s="174">
        <v>0.0</v>
      </c>
      <c r="I42" s="101">
        <v>0.0</v>
      </c>
      <c r="J42" s="101">
        <v>0.0</v>
      </c>
      <c r="K42" s="101">
        <v>0.0</v>
      </c>
      <c r="L42" s="101">
        <v>0.0</v>
      </c>
      <c r="M42" s="101">
        <v>0.0</v>
      </c>
      <c r="N42" s="101">
        <v>0.0</v>
      </c>
      <c r="O42" s="101">
        <v>0.0</v>
      </c>
      <c r="P42" s="101">
        <v>0.0</v>
      </c>
      <c r="Q42" s="101">
        <v>30.0</v>
      </c>
      <c r="R42" s="101">
        <v>0.0</v>
      </c>
      <c r="S42" s="101">
        <v>15.0</v>
      </c>
      <c r="T42" s="101">
        <v>0.0</v>
      </c>
      <c r="U42" s="101">
        <v>0.0</v>
      </c>
      <c r="V42" s="101">
        <v>0.0</v>
      </c>
      <c r="W42" s="101">
        <v>0.0</v>
      </c>
      <c r="X42" s="101">
        <v>0.0</v>
      </c>
      <c r="Y42" s="101">
        <v>0.0</v>
      </c>
      <c r="Z42" s="101">
        <v>0.0</v>
      </c>
      <c r="AA42" s="101">
        <v>0.0</v>
      </c>
      <c r="AB42" s="101">
        <v>0.0</v>
      </c>
    </row>
    <row r="43" ht="15.75" customHeight="1">
      <c r="A43" s="101">
        <v>19.0</v>
      </c>
      <c r="B43" s="101">
        <v>7.0</v>
      </c>
      <c r="C43" s="146" t="s">
        <v>238</v>
      </c>
      <c r="D43" s="146" t="s">
        <v>239</v>
      </c>
      <c r="E43" s="101">
        <v>13.0</v>
      </c>
      <c r="F43" s="101">
        <v>300.0</v>
      </c>
      <c r="G43" s="102">
        <f t="shared" si="1"/>
        <v>19</v>
      </c>
      <c r="H43" s="174">
        <v>0.0</v>
      </c>
      <c r="I43" s="101">
        <v>0.0</v>
      </c>
      <c r="J43" s="101">
        <v>0.0</v>
      </c>
      <c r="K43" s="101">
        <v>0.0</v>
      </c>
      <c r="L43" s="101">
        <v>0.0</v>
      </c>
      <c r="M43" s="101">
        <v>0.0</v>
      </c>
      <c r="N43" s="101">
        <v>0.0</v>
      </c>
      <c r="O43" s="101">
        <v>0.0</v>
      </c>
      <c r="P43" s="101">
        <v>0.0</v>
      </c>
      <c r="Q43" s="101">
        <v>0.0</v>
      </c>
      <c r="R43" s="101">
        <v>0.0</v>
      </c>
      <c r="S43" s="101">
        <v>0.0</v>
      </c>
      <c r="T43" s="101">
        <v>0.0</v>
      </c>
      <c r="U43" s="101">
        <v>0.0</v>
      </c>
      <c r="V43" s="101">
        <v>0.0</v>
      </c>
      <c r="W43" s="101">
        <v>0.0</v>
      </c>
      <c r="X43" s="101">
        <v>0.0</v>
      </c>
      <c r="Y43" s="101">
        <v>0.0</v>
      </c>
      <c r="Z43" s="101">
        <v>0.0</v>
      </c>
      <c r="AA43" s="101">
        <v>0.0</v>
      </c>
      <c r="AB43" s="101">
        <v>0.0</v>
      </c>
    </row>
    <row r="44" ht="15.75" customHeight="1">
      <c r="A44" s="101">
        <v>20.0</v>
      </c>
      <c r="B44" s="101">
        <v>7.0</v>
      </c>
      <c r="C44" s="146" t="s">
        <v>238</v>
      </c>
      <c r="D44" s="146" t="s">
        <v>240</v>
      </c>
      <c r="E44" s="101">
        <v>13.0</v>
      </c>
      <c r="F44" s="101">
        <v>375.0</v>
      </c>
      <c r="G44" s="102">
        <f t="shared" si="1"/>
        <v>20</v>
      </c>
      <c r="H44" s="174">
        <v>0.0</v>
      </c>
      <c r="I44" s="101">
        <v>0.0</v>
      </c>
      <c r="J44" s="101">
        <v>0.0</v>
      </c>
      <c r="K44" s="101">
        <v>0.0</v>
      </c>
      <c r="L44" s="101">
        <v>0.0</v>
      </c>
      <c r="M44" s="101">
        <v>0.0</v>
      </c>
      <c r="N44" s="101">
        <v>0.0</v>
      </c>
      <c r="O44" s="101">
        <v>0.0</v>
      </c>
      <c r="P44" s="101">
        <v>0.0</v>
      </c>
      <c r="Q44" s="101">
        <v>0.0</v>
      </c>
      <c r="R44" s="101">
        <v>0.0</v>
      </c>
      <c r="S44" s="101">
        <v>0.0</v>
      </c>
      <c r="T44" s="101">
        <v>0.0</v>
      </c>
      <c r="U44" s="101">
        <v>0.0</v>
      </c>
      <c r="V44" s="101">
        <v>0.0</v>
      </c>
      <c r="W44" s="101">
        <v>0.0</v>
      </c>
      <c r="X44" s="101">
        <v>0.0</v>
      </c>
      <c r="Y44" s="101">
        <v>0.0</v>
      </c>
      <c r="Z44" s="101">
        <v>0.0</v>
      </c>
      <c r="AA44" s="101">
        <v>0.0</v>
      </c>
      <c r="AB44" s="101">
        <v>0.0</v>
      </c>
    </row>
    <row r="45" ht="15.75" customHeight="1">
      <c r="A45" s="101">
        <v>21.0</v>
      </c>
      <c r="B45" s="101">
        <v>7.0</v>
      </c>
      <c r="C45" s="146" t="s">
        <v>238</v>
      </c>
      <c r="D45" s="146" t="s">
        <v>241</v>
      </c>
      <c r="E45" s="101">
        <v>13.0</v>
      </c>
      <c r="F45" s="101">
        <v>410.0</v>
      </c>
      <c r="G45" s="102">
        <f t="shared" si="1"/>
        <v>21</v>
      </c>
      <c r="H45" s="174">
        <v>25.0</v>
      </c>
      <c r="I45" s="101">
        <v>0.0</v>
      </c>
      <c r="J45" s="101">
        <v>0.0</v>
      </c>
      <c r="K45" s="101">
        <v>0.0</v>
      </c>
      <c r="L45" s="101">
        <v>0.0</v>
      </c>
      <c r="M45" s="101">
        <v>0.0</v>
      </c>
      <c r="N45" s="101">
        <v>0.0</v>
      </c>
      <c r="O45" s="101">
        <v>0.0</v>
      </c>
      <c r="P45" s="101">
        <v>0.0</v>
      </c>
      <c r="Q45" s="101">
        <v>0.0</v>
      </c>
      <c r="R45" s="101">
        <v>0.0</v>
      </c>
      <c r="S45" s="101">
        <v>0.0</v>
      </c>
      <c r="T45" s="101">
        <v>0.0</v>
      </c>
      <c r="U45" s="101">
        <v>0.0</v>
      </c>
      <c r="V45" s="101">
        <v>0.0</v>
      </c>
      <c r="W45" s="101">
        <v>0.0</v>
      </c>
      <c r="X45" s="101">
        <v>0.0</v>
      </c>
      <c r="Y45" s="101">
        <v>0.0</v>
      </c>
      <c r="Z45" s="101">
        <v>0.0</v>
      </c>
      <c r="AA45" s="101">
        <v>0.0</v>
      </c>
      <c r="AB45" s="101">
        <v>0.0</v>
      </c>
    </row>
    <row r="46" ht="15.75" customHeight="1">
      <c r="A46" s="101">
        <v>22.0</v>
      </c>
      <c r="B46" s="101">
        <v>8.0</v>
      </c>
      <c r="C46" s="146" t="s">
        <v>242</v>
      </c>
      <c r="D46" s="146" t="s">
        <v>239</v>
      </c>
      <c r="E46" s="101">
        <v>16.0</v>
      </c>
      <c r="F46" s="101">
        <v>385.0</v>
      </c>
      <c r="G46" s="102">
        <f t="shared" si="1"/>
        <v>22</v>
      </c>
      <c r="H46" s="174">
        <v>0.0</v>
      </c>
      <c r="I46" s="101">
        <v>0.0</v>
      </c>
      <c r="J46" s="101">
        <v>0.0</v>
      </c>
      <c r="K46" s="101">
        <v>0.0</v>
      </c>
      <c r="L46" s="101">
        <v>0.0</v>
      </c>
      <c r="M46" s="101">
        <v>0.0</v>
      </c>
      <c r="N46" s="101">
        <v>0.0</v>
      </c>
      <c r="O46" s="101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1">
        <v>0.0</v>
      </c>
      <c r="V46" s="101">
        <v>0.0</v>
      </c>
      <c r="W46" s="101">
        <v>0.0</v>
      </c>
      <c r="X46" s="101">
        <v>0.0</v>
      </c>
      <c r="Y46" s="101">
        <v>0.0</v>
      </c>
      <c r="Z46" s="101">
        <v>0.0</v>
      </c>
      <c r="AA46" s="101">
        <v>0.0</v>
      </c>
      <c r="AB46" s="101">
        <v>0.0</v>
      </c>
    </row>
    <row r="47" ht="15.75" customHeight="1">
      <c r="A47" s="101">
        <v>23.0</v>
      </c>
      <c r="B47" s="101">
        <v>8.0</v>
      </c>
      <c r="C47" s="146" t="s">
        <v>242</v>
      </c>
      <c r="D47" s="146" t="s">
        <v>240</v>
      </c>
      <c r="E47" s="101">
        <v>16.0</v>
      </c>
      <c r="F47" s="101">
        <v>475.0</v>
      </c>
      <c r="G47" s="102">
        <f t="shared" si="1"/>
        <v>23</v>
      </c>
      <c r="H47" s="174">
        <v>0.0</v>
      </c>
      <c r="I47" s="101">
        <v>0.0</v>
      </c>
      <c r="J47" s="101">
        <v>0.0</v>
      </c>
      <c r="K47" s="101">
        <v>0.0</v>
      </c>
      <c r="L47" s="101">
        <v>0.0</v>
      </c>
      <c r="M47" s="101">
        <v>0.0</v>
      </c>
      <c r="N47" s="101">
        <v>0.0</v>
      </c>
      <c r="O47" s="101">
        <v>0.0</v>
      </c>
      <c r="P47" s="101">
        <v>0.0</v>
      </c>
      <c r="Q47" s="101">
        <v>0.0</v>
      </c>
      <c r="R47" s="101">
        <v>0.0</v>
      </c>
      <c r="S47" s="101">
        <v>0.0</v>
      </c>
      <c r="T47" s="101">
        <v>0.0</v>
      </c>
      <c r="U47" s="101">
        <v>0.0</v>
      </c>
      <c r="V47" s="101">
        <v>0.0</v>
      </c>
      <c r="W47" s="101">
        <v>0.0</v>
      </c>
      <c r="X47" s="101">
        <v>0.0</v>
      </c>
      <c r="Y47" s="101">
        <v>0.0</v>
      </c>
      <c r="Z47" s="101">
        <v>0.0</v>
      </c>
      <c r="AA47" s="101">
        <v>0.0</v>
      </c>
      <c r="AB47" s="101">
        <v>0.0</v>
      </c>
    </row>
    <row r="48" ht="15.75" customHeight="1">
      <c r="A48" s="101">
        <v>24.0</v>
      </c>
      <c r="B48" s="101">
        <v>8.0</v>
      </c>
      <c r="C48" s="146" t="s">
        <v>242</v>
      </c>
      <c r="D48" s="146" t="s">
        <v>241</v>
      </c>
      <c r="E48" s="101">
        <v>16.0</v>
      </c>
      <c r="F48" s="101">
        <v>500.0</v>
      </c>
      <c r="G48" s="102">
        <f t="shared" si="1"/>
        <v>24</v>
      </c>
      <c r="H48" s="174">
        <v>0.0</v>
      </c>
      <c r="I48" s="101">
        <v>0.0</v>
      </c>
      <c r="J48" s="101">
        <v>0.0</v>
      </c>
      <c r="K48" s="101">
        <v>0.0</v>
      </c>
      <c r="L48" s="101">
        <v>0.0</v>
      </c>
      <c r="M48" s="101">
        <v>0.0</v>
      </c>
      <c r="N48" s="101">
        <v>0.0</v>
      </c>
      <c r="O48" s="101">
        <v>0.0</v>
      </c>
      <c r="P48" s="101">
        <v>0.0</v>
      </c>
      <c r="Q48" s="101">
        <v>60.0</v>
      </c>
      <c r="R48" s="101">
        <v>0.0</v>
      </c>
      <c r="S48" s="101">
        <v>0.0</v>
      </c>
      <c r="T48" s="101">
        <v>15.0</v>
      </c>
      <c r="U48" s="101">
        <v>0.0</v>
      </c>
      <c r="V48" s="101">
        <v>0.0</v>
      </c>
      <c r="W48" s="101">
        <v>0.0</v>
      </c>
      <c r="X48" s="101">
        <v>0.0</v>
      </c>
      <c r="Y48" s="101">
        <v>0.0</v>
      </c>
      <c r="Z48" s="101">
        <v>0.0</v>
      </c>
      <c r="AA48" s="101">
        <v>0.0</v>
      </c>
      <c r="AB48" s="101">
        <v>0.0</v>
      </c>
    </row>
    <row r="49" ht="15.75" customHeight="1">
      <c r="A49" s="101">
        <v>25.0</v>
      </c>
      <c r="B49" s="101">
        <v>9.0</v>
      </c>
      <c r="C49" s="146" t="s">
        <v>243</v>
      </c>
      <c r="D49" s="146" t="s">
        <v>239</v>
      </c>
      <c r="E49" s="101">
        <v>20.0</v>
      </c>
      <c r="F49" s="101">
        <v>400.0</v>
      </c>
      <c r="G49" s="102">
        <f t="shared" si="1"/>
        <v>25</v>
      </c>
      <c r="H49" s="174">
        <v>0.0</v>
      </c>
      <c r="I49" s="101">
        <v>0.0</v>
      </c>
      <c r="J49" s="101">
        <v>0.0</v>
      </c>
      <c r="K49" s="101">
        <v>0.0</v>
      </c>
      <c r="L49" s="101">
        <v>0.0</v>
      </c>
      <c r="M49" s="101">
        <v>0.0</v>
      </c>
      <c r="N49" s="101">
        <v>0.0</v>
      </c>
      <c r="O49" s="101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1">
        <v>0.0</v>
      </c>
      <c r="V49" s="101">
        <v>0.0</v>
      </c>
      <c r="W49" s="101">
        <v>0.0</v>
      </c>
      <c r="X49" s="101">
        <v>0.0</v>
      </c>
      <c r="Y49" s="101">
        <v>0.0</v>
      </c>
      <c r="Z49" s="101">
        <v>0.0</v>
      </c>
      <c r="AA49" s="101">
        <v>0.0</v>
      </c>
      <c r="AB49" s="101">
        <v>0.0</v>
      </c>
    </row>
    <row r="50" ht="15.75" customHeight="1">
      <c r="A50" s="101">
        <v>26.0</v>
      </c>
      <c r="B50" s="101">
        <v>9.0</v>
      </c>
      <c r="C50" s="146" t="s">
        <v>243</v>
      </c>
      <c r="D50" s="146" t="s">
        <v>240</v>
      </c>
      <c r="E50" s="101">
        <v>20.0</v>
      </c>
      <c r="F50" s="101">
        <v>480.0</v>
      </c>
      <c r="G50" s="102">
        <f t="shared" si="1"/>
        <v>26</v>
      </c>
      <c r="H50" s="174">
        <v>0.0</v>
      </c>
      <c r="I50" s="101">
        <v>0.0</v>
      </c>
      <c r="J50" s="101">
        <v>0.0</v>
      </c>
      <c r="K50" s="101">
        <v>0.0</v>
      </c>
      <c r="L50" s="101">
        <v>0.0</v>
      </c>
      <c r="M50" s="101">
        <v>0.0</v>
      </c>
      <c r="N50" s="101">
        <v>0.0</v>
      </c>
      <c r="O50" s="101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  <c r="W50" s="101">
        <v>0.0</v>
      </c>
      <c r="X50" s="101">
        <v>0.0</v>
      </c>
      <c r="Y50" s="101">
        <v>0.0</v>
      </c>
      <c r="Z50" s="101">
        <v>0.0</v>
      </c>
      <c r="AA50" s="101">
        <v>0.0</v>
      </c>
      <c r="AB50" s="101">
        <v>0.0</v>
      </c>
    </row>
    <row r="51" ht="15.75" customHeight="1">
      <c r="A51" s="101">
        <v>27.0</v>
      </c>
      <c r="B51" s="101">
        <v>9.0</v>
      </c>
      <c r="C51" s="146" t="s">
        <v>243</v>
      </c>
      <c r="D51" s="146" t="s">
        <v>241</v>
      </c>
      <c r="E51" s="101">
        <v>20.0</v>
      </c>
      <c r="F51" s="101">
        <v>520.0</v>
      </c>
      <c r="G51" s="102">
        <f t="shared" si="1"/>
        <v>27</v>
      </c>
      <c r="H51" s="174">
        <v>0.0</v>
      </c>
      <c r="I51" s="101">
        <v>0.0</v>
      </c>
      <c r="J51" s="101">
        <v>0.0</v>
      </c>
      <c r="K51" s="101">
        <v>0.0</v>
      </c>
      <c r="L51" s="101">
        <v>0.0</v>
      </c>
      <c r="M51" s="101">
        <v>0.0</v>
      </c>
      <c r="N51" s="101">
        <v>0.0</v>
      </c>
      <c r="O51" s="101">
        <v>1.0</v>
      </c>
      <c r="P51" s="101">
        <v>0.0</v>
      </c>
      <c r="Q51" s="101">
        <v>0.0</v>
      </c>
      <c r="R51" s="101">
        <v>0.0</v>
      </c>
      <c r="S51" s="101">
        <v>0.0</v>
      </c>
      <c r="T51" s="101">
        <v>0.0</v>
      </c>
      <c r="U51" s="101">
        <v>0.0</v>
      </c>
      <c r="V51" s="101">
        <v>0.0</v>
      </c>
      <c r="W51" s="101">
        <v>0.0</v>
      </c>
      <c r="X51" s="101">
        <v>0.0</v>
      </c>
      <c r="Y51" s="101">
        <v>0.0</v>
      </c>
      <c r="Z51" s="101">
        <v>0.0</v>
      </c>
      <c r="AA51" s="101">
        <v>0.0</v>
      </c>
      <c r="AB51" s="101">
        <v>0.0</v>
      </c>
    </row>
    <row r="52" ht="15.75" customHeight="1">
      <c r="A52" s="101">
        <v>28.0</v>
      </c>
      <c r="B52" s="101">
        <v>10.0</v>
      </c>
      <c r="C52" s="146" t="s">
        <v>244</v>
      </c>
      <c r="D52" s="146" t="s">
        <v>245</v>
      </c>
      <c r="E52" s="101">
        <v>25.0</v>
      </c>
      <c r="F52" s="101">
        <v>600.0</v>
      </c>
      <c r="G52" s="102">
        <f t="shared" si="1"/>
        <v>28</v>
      </c>
      <c r="H52" s="174">
        <v>0.0</v>
      </c>
      <c r="I52" s="101">
        <v>0.0</v>
      </c>
      <c r="J52" s="101">
        <v>0.0</v>
      </c>
      <c r="K52" s="101">
        <v>0.0</v>
      </c>
      <c r="L52" s="101">
        <v>0.0</v>
      </c>
      <c r="M52" s="101">
        <v>0.0</v>
      </c>
      <c r="N52" s="101">
        <v>0.0</v>
      </c>
      <c r="O52" s="101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1">
        <v>0.0</v>
      </c>
      <c r="V52" s="101">
        <v>0.0</v>
      </c>
      <c r="W52" s="101">
        <v>0.0</v>
      </c>
      <c r="X52" s="101">
        <v>0.0</v>
      </c>
      <c r="Y52" s="101">
        <v>0.0</v>
      </c>
      <c r="Z52" s="101">
        <v>0.0</v>
      </c>
      <c r="AA52" s="101">
        <v>0.0</v>
      </c>
      <c r="AB52" s="101">
        <v>0.0</v>
      </c>
    </row>
    <row r="53" ht="15.75" customHeight="1">
      <c r="A53" s="101">
        <v>29.0</v>
      </c>
      <c r="B53" s="101">
        <v>10.0</v>
      </c>
      <c r="C53" s="146" t="s">
        <v>244</v>
      </c>
      <c r="D53" s="146" t="s">
        <v>246</v>
      </c>
      <c r="E53" s="101">
        <v>25.0</v>
      </c>
      <c r="F53" s="101">
        <v>600.0</v>
      </c>
      <c r="G53" s="102">
        <f t="shared" si="1"/>
        <v>29</v>
      </c>
      <c r="H53" s="174">
        <v>0.0</v>
      </c>
      <c r="I53" s="101">
        <v>0.0</v>
      </c>
      <c r="J53" s="101">
        <v>0.0</v>
      </c>
      <c r="K53" s="101">
        <v>0.0</v>
      </c>
      <c r="L53" s="101">
        <v>0.0</v>
      </c>
      <c r="M53" s="101">
        <v>0.0</v>
      </c>
      <c r="N53" s="101">
        <v>0.0</v>
      </c>
      <c r="O53" s="101">
        <v>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1">
        <v>0.0</v>
      </c>
      <c r="V53" s="101">
        <v>0.0</v>
      </c>
      <c r="W53" s="101">
        <v>0.0</v>
      </c>
      <c r="X53" s="101">
        <v>0.0</v>
      </c>
      <c r="Y53" s="101">
        <v>0.0</v>
      </c>
      <c r="Z53" s="101">
        <v>0.0</v>
      </c>
      <c r="AA53" s="101">
        <v>0.0</v>
      </c>
      <c r="AB53" s="101">
        <v>0.0</v>
      </c>
    </row>
    <row r="54" ht="15.75" customHeight="1">
      <c r="A54" s="101">
        <v>30.0</v>
      </c>
      <c r="B54" s="101">
        <v>10.0</v>
      </c>
      <c r="C54" s="146" t="s">
        <v>244</v>
      </c>
      <c r="D54" s="146" t="s">
        <v>247</v>
      </c>
      <c r="E54" s="101">
        <v>25.0</v>
      </c>
      <c r="F54" s="101">
        <v>600.0</v>
      </c>
      <c r="G54" s="102">
        <f t="shared" si="1"/>
        <v>30</v>
      </c>
      <c r="H54" s="174">
        <v>50.0</v>
      </c>
      <c r="I54" s="101">
        <v>0.0</v>
      </c>
      <c r="J54" s="101">
        <v>0.0</v>
      </c>
      <c r="K54" s="101">
        <v>0.0</v>
      </c>
      <c r="L54" s="101">
        <v>0.0</v>
      </c>
      <c r="M54" s="101">
        <v>1.0</v>
      </c>
      <c r="N54" s="101">
        <v>0.0</v>
      </c>
      <c r="O54" s="101">
        <v>0.0</v>
      </c>
      <c r="P54" s="101">
        <v>0.0</v>
      </c>
      <c r="Q54" s="101">
        <v>120.0</v>
      </c>
      <c r="R54" s="101">
        <v>0.0</v>
      </c>
      <c r="S54" s="101">
        <v>0.0</v>
      </c>
      <c r="T54" s="101">
        <v>0.0</v>
      </c>
      <c r="U54" s="101">
        <v>0.0</v>
      </c>
      <c r="V54" s="101">
        <v>0.0</v>
      </c>
      <c r="W54" s="101">
        <v>0.0</v>
      </c>
      <c r="X54" s="101">
        <v>0.0</v>
      </c>
      <c r="Y54" s="101">
        <v>0.0</v>
      </c>
      <c r="Z54" s="101">
        <v>0.0</v>
      </c>
      <c r="AA54" s="101">
        <v>0.0</v>
      </c>
      <c r="AB54" s="101">
        <v>0.0</v>
      </c>
    </row>
    <row r="55" ht="15.75" customHeight="1"/>
    <row r="56" ht="19.5" customHeight="1">
      <c r="A56" s="91" t="s">
        <v>248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</row>
    <row r="57" ht="90.0" customHeight="1">
      <c r="A57" s="96" t="s">
        <v>249</v>
      </c>
      <c r="B57" s="96" t="s">
        <v>250</v>
      </c>
      <c r="H57" s="173" t="s">
        <v>19</v>
      </c>
      <c r="I57" s="99" t="s">
        <v>5</v>
      </c>
      <c r="J57" s="99" t="s">
        <v>77</v>
      </c>
      <c r="K57" s="99" t="s">
        <v>6</v>
      </c>
      <c r="L57" s="99" t="s">
        <v>7</v>
      </c>
      <c r="M57" s="99" t="s">
        <v>8</v>
      </c>
      <c r="N57" s="99" t="s">
        <v>9</v>
      </c>
      <c r="O57" s="99" t="s">
        <v>10</v>
      </c>
      <c r="P57" s="99" t="s">
        <v>11</v>
      </c>
      <c r="Q57" s="99" t="s">
        <v>12</v>
      </c>
      <c r="R57" s="99" t="s">
        <v>13</v>
      </c>
      <c r="S57" s="99" t="s">
        <v>14</v>
      </c>
      <c r="T57" s="99" t="s">
        <v>15</v>
      </c>
      <c r="U57" s="99" t="s">
        <v>92</v>
      </c>
      <c r="V57" s="99" t="s">
        <v>78</v>
      </c>
      <c r="W57" s="99" t="s">
        <v>79</v>
      </c>
      <c r="X57" s="99" t="s">
        <v>80</v>
      </c>
      <c r="Y57" s="99" t="s">
        <v>81</v>
      </c>
      <c r="Z57" s="99" t="s">
        <v>82</v>
      </c>
      <c r="AA57" s="99" t="s">
        <v>83</v>
      </c>
      <c r="AB57" s="99" t="s">
        <v>84</v>
      </c>
    </row>
    <row r="58" ht="15.75" customHeight="1">
      <c r="A58" s="101">
        <v>1.0</v>
      </c>
      <c r="B58" s="101">
        <v>840.0</v>
      </c>
      <c r="H58" s="174">
        <v>0.0</v>
      </c>
      <c r="I58" s="101">
        <v>0.0</v>
      </c>
      <c r="J58" s="101">
        <v>0.0</v>
      </c>
      <c r="K58" s="101">
        <v>0.0</v>
      </c>
      <c r="L58" s="101">
        <v>0.0</v>
      </c>
      <c r="M58" s="101">
        <v>1.0</v>
      </c>
      <c r="N58" s="101">
        <v>0.0</v>
      </c>
      <c r="O58" s="101">
        <v>0.0</v>
      </c>
      <c r="P58" s="101">
        <v>0.0</v>
      </c>
      <c r="Q58" s="101">
        <v>0.0</v>
      </c>
      <c r="R58" s="101">
        <v>0.0</v>
      </c>
      <c r="S58" s="101">
        <v>0.0</v>
      </c>
      <c r="T58" s="101">
        <v>0.0</v>
      </c>
      <c r="U58" s="101">
        <v>0.0</v>
      </c>
      <c r="V58" s="101">
        <v>0.0</v>
      </c>
      <c r="W58" s="101">
        <v>0.0</v>
      </c>
      <c r="X58" s="101">
        <v>0.0</v>
      </c>
      <c r="Y58" s="101">
        <v>0.0</v>
      </c>
      <c r="Z58" s="101">
        <v>0.0</v>
      </c>
      <c r="AA58" s="101">
        <v>0.0</v>
      </c>
      <c r="AB58" s="101">
        <v>0.0</v>
      </c>
    </row>
    <row r="59" ht="15.75" customHeight="1">
      <c r="A59" s="101">
        <v>2.0</v>
      </c>
      <c r="B59" s="101">
        <v>840.0</v>
      </c>
      <c r="C59" s="155"/>
      <c r="D59" s="155"/>
      <c r="E59" s="155"/>
      <c r="F59" s="155"/>
      <c r="G59" s="155"/>
      <c r="H59" s="174">
        <v>0.0</v>
      </c>
      <c r="I59" s="101">
        <v>0.0</v>
      </c>
      <c r="J59" s="101">
        <v>0.0</v>
      </c>
      <c r="K59" s="101">
        <v>2.0</v>
      </c>
      <c r="L59" s="101">
        <v>0.0</v>
      </c>
      <c r="M59" s="101">
        <v>0.0</v>
      </c>
      <c r="N59" s="101">
        <v>0.0</v>
      </c>
      <c r="O59" s="101">
        <v>0.0</v>
      </c>
      <c r="P59" s="101">
        <v>0.0</v>
      </c>
      <c r="Q59" s="101">
        <v>0.0</v>
      </c>
      <c r="R59" s="101">
        <v>0.0</v>
      </c>
      <c r="S59" s="101">
        <v>0.0</v>
      </c>
      <c r="T59" s="101">
        <v>0.0</v>
      </c>
      <c r="U59" s="101">
        <v>0.0</v>
      </c>
      <c r="V59" s="101">
        <v>0.0</v>
      </c>
      <c r="W59" s="101">
        <v>0.0</v>
      </c>
      <c r="X59" s="101">
        <v>0.0</v>
      </c>
      <c r="Y59" s="101">
        <v>0.0</v>
      </c>
      <c r="Z59" s="101">
        <v>0.0</v>
      </c>
      <c r="AA59" s="101">
        <v>0.0</v>
      </c>
      <c r="AB59" s="101">
        <v>0.0</v>
      </c>
    </row>
    <row r="60" ht="15.75" customHeight="1">
      <c r="A60" s="101">
        <v>3.0</v>
      </c>
      <c r="B60" s="101">
        <v>830.0</v>
      </c>
      <c r="H60" s="174">
        <v>0.0</v>
      </c>
      <c r="I60" s="101">
        <v>0.0</v>
      </c>
      <c r="J60" s="101">
        <v>0.0</v>
      </c>
      <c r="K60" s="101">
        <v>0.0</v>
      </c>
      <c r="L60" s="101">
        <v>1.0</v>
      </c>
      <c r="M60" s="101">
        <v>0.0</v>
      </c>
      <c r="N60" s="101">
        <v>0.0</v>
      </c>
      <c r="O60" s="101">
        <v>0.0</v>
      </c>
      <c r="P60" s="101">
        <v>0.0</v>
      </c>
      <c r="Q60" s="101">
        <v>0.0</v>
      </c>
      <c r="R60" s="101">
        <v>0.0</v>
      </c>
      <c r="S60" s="101">
        <v>0.0</v>
      </c>
      <c r="T60" s="101">
        <v>0.0</v>
      </c>
      <c r="U60" s="101">
        <v>0.0</v>
      </c>
      <c r="V60" s="101">
        <v>0.0</v>
      </c>
      <c r="W60" s="101">
        <v>0.0</v>
      </c>
      <c r="X60" s="101">
        <v>0.0</v>
      </c>
      <c r="Y60" s="101">
        <v>0.0</v>
      </c>
      <c r="Z60" s="101">
        <v>0.0</v>
      </c>
      <c r="AA60" s="101">
        <v>0.0</v>
      </c>
      <c r="AB60" s="101">
        <v>0.0</v>
      </c>
    </row>
    <row r="61" ht="15.75" customHeight="1">
      <c r="A61" s="101">
        <v>4.0</v>
      </c>
      <c r="B61" s="101">
        <v>800.0</v>
      </c>
      <c r="C61" s="155"/>
      <c r="D61" s="155"/>
      <c r="E61" s="155"/>
      <c r="F61" s="155"/>
      <c r="G61" s="155"/>
      <c r="H61" s="174">
        <v>25.0</v>
      </c>
      <c r="I61" s="101">
        <v>0.0</v>
      </c>
      <c r="J61" s="101">
        <v>0.0</v>
      </c>
      <c r="K61" s="101">
        <v>0.0</v>
      </c>
      <c r="L61" s="101">
        <v>0.0</v>
      </c>
      <c r="M61" s="101">
        <v>0.0</v>
      </c>
      <c r="N61" s="101">
        <v>0.0</v>
      </c>
      <c r="O61" s="101">
        <v>0.0</v>
      </c>
      <c r="P61" s="101">
        <v>0.0</v>
      </c>
      <c r="Q61" s="101">
        <v>0.0</v>
      </c>
      <c r="R61" s="101">
        <v>0.0</v>
      </c>
      <c r="S61" s="101">
        <v>0.0</v>
      </c>
      <c r="T61" s="101">
        <v>0.0</v>
      </c>
      <c r="U61" s="101">
        <v>0.0</v>
      </c>
      <c r="V61" s="101">
        <v>0.0</v>
      </c>
      <c r="W61" s="101">
        <v>0.0</v>
      </c>
      <c r="X61" s="101">
        <v>0.0</v>
      </c>
      <c r="Y61" s="101">
        <v>0.0</v>
      </c>
      <c r="Z61" s="101">
        <v>0.0</v>
      </c>
      <c r="AA61" s="101">
        <v>0.0</v>
      </c>
      <c r="AB61" s="101">
        <v>0.0</v>
      </c>
    </row>
    <row r="62" ht="15.75" customHeight="1">
      <c r="A62" s="101">
        <v>5.0</v>
      </c>
      <c r="B62" s="101">
        <v>810.0</v>
      </c>
      <c r="H62" s="174">
        <v>0.0</v>
      </c>
      <c r="I62" s="101">
        <v>0.0</v>
      </c>
      <c r="J62" s="101">
        <v>0.0</v>
      </c>
      <c r="K62" s="101">
        <v>1.0</v>
      </c>
      <c r="L62" s="101">
        <v>0.0</v>
      </c>
      <c r="M62" s="101">
        <v>0.0</v>
      </c>
      <c r="N62" s="101">
        <v>0.0</v>
      </c>
      <c r="O62" s="101">
        <v>0.0</v>
      </c>
      <c r="P62" s="101">
        <v>0.0</v>
      </c>
      <c r="Q62" s="101">
        <v>0.0</v>
      </c>
      <c r="R62" s="101">
        <v>0.0</v>
      </c>
      <c r="S62" s="101">
        <v>0.0</v>
      </c>
      <c r="T62" s="101">
        <v>0.0</v>
      </c>
      <c r="U62" s="101">
        <v>0.0</v>
      </c>
      <c r="V62" s="101">
        <v>0.0</v>
      </c>
      <c r="W62" s="101">
        <v>0.0</v>
      </c>
      <c r="X62" s="101">
        <v>0.0</v>
      </c>
      <c r="Y62" s="101">
        <v>0.0</v>
      </c>
      <c r="Z62" s="101">
        <v>0.0</v>
      </c>
      <c r="AA62" s="101">
        <v>0.0</v>
      </c>
      <c r="AB62" s="101">
        <v>0.0</v>
      </c>
    </row>
    <row r="63" ht="15.75" customHeight="1">
      <c r="A63" s="101">
        <v>6.0</v>
      </c>
      <c r="B63" s="101">
        <v>880.0</v>
      </c>
      <c r="C63" s="155"/>
      <c r="D63" s="155"/>
      <c r="E63" s="155"/>
      <c r="F63" s="155"/>
      <c r="G63" s="155"/>
      <c r="H63" s="174">
        <v>0.0</v>
      </c>
      <c r="I63" s="101">
        <v>0.0</v>
      </c>
      <c r="J63" s="101">
        <v>0.0</v>
      </c>
      <c r="K63" s="101">
        <v>0.0</v>
      </c>
      <c r="L63" s="101">
        <v>2.0</v>
      </c>
      <c r="M63" s="101">
        <v>0.0</v>
      </c>
      <c r="N63" s="101">
        <v>0.0</v>
      </c>
      <c r="O63" s="101">
        <v>0.0</v>
      </c>
      <c r="P63" s="101">
        <v>0.0</v>
      </c>
      <c r="Q63" s="101">
        <v>0.0</v>
      </c>
      <c r="R63" s="101">
        <v>0.0</v>
      </c>
      <c r="S63" s="101">
        <v>0.0</v>
      </c>
      <c r="T63" s="101">
        <v>0.0</v>
      </c>
      <c r="U63" s="101">
        <v>0.0</v>
      </c>
      <c r="V63" s="101">
        <v>0.0</v>
      </c>
      <c r="W63" s="101">
        <v>0.0</v>
      </c>
      <c r="X63" s="101">
        <v>0.0</v>
      </c>
      <c r="Y63" s="101">
        <v>0.0</v>
      </c>
      <c r="Z63" s="101">
        <v>0.0</v>
      </c>
      <c r="AA63" s="101">
        <v>0.0</v>
      </c>
      <c r="AB63" s="101">
        <v>0.0</v>
      </c>
    </row>
    <row r="64" ht="15.75" customHeight="1">
      <c r="A64" s="101">
        <v>7.0</v>
      </c>
      <c r="B64" s="101">
        <v>840.0</v>
      </c>
      <c r="H64" s="174">
        <v>0.0</v>
      </c>
      <c r="I64" s="101">
        <v>0.0</v>
      </c>
      <c r="J64" s="101">
        <v>0.0</v>
      </c>
      <c r="K64" s="101">
        <v>0.0</v>
      </c>
      <c r="L64" s="101">
        <v>0.0</v>
      </c>
      <c r="M64" s="101">
        <v>1.0</v>
      </c>
      <c r="N64" s="101">
        <v>0.0</v>
      </c>
      <c r="O64" s="101">
        <v>0.0</v>
      </c>
      <c r="P64" s="101">
        <v>0.0</v>
      </c>
      <c r="Q64" s="101">
        <v>0.0</v>
      </c>
      <c r="R64" s="101">
        <v>0.0</v>
      </c>
      <c r="S64" s="101">
        <v>0.0</v>
      </c>
      <c r="T64" s="101">
        <v>0.0</v>
      </c>
      <c r="U64" s="101">
        <v>0.0</v>
      </c>
      <c r="V64" s="101">
        <v>0.0</v>
      </c>
      <c r="W64" s="101">
        <v>0.0</v>
      </c>
      <c r="X64" s="101">
        <v>0.0</v>
      </c>
      <c r="Y64" s="101">
        <v>0.0</v>
      </c>
      <c r="Z64" s="101">
        <v>0.0</v>
      </c>
      <c r="AA64" s="101">
        <v>0.0</v>
      </c>
      <c r="AB64" s="101">
        <v>0.0</v>
      </c>
    </row>
    <row r="65" ht="15.75" customHeight="1">
      <c r="A65" s="101">
        <v>8.0</v>
      </c>
      <c r="B65" s="101">
        <v>880.0</v>
      </c>
      <c r="C65" s="155"/>
      <c r="D65" s="155"/>
      <c r="E65" s="155"/>
      <c r="F65" s="155"/>
      <c r="G65" s="155"/>
      <c r="H65" s="174">
        <v>0.0</v>
      </c>
      <c r="I65" s="101">
        <v>0.0</v>
      </c>
      <c r="J65" s="101">
        <v>0.0</v>
      </c>
      <c r="K65" s="101">
        <v>3.0</v>
      </c>
      <c r="L65" s="101">
        <v>0.0</v>
      </c>
      <c r="M65" s="101">
        <v>0.0</v>
      </c>
      <c r="N65" s="101">
        <v>0.0</v>
      </c>
      <c r="O65" s="101">
        <v>0.0</v>
      </c>
      <c r="P65" s="101">
        <v>0.0</v>
      </c>
      <c r="Q65" s="101">
        <v>0.0</v>
      </c>
      <c r="R65" s="101">
        <v>0.0</v>
      </c>
      <c r="S65" s="101">
        <v>0.0</v>
      </c>
      <c r="T65" s="101">
        <v>0.0</v>
      </c>
      <c r="U65" s="101">
        <v>0.0</v>
      </c>
      <c r="V65" s="101">
        <v>0.0</v>
      </c>
      <c r="W65" s="101">
        <v>0.0</v>
      </c>
      <c r="X65" s="101">
        <v>0.0</v>
      </c>
      <c r="Y65" s="101">
        <v>0.0</v>
      </c>
      <c r="Z65" s="101">
        <v>0.0</v>
      </c>
      <c r="AA65" s="101">
        <v>0.0</v>
      </c>
      <c r="AB65" s="101">
        <v>0.0</v>
      </c>
    </row>
    <row r="66" ht="15.75" customHeight="1">
      <c r="A66" s="101">
        <v>9.0</v>
      </c>
      <c r="B66" s="101">
        <v>840.0</v>
      </c>
      <c r="H66" s="174">
        <v>0.0</v>
      </c>
      <c r="I66" s="101">
        <v>0.0</v>
      </c>
      <c r="J66" s="101">
        <v>0.0</v>
      </c>
      <c r="K66" s="101">
        <v>0.0</v>
      </c>
      <c r="L66" s="101">
        <v>0.0</v>
      </c>
      <c r="M66" s="101">
        <v>1.0</v>
      </c>
      <c r="N66" s="101">
        <v>0.0</v>
      </c>
      <c r="O66" s="101">
        <v>0.0</v>
      </c>
      <c r="P66" s="101">
        <v>0.0</v>
      </c>
      <c r="Q66" s="101">
        <v>0.0</v>
      </c>
      <c r="R66" s="101">
        <v>0.0</v>
      </c>
      <c r="S66" s="101">
        <v>0.0</v>
      </c>
      <c r="T66" s="101">
        <v>0.0</v>
      </c>
      <c r="U66" s="101">
        <v>0.0</v>
      </c>
      <c r="V66" s="101">
        <v>0.0</v>
      </c>
      <c r="W66" s="101">
        <v>0.0</v>
      </c>
      <c r="X66" s="101">
        <v>0.0</v>
      </c>
      <c r="Y66" s="101">
        <v>0.0</v>
      </c>
      <c r="Z66" s="101">
        <v>0.0</v>
      </c>
      <c r="AA66" s="101">
        <v>0.0</v>
      </c>
      <c r="AB66" s="101">
        <v>0.0</v>
      </c>
    </row>
    <row r="67" ht="15.75" customHeight="1">
      <c r="A67" s="101">
        <v>10.0</v>
      </c>
      <c r="B67" s="101">
        <v>930.0</v>
      </c>
      <c r="C67" s="155"/>
      <c r="D67" s="155"/>
      <c r="E67" s="155"/>
      <c r="F67" s="155"/>
      <c r="G67" s="155"/>
      <c r="H67" s="174">
        <v>0.0</v>
      </c>
      <c r="I67" s="101">
        <v>0.0</v>
      </c>
      <c r="J67" s="101">
        <v>0.0</v>
      </c>
      <c r="K67" s="101">
        <v>0.0</v>
      </c>
      <c r="L67" s="101">
        <v>3.0</v>
      </c>
      <c r="M67" s="101">
        <v>0.0</v>
      </c>
      <c r="N67" s="101">
        <v>0.0</v>
      </c>
      <c r="O67" s="101">
        <v>0.0</v>
      </c>
      <c r="P67" s="101">
        <v>0.0</v>
      </c>
      <c r="Q67" s="101">
        <v>0.0</v>
      </c>
      <c r="R67" s="101">
        <v>0.0</v>
      </c>
      <c r="S67" s="101">
        <v>0.0</v>
      </c>
      <c r="T67" s="101">
        <v>0.0</v>
      </c>
      <c r="U67" s="101">
        <v>0.0</v>
      </c>
      <c r="V67" s="101">
        <v>0.0</v>
      </c>
      <c r="W67" s="101">
        <v>0.0</v>
      </c>
      <c r="X67" s="101">
        <v>0.0</v>
      </c>
      <c r="Y67" s="101">
        <v>0.0</v>
      </c>
      <c r="Z67" s="101">
        <v>0.0</v>
      </c>
      <c r="AA67" s="101">
        <v>0.0</v>
      </c>
      <c r="AB67" s="101">
        <v>0.0</v>
      </c>
    </row>
    <row r="68" ht="15.75" customHeight="1">
      <c r="A68" s="101">
        <v>11.0</v>
      </c>
      <c r="B68" s="101">
        <v>980.0</v>
      </c>
      <c r="H68" s="174">
        <v>0.0</v>
      </c>
      <c r="I68" s="101">
        <v>0.0</v>
      </c>
      <c r="J68" s="101">
        <v>0.0</v>
      </c>
      <c r="K68" s="101">
        <v>0.0</v>
      </c>
      <c r="L68" s="101">
        <v>0.0</v>
      </c>
      <c r="M68" s="101">
        <v>3.0</v>
      </c>
      <c r="N68" s="101">
        <v>0.0</v>
      </c>
      <c r="O68" s="101">
        <v>0.0</v>
      </c>
      <c r="P68" s="101">
        <v>0.0</v>
      </c>
      <c r="Q68" s="101">
        <v>0.0</v>
      </c>
      <c r="R68" s="101">
        <v>0.0</v>
      </c>
      <c r="S68" s="101">
        <v>0.0</v>
      </c>
      <c r="T68" s="101">
        <v>0.0</v>
      </c>
      <c r="U68" s="101">
        <v>0.0</v>
      </c>
      <c r="V68" s="101">
        <v>0.0</v>
      </c>
      <c r="W68" s="101">
        <v>0.0</v>
      </c>
      <c r="X68" s="101">
        <v>0.0</v>
      </c>
      <c r="Y68" s="101">
        <v>0.0</v>
      </c>
      <c r="Z68" s="101">
        <v>0.0</v>
      </c>
      <c r="AA68" s="101">
        <v>0.0</v>
      </c>
      <c r="AB68" s="101">
        <v>0.0</v>
      </c>
    </row>
    <row r="69" ht="15.75" customHeight="1">
      <c r="A69" s="101">
        <v>12.0</v>
      </c>
      <c r="B69" s="101">
        <v>840.0</v>
      </c>
      <c r="C69" s="155"/>
      <c r="D69" s="155"/>
      <c r="E69" s="155"/>
      <c r="F69" s="155"/>
      <c r="G69" s="155"/>
      <c r="H69" s="174">
        <v>0.0</v>
      </c>
      <c r="I69" s="101">
        <v>0.0</v>
      </c>
      <c r="J69" s="101">
        <v>0.0</v>
      </c>
      <c r="K69" s="101">
        <v>2.0</v>
      </c>
      <c r="L69" s="101">
        <v>0.0</v>
      </c>
      <c r="M69" s="101">
        <v>0.0</v>
      </c>
      <c r="N69" s="101">
        <v>0.0</v>
      </c>
      <c r="O69" s="101">
        <v>0.0</v>
      </c>
      <c r="P69" s="101">
        <v>0.0</v>
      </c>
      <c r="Q69" s="101">
        <v>0.0</v>
      </c>
      <c r="R69" s="101">
        <v>0.0</v>
      </c>
      <c r="S69" s="101">
        <v>0.0</v>
      </c>
      <c r="T69" s="101">
        <v>0.0</v>
      </c>
      <c r="U69" s="101">
        <v>0.0</v>
      </c>
      <c r="V69" s="101">
        <v>0.0</v>
      </c>
      <c r="W69" s="101">
        <v>0.0</v>
      </c>
      <c r="X69" s="101">
        <v>0.0</v>
      </c>
      <c r="Y69" s="101">
        <v>0.0</v>
      </c>
      <c r="Z69" s="101">
        <v>0.0</v>
      </c>
      <c r="AA69" s="101">
        <v>0.0</v>
      </c>
      <c r="AB69" s="101">
        <v>0.0</v>
      </c>
    </row>
    <row r="70" ht="15.75" customHeight="1">
      <c r="A70" s="101">
        <v>13.0</v>
      </c>
      <c r="B70" s="101">
        <v>1110.0</v>
      </c>
      <c r="H70" s="174">
        <v>0.0</v>
      </c>
      <c r="I70" s="101">
        <v>0.0</v>
      </c>
      <c r="J70" s="101">
        <v>0.0</v>
      </c>
      <c r="K70" s="101">
        <v>0.0</v>
      </c>
      <c r="L70" s="101">
        <v>0.0</v>
      </c>
      <c r="M70" s="101">
        <v>5.0</v>
      </c>
      <c r="N70" s="101">
        <v>0.0</v>
      </c>
      <c r="O70" s="101">
        <v>0.0</v>
      </c>
      <c r="P70" s="101">
        <v>0.0</v>
      </c>
      <c r="Q70" s="101">
        <v>0.0</v>
      </c>
      <c r="R70" s="101">
        <v>0.0</v>
      </c>
      <c r="S70" s="101">
        <v>0.0</v>
      </c>
      <c r="T70" s="101">
        <v>0.0</v>
      </c>
      <c r="U70" s="101">
        <v>0.0</v>
      </c>
      <c r="V70" s="101">
        <v>0.0</v>
      </c>
      <c r="W70" s="101">
        <v>0.0</v>
      </c>
      <c r="X70" s="101">
        <v>0.0</v>
      </c>
      <c r="Y70" s="101">
        <v>0.0</v>
      </c>
      <c r="Z70" s="101">
        <v>0.0</v>
      </c>
      <c r="AA70" s="101">
        <v>0.0</v>
      </c>
      <c r="AB70" s="101">
        <v>0.0</v>
      </c>
    </row>
    <row r="71" ht="15.75" customHeight="1">
      <c r="A71" s="101">
        <v>14.0</v>
      </c>
      <c r="B71" s="101">
        <v>830.0</v>
      </c>
      <c r="C71" s="155"/>
      <c r="D71" s="155"/>
      <c r="E71" s="155"/>
      <c r="F71" s="155"/>
      <c r="G71" s="155"/>
      <c r="H71" s="174">
        <v>50.0</v>
      </c>
      <c r="I71" s="101">
        <v>0.0</v>
      </c>
      <c r="J71" s="101">
        <v>0.0</v>
      </c>
      <c r="K71" s="101">
        <v>0.0</v>
      </c>
      <c r="L71" s="101">
        <v>0.0</v>
      </c>
      <c r="M71" s="101">
        <v>0.0</v>
      </c>
      <c r="N71" s="101">
        <v>0.0</v>
      </c>
      <c r="O71" s="101">
        <v>0.0</v>
      </c>
      <c r="P71" s="101">
        <v>0.0</v>
      </c>
      <c r="Q71" s="101">
        <v>0.0</v>
      </c>
      <c r="R71" s="101">
        <v>0.0</v>
      </c>
      <c r="S71" s="101">
        <v>0.0</v>
      </c>
      <c r="T71" s="101">
        <v>0.0</v>
      </c>
      <c r="U71" s="101">
        <v>0.0</v>
      </c>
      <c r="V71" s="101">
        <v>0.0</v>
      </c>
      <c r="W71" s="101">
        <v>0.0</v>
      </c>
      <c r="X71" s="101">
        <v>0.0</v>
      </c>
      <c r="Y71" s="101">
        <v>0.0</v>
      </c>
      <c r="Z71" s="101">
        <v>0.0</v>
      </c>
      <c r="AA71" s="101">
        <v>0.0</v>
      </c>
      <c r="AB71" s="101">
        <v>0.0</v>
      </c>
    </row>
    <row r="72" ht="15.75" customHeight="1">
      <c r="A72" s="101">
        <v>15.0</v>
      </c>
      <c r="B72" s="101">
        <v>880.0</v>
      </c>
      <c r="H72" s="174">
        <v>0.0</v>
      </c>
      <c r="I72" s="101">
        <v>0.0</v>
      </c>
      <c r="J72" s="101">
        <v>0.0</v>
      </c>
      <c r="K72" s="101">
        <v>0.0</v>
      </c>
      <c r="L72" s="101">
        <v>2.0</v>
      </c>
      <c r="M72" s="101">
        <v>0.0</v>
      </c>
      <c r="N72" s="101">
        <v>0.0</v>
      </c>
      <c r="O72" s="101">
        <v>0.0</v>
      </c>
      <c r="P72" s="101">
        <v>0.0</v>
      </c>
      <c r="Q72" s="101">
        <v>0.0</v>
      </c>
      <c r="R72" s="101">
        <v>0.0</v>
      </c>
      <c r="S72" s="101">
        <v>0.0</v>
      </c>
      <c r="T72" s="101">
        <v>0.0</v>
      </c>
      <c r="U72" s="101">
        <v>0.0</v>
      </c>
      <c r="V72" s="101">
        <v>0.0</v>
      </c>
      <c r="W72" s="101">
        <v>0.0</v>
      </c>
      <c r="X72" s="101">
        <v>0.0</v>
      </c>
      <c r="Y72" s="101">
        <v>0.0</v>
      </c>
      <c r="Z72" s="101">
        <v>0.0</v>
      </c>
      <c r="AA72" s="101">
        <v>0.0</v>
      </c>
      <c r="AB72" s="101">
        <v>0.0</v>
      </c>
    </row>
    <row r="73" ht="15.75" customHeight="1"/>
    <row r="74" ht="19.5" customHeight="1">
      <c r="A74" s="91" t="s">
        <v>251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</row>
    <row r="75" ht="90.0" customHeight="1">
      <c r="A75" s="96" t="s">
        <v>249</v>
      </c>
      <c r="B75" s="96" t="s">
        <v>250</v>
      </c>
      <c r="H75" s="173" t="s">
        <v>19</v>
      </c>
      <c r="I75" s="99" t="s">
        <v>5</v>
      </c>
      <c r="J75" s="99" t="s">
        <v>77</v>
      </c>
      <c r="K75" s="99" t="s">
        <v>6</v>
      </c>
      <c r="L75" s="99" t="s">
        <v>7</v>
      </c>
      <c r="M75" s="99" t="s">
        <v>8</v>
      </c>
      <c r="N75" s="99" t="s">
        <v>9</v>
      </c>
      <c r="O75" s="99" t="s">
        <v>10</v>
      </c>
      <c r="P75" s="99" t="s">
        <v>11</v>
      </c>
      <c r="Q75" s="99" t="s">
        <v>12</v>
      </c>
      <c r="R75" s="99" t="s">
        <v>13</v>
      </c>
      <c r="S75" s="99" t="s">
        <v>14</v>
      </c>
      <c r="T75" s="99" t="s">
        <v>15</v>
      </c>
      <c r="U75" s="99" t="s">
        <v>92</v>
      </c>
      <c r="V75" s="99" t="s">
        <v>78</v>
      </c>
      <c r="W75" s="99" t="s">
        <v>79</v>
      </c>
      <c r="X75" s="99" t="s">
        <v>80</v>
      </c>
      <c r="Y75" s="99" t="s">
        <v>81</v>
      </c>
      <c r="Z75" s="99" t="s">
        <v>82</v>
      </c>
      <c r="AA75" s="99" t="s">
        <v>83</v>
      </c>
      <c r="AB75" s="99" t="s">
        <v>84</v>
      </c>
    </row>
    <row r="76" ht="15.75" customHeight="1">
      <c r="A76" s="101">
        <v>1.0</v>
      </c>
      <c r="B76" s="101">
        <v>830.0</v>
      </c>
      <c r="H76" s="174">
        <v>0.0</v>
      </c>
      <c r="I76" s="101">
        <v>0.0</v>
      </c>
      <c r="J76" s="101">
        <v>0.0</v>
      </c>
      <c r="K76" s="101">
        <v>0.0</v>
      </c>
      <c r="L76" s="101">
        <v>0.0</v>
      </c>
      <c r="M76" s="101">
        <v>0.0</v>
      </c>
      <c r="N76" s="101">
        <v>1.0</v>
      </c>
      <c r="O76" s="101">
        <v>0.0</v>
      </c>
      <c r="P76" s="101">
        <v>0.0</v>
      </c>
      <c r="Q76" s="101">
        <v>0.0</v>
      </c>
      <c r="R76" s="101">
        <v>0.0</v>
      </c>
      <c r="S76" s="101">
        <v>0.0</v>
      </c>
      <c r="T76" s="101">
        <v>0.0</v>
      </c>
      <c r="U76" s="101">
        <v>0.0</v>
      </c>
      <c r="V76" s="101">
        <v>0.0</v>
      </c>
      <c r="W76" s="101">
        <v>0.0</v>
      </c>
      <c r="X76" s="101">
        <v>0.0</v>
      </c>
      <c r="Y76" s="101">
        <v>0.0</v>
      </c>
      <c r="Z76" s="101">
        <v>0.0</v>
      </c>
      <c r="AA76" s="101">
        <v>0.0</v>
      </c>
      <c r="AB76" s="101">
        <v>0.0</v>
      </c>
    </row>
    <row r="77" ht="15.75" customHeight="1">
      <c r="A77" s="101">
        <v>2.0</v>
      </c>
      <c r="B77" s="101">
        <v>800.0</v>
      </c>
      <c r="C77" s="155"/>
      <c r="D77" s="155"/>
      <c r="E77" s="155"/>
      <c r="F77" s="155"/>
      <c r="G77" s="155"/>
      <c r="H77" s="174">
        <v>25.0</v>
      </c>
      <c r="I77" s="101">
        <v>0.0</v>
      </c>
      <c r="J77" s="101">
        <v>0.0</v>
      </c>
      <c r="K77" s="101">
        <v>0.0</v>
      </c>
      <c r="L77" s="101">
        <v>0.0</v>
      </c>
      <c r="M77" s="101">
        <v>0.0</v>
      </c>
      <c r="N77" s="101">
        <v>0.0</v>
      </c>
      <c r="O77" s="101">
        <v>0.0</v>
      </c>
      <c r="P77" s="101">
        <v>0.0</v>
      </c>
      <c r="Q77" s="101">
        <v>0.0</v>
      </c>
      <c r="R77" s="101">
        <v>0.0</v>
      </c>
      <c r="S77" s="101">
        <v>0.0</v>
      </c>
      <c r="T77" s="101">
        <v>0.0</v>
      </c>
      <c r="U77" s="101">
        <v>0.0</v>
      </c>
      <c r="V77" s="101">
        <v>0.0</v>
      </c>
      <c r="W77" s="101">
        <v>0.0</v>
      </c>
      <c r="X77" s="101">
        <v>0.0</v>
      </c>
      <c r="Y77" s="101">
        <v>0.0</v>
      </c>
      <c r="Z77" s="101">
        <v>0.0</v>
      </c>
      <c r="AA77" s="101">
        <v>0.0</v>
      </c>
      <c r="AB77" s="101">
        <v>0.0</v>
      </c>
    </row>
    <row r="78" ht="15.75" customHeight="1">
      <c r="A78" s="101">
        <v>3.0</v>
      </c>
      <c r="B78" s="101">
        <v>910.0</v>
      </c>
      <c r="H78" s="174">
        <v>0.0</v>
      </c>
      <c r="I78" s="101">
        <v>0.0</v>
      </c>
      <c r="J78" s="101">
        <v>0.0</v>
      </c>
      <c r="K78" s="101">
        <v>0.0</v>
      </c>
      <c r="L78" s="101">
        <v>0.0</v>
      </c>
      <c r="M78" s="101">
        <v>0.0</v>
      </c>
      <c r="N78" s="101">
        <v>0.0</v>
      </c>
      <c r="O78" s="101">
        <v>2.0</v>
      </c>
      <c r="P78" s="101">
        <v>0.0</v>
      </c>
      <c r="Q78" s="101">
        <v>0.0</v>
      </c>
      <c r="R78" s="101">
        <v>0.0</v>
      </c>
      <c r="S78" s="101">
        <v>0.0</v>
      </c>
      <c r="T78" s="101">
        <v>0.0</v>
      </c>
      <c r="U78" s="101">
        <v>0.0</v>
      </c>
      <c r="V78" s="101">
        <v>0.0</v>
      </c>
      <c r="W78" s="101">
        <v>0.0</v>
      </c>
      <c r="X78" s="101">
        <v>0.0</v>
      </c>
      <c r="Y78" s="101">
        <v>0.0</v>
      </c>
      <c r="Z78" s="101">
        <v>0.0</v>
      </c>
      <c r="AA78" s="101">
        <v>0.0</v>
      </c>
      <c r="AB78" s="101">
        <v>0.0</v>
      </c>
    </row>
    <row r="79" ht="15.75" customHeight="1">
      <c r="A79" s="101">
        <v>4.0</v>
      </c>
      <c r="B79" s="101">
        <v>940.0</v>
      </c>
      <c r="C79" s="155"/>
      <c r="D79" s="155"/>
      <c r="E79" s="155"/>
      <c r="F79" s="155"/>
      <c r="G79" s="155"/>
      <c r="H79" s="174">
        <v>0.0</v>
      </c>
      <c r="I79" s="101">
        <v>0.0</v>
      </c>
      <c r="J79" s="101">
        <v>0.0</v>
      </c>
      <c r="K79" s="101">
        <v>0.0</v>
      </c>
      <c r="L79" s="101">
        <v>0.0</v>
      </c>
      <c r="M79" s="101">
        <v>0.0</v>
      </c>
      <c r="N79" s="101">
        <v>0.0</v>
      </c>
      <c r="O79" s="101">
        <v>0.0</v>
      </c>
      <c r="P79" s="101">
        <v>1.0</v>
      </c>
      <c r="Q79" s="101">
        <v>0.0</v>
      </c>
      <c r="R79" s="101">
        <v>0.0</v>
      </c>
      <c r="S79" s="101">
        <v>0.0</v>
      </c>
      <c r="T79" s="101">
        <v>0.0</v>
      </c>
      <c r="U79" s="101">
        <v>0.0</v>
      </c>
      <c r="V79" s="101">
        <v>0.0</v>
      </c>
      <c r="W79" s="101">
        <v>0.0</v>
      </c>
      <c r="X79" s="101">
        <v>0.0</v>
      </c>
      <c r="Y79" s="101">
        <v>0.0</v>
      </c>
      <c r="Z79" s="101">
        <v>0.0</v>
      </c>
      <c r="AA79" s="101">
        <v>0.0</v>
      </c>
      <c r="AB79" s="101">
        <v>0.0</v>
      </c>
    </row>
    <row r="80" ht="15.75" customHeight="1">
      <c r="A80" s="101">
        <v>5.0</v>
      </c>
      <c r="B80" s="101">
        <v>910.0</v>
      </c>
      <c r="H80" s="174">
        <v>0.0</v>
      </c>
      <c r="I80" s="101">
        <v>0.0</v>
      </c>
      <c r="J80" s="101">
        <v>0.0</v>
      </c>
      <c r="K80" s="101">
        <v>0.0</v>
      </c>
      <c r="L80" s="101">
        <v>0.0</v>
      </c>
      <c r="M80" s="101">
        <v>0.0</v>
      </c>
      <c r="N80" s="101">
        <v>0.0</v>
      </c>
      <c r="O80" s="101">
        <v>2.0</v>
      </c>
      <c r="P80" s="101">
        <v>0.0</v>
      </c>
      <c r="Q80" s="101">
        <v>0.0</v>
      </c>
      <c r="R80" s="101">
        <v>0.0</v>
      </c>
      <c r="S80" s="101">
        <v>0.0</v>
      </c>
      <c r="T80" s="101">
        <v>0.0</v>
      </c>
      <c r="U80" s="101">
        <v>0.0</v>
      </c>
      <c r="V80" s="101">
        <v>0.0</v>
      </c>
      <c r="W80" s="101">
        <v>0.0</v>
      </c>
      <c r="X80" s="101">
        <v>0.0</v>
      </c>
      <c r="Y80" s="101">
        <v>0.0</v>
      </c>
      <c r="Z80" s="101">
        <v>0.0</v>
      </c>
      <c r="AA80" s="101">
        <v>0.0</v>
      </c>
      <c r="AB80" s="101">
        <v>0.0</v>
      </c>
    </row>
    <row r="81" ht="15.75" customHeight="1">
      <c r="A81" s="101">
        <v>6.0</v>
      </c>
      <c r="B81" s="101">
        <v>880.0</v>
      </c>
      <c r="C81" s="155"/>
      <c r="D81" s="155"/>
      <c r="E81" s="155"/>
      <c r="F81" s="155"/>
      <c r="G81" s="155"/>
      <c r="H81" s="174">
        <v>0.0</v>
      </c>
      <c r="I81" s="101">
        <v>0.0</v>
      </c>
      <c r="J81" s="101">
        <v>0.0</v>
      </c>
      <c r="K81" s="101">
        <v>0.0</v>
      </c>
      <c r="L81" s="101">
        <v>0.0</v>
      </c>
      <c r="M81" s="101">
        <v>0.0</v>
      </c>
      <c r="N81" s="101">
        <v>2.0</v>
      </c>
      <c r="O81" s="101">
        <v>0.0</v>
      </c>
      <c r="P81" s="101">
        <v>0.0</v>
      </c>
      <c r="Q81" s="101">
        <v>0.0</v>
      </c>
      <c r="R81" s="101">
        <v>0.0</v>
      </c>
      <c r="S81" s="101">
        <v>0.0</v>
      </c>
      <c r="T81" s="101">
        <v>0.0</v>
      </c>
      <c r="U81" s="101">
        <v>0.0</v>
      </c>
      <c r="V81" s="101">
        <v>0.0</v>
      </c>
      <c r="W81" s="101">
        <v>0.0</v>
      </c>
      <c r="X81" s="101">
        <v>0.0</v>
      </c>
      <c r="Y81" s="101">
        <v>0.0</v>
      </c>
      <c r="Z81" s="101">
        <v>0.0</v>
      </c>
      <c r="AA81" s="101">
        <v>0.0</v>
      </c>
      <c r="AB81" s="101">
        <v>0.0</v>
      </c>
    </row>
    <row r="82" ht="15.75" customHeight="1">
      <c r="A82" s="101">
        <v>7.0</v>
      </c>
      <c r="B82" s="101">
        <v>940.0</v>
      </c>
      <c r="H82" s="174">
        <v>0.0</v>
      </c>
      <c r="I82" s="101">
        <v>0.0</v>
      </c>
      <c r="J82" s="101">
        <v>0.0</v>
      </c>
      <c r="K82" s="101">
        <v>0.0</v>
      </c>
      <c r="L82" s="101">
        <v>0.0</v>
      </c>
      <c r="M82" s="101">
        <v>0.0</v>
      </c>
      <c r="N82" s="101">
        <v>0.0</v>
      </c>
      <c r="O82" s="101">
        <v>0.0</v>
      </c>
      <c r="P82" s="101">
        <v>1.0</v>
      </c>
      <c r="Q82" s="101">
        <v>0.0</v>
      </c>
      <c r="R82" s="101">
        <v>0.0</v>
      </c>
      <c r="S82" s="101">
        <v>0.0</v>
      </c>
      <c r="T82" s="101">
        <v>0.0</v>
      </c>
      <c r="U82" s="101">
        <v>0.0</v>
      </c>
      <c r="V82" s="101">
        <v>0.0</v>
      </c>
      <c r="W82" s="101">
        <v>0.0</v>
      </c>
      <c r="X82" s="101">
        <v>0.0</v>
      </c>
      <c r="Y82" s="101">
        <v>0.0</v>
      </c>
      <c r="Z82" s="101">
        <v>0.0</v>
      </c>
      <c r="AA82" s="101">
        <v>0.0</v>
      </c>
      <c r="AB82" s="101">
        <v>0.0</v>
      </c>
    </row>
    <row r="83" ht="15.75" customHeight="1">
      <c r="A83" s="101">
        <v>8.0</v>
      </c>
      <c r="B83" s="101">
        <v>980.0</v>
      </c>
      <c r="C83" s="155"/>
      <c r="D83" s="155"/>
      <c r="E83" s="155"/>
      <c r="F83" s="155"/>
      <c r="G83" s="155"/>
      <c r="H83" s="174">
        <v>0.0</v>
      </c>
      <c r="I83" s="101">
        <v>0.0</v>
      </c>
      <c r="J83" s="101">
        <v>0.0</v>
      </c>
      <c r="K83" s="101">
        <v>0.0</v>
      </c>
      <c r="L83" s="101">
        <v>0.0</v>
      </c>
      <c r="M83" s="101">
        <v>0.0</v>
      </c>
      <c r="N83" s="101">
        <v>0.0</v>
      </c>
      <c r="O83" s="101">
        <v>3.0</v>
      </c>
      <c r="P83" s="101">
        <v>0.0</v>
      </c>
      <c r="Q83" s="101">
        <v>0.0</v>
      </c>
      <c r="R83" s="101">
        <v>0.0</v>
      </c>
      <c r="S83" s="101">
        <v>0.0</v>
      </c>
      <c r="T83" s="101">
        <v>0.0</v>
      </c>
      <c r="U83" s="101">
        <v>0.0</v>
      </c>
      <c r="V83" s="101">
        <v>0.0</v>
      </c>
      <c r="W83" s="101">
        <v>0.0</v>
      </c>
      <c r="X83" s="101">
        <v>0.0</v>
      </c>
      <c r="Y83" s="101">
        <v>0.0</v>
      </c>
      <c r="Z83" s="101">
        <v>0.0</v>
      </c>
      <c r="AA83" s="101">
        <v>0.0</v>
      </c>
      <c r="AB83" s="101">
        <v>0.0</v>
      </c>
    </row>
    <row r="84" ht="15.75" customHeight="1">
      <c r="A84" s="101">
        <v>9.0</v>
      </c>
      <c r="B84" s="101">
        <v>830.0</v>
      </c>
      <c r="H84" s="174">
        <v>0.0</v>
      </c>
      <c r="I84" s="101">
        <v>0.0</v>
      </c>
      <c r="J84" s="101">
        <v>0.0</v>
      </c>
      <c r="K84" s="101">
        <v>0.0</v>
      </c>
      <c r="L84" s="101">
        <v>0.0</v>
      </c>
      <c r="M84" s="101">
        <v>0.0</v>
      </c>
      <c r="N84" s="101">
        <v>1.0</v>
      </c>
      <c r="O84" s="101">
        <v>0.0</v>
      </c>
      <c r="P84" s="101">
        <v>0.0</v>
      </c>
      <c r="Q84" s="101">
        <v>0.0</v>
      </c>
      <c r="R84" s="101">
        <v>0.0</v>
      </c>
      <c r="S84" s="101">
        <v>0.0</v>
      </c>
      <c r="T84" s="101">
        <v>0.0</v>
      </c>
      <c r="U84" s="101">
        <v>0.0</v>
      </c>
      <c r="V84" s="101">
        <v>0.0</v>
      </c>
      <c r="W84" s="101">
        <v>0.0</v>
      </c>
      <c r="X84" s="101">
        <v>0.0</v>
      </c>
      <c r="Y84" s="101">
        <v>0.0</v>
      </c>
      <c r="Z84" s="101">
        <v>0.0</v>
      </c>
      <c r="AA84" s="101">
        <v>0.0</v>
      </c>
      <c r="AB84" s="101">
        <v>0.0</v>
      </c>
    </row>
    <row r="85" ht="15.75" customHeight="1">
      <c r="A85" s="101">
        <v>10.0</v>
      </c>
      <c r="B85" s="101">
        <v>810.0</v>
      </c>
      <c r="C85" s="155"/>
      <c r="D85" s="155"/>
      <c r="E85" s="155"/>
      <c r="F85" s="155"/>
      <c r="G85" s="155"/>
      <c r="H85" s="174">
        <v>35.0</v>
      </c>
      <c r="I85" s="101">
        <v>0.0</v>
      </c>
      <c r="J85" s="101">
        <v>0.0</v>
      </c>
      <c r="K85" s="101">
        <v>0.0</v>
      </c>
      <c r="L85" s="101">
        <v>0.0</v>
      </c>
      <c r="M85" s="101">
        <v>0.0</v>
      </c>
      <c r="N85" s="101">
        <v>0.0</v>
      </c>
      <c r="O85" s="101">
        <v>0.0</v>
      </c>
      <c r="P85" s="101">
        <v>0.0</v>
      </c>
      <c r="Q85" s="101">
        <v>0.0</v>
      </c>
      <c r="R85" s="101">
        <v>0.0</v>
      </c>
      <c r="S85" s="101">
        <v>0.0</v>
      </c>
      <c r="T85" s="101">
        <v>0.0</v>
      </c>
      <c r="U85" s="101">
        <v>0.0</v>
      </c>
      <c r="V85" s="101">
        <v>0.0</v>
      </c>
      <c r="W85" s="101">
        <v>0.0</v>
      </c>
      <c r="X85" s="101">
        <v>0.0</v>
      </c>
      <c r="Y85" s="101">
        <v>0.0</v>
      </c>
      <c r="Z85" s="101">
        <v>0.0</v>
      </c>
      <c r="AA85" s="101">
        <v>0.0</v>
      </c>
      <c r="AB85" s="101">
        <v>0.0</v>
      </c>
    </row>
    <row r="86" ht="15.75" customHeight="1">
      <c r="A86" s="101">
        <v>11.0</v>
      </c>
      <c r="B86" s="101">
        <v>1110.0</v>
      </c>
      <c r="H86" s="174">
        <v>0.0</v>
      </c>
      <c r="I86" s="101">
        <v>0.0</v>
      </c>
      <c r="J86" s="101">
        <v>0.0</v>
      </c>
      <c r="K86" s="101">
        <v>0.0</v>
      </c>
      <c r="L86" s="101">
        <v>0.0</v>
      </c>
      <c r="M86" s="101">
        <v>0.0</v>
      </c>
      <c r="N86" s="101">
        <v>0.0</v>
      </c>
      <c r="O86" s="101">
        <v>0.0</v>
      </c>
      <c r="P86" s="101">
        <v>2.0</v>
      </c>
      <c r="Q86" s="101">
        <v>0.0</v>
      </c>
      <c r="R86" s="101">
        <v>0.0</v>
      </c>
      <c r="S86" s="101">
        <v>0.0</v>
      </c>
      <c r="T86" s="101">
        <v>0.0</v>
      </c>
      <c r="U86" s="101">
        <v>0.0</v>
      </c>
      <c r="V86" s="101">
        <v>0.0</v>
      </c>
      <c r="W86" s="101">
        <v>0.0</v>
      </c>
      <c r="X86" s="101">
        <v>0.0</v>
      </c>
      <c r="Y86" s="101">
        <v>0.0</v>
      </c>
      <c r="Z86" s="101">
        <v>0.0</v>
      </c>
      <c r="AA86" s="101">
        <v>0.0</v>
      </c>
      <c r="AB86" s="101">
        <v>0.0</v>
      </c>
    </row>
    <row r="87" ht="15.75" customHeight="1">
      <c r="A87" s="101">
        <v>12.0</v>
      </c>
      <c r="B87" s="101">
        <v>880.0</v>
      </c>
      <c r="C87" s="155"/>
      <c r="D87" s="155"/>
      <c r="E87" s="155"/>
      <c r="F87" s="155"/>
      <c r="G87" s="155"/>
      <c r="H87" s="174">
        <v>0.0</v>
      </c>
      <c r="I87" s="101">
        <v>0.0</v>
      </c>
      <c r="J87" s="101">
        <v>0.0</v>
      </c>
      <c r="K87" s="101">
        <v>0.0</v>
      </c>
      <c r="L87" s="101">
        <v>0.0</v>
      </c>
      <c r="M87" s="101">
        <v>0.0</v>
      </c>
      <c r="N87" s="101">
        <v>2.0</v>
      </c>
      <c r="O87" s="101">
        <v>0.0</v>
      </c>
      <c r="P87" s="101">
        <v>0.0</v>
      </c>
      <c r="Q87" s="101">
        <v>0.0</v>
      </c>
      <c r="R87" s="101">
        <v>0.0</v>
      </c>
      <c r="S87" s="101">
        <v>0.0</v>
      </c>
      <c r="T87" s="101">
        <v>0.0</v>
      </c>
      <c r="U87" s="101">
        <v>0.0</v>
      </c>
      <c r="V87" s="101">
        <v>0.0</v>
      </c>
      <c r="W87" s="101">
        <v>0.0</v>
      </c>
      <c r="X87" s="101">
        <v>0.0</v>
      </c>
      <c r="Y87" s="101">
        <v>0.0</v>
      </c>
      <c r="Z87" s="101">
        <v>0.0</v>
      </c>
      <c r="AA87" s="101">
        <v>0.0</v>
      </c>
      <c r="AB87" s="101">
        <v>0.0</v>
      </c>
    </row>
    <row r="88" ht="15.75" customHeight="1">
      <c r="A88" s="101">
        <v>13.0</v>
      </c>
      <c r="B88" s="101">
        <v>910.0</v>
      </c>
      <c r="H88" s="174">
        <v>0.0</v>
      </c>
      <c r="I88" s="101">
        <v>0.0</v>
      </c>
      <c r="J88" s="101">
        <v>0.0</v>
      </c>
      <c r="K88" s="101">
        <v>0.0</v>
      </c>
      <c r="L88" s="101">
        <v>0.0</v>
      </c>
      <c r="M88" s="101">
        <v>0.0</v>
      </c>
      <c r="N88" s="101">
        <v>0.0</v>
      </c>
      <c r="O88" s="101">
        <v>2.0</v>
      </c>
      <c r="P88" s="101">
        <v>0.0</v>
      </c>
      <c r="Q88" s="101">
        <v>0.0</v>
      </c>
      <c r="R88" s="101">
        <v>0.0</v>
      </c>
      <c r="S88" s="101">
        <v>0.0</v>
      </c>
      <c r="T88" s="101">
        <v>0.0</v>
      </c>
      <c r="U88" s="101">
        <v>0.0</v>
      </c>
      <c r="V88" s="101">
        <v>0.0</v>
      </c>
      <c r="W88" s="101">
        <v>0.0</v>
      </c>
      <c r="X88" s="101">
        <v>0.0</v>
      </c>
      <c r="Y88" s="101">
        <v>0.0</v>
      </c>
      <c r="Z88" s="101">
        <v>0.0</v>
      </c>
      <c r="AA88" s="101">
        <v>0.0</v>
      </c>
      <c r="AB88" s="101">
        <v>0.0</v>
      </c>
    </row>
    <row r="89" ht="15.75" customHeight="1">
      <c r="A89" s="101">
        <v>14.0</v>
      </c>
      <c r="B89" s="101">
        <v>1110.0</v>
      </c>
      <c r="C89" s="155"/>
      <c r="D89" s="155"/>
      <c r="E89" s="155"/>
      <c r="F89" s="155"/>
      <c r="G89" s="155"/>
      <c r="H89" s="174">
        <v>0.0</v>
      </c>
      <c r="I89" s="101">
        <v>0.0</v>
      </c>
      <c r="J89" s="101">
        <v>0.0</v>
      </c>
      <c r="K89" s="101">
        <v>0.0</v>
      </c>
      <c r="L89" s="101">
        <v>0.0</v>
      </c>
      <c r="M89" s="101">
        <v>0.0</v>
      </c>
      <c r="N89" s="101">
        <v>0.0</v>
      </c>
      <c r="O89" s="101">
        <v>0.0</v>
      </c>
      <c r="P89" s="101">
        <v>2.0</v>
      </c>
      <c r="Q89" s="101">
        <v>0.0</v>
      </c>
      <c r="R89" s="101">
        <v>0.0</v>
      </c>
      <c r="S89" s="101">
        <v>0.0</v>
      </c>
      <c r="T89" s="101">
        <v>0.0</v>
      </c>
      <c r="U89" s="101">
        <v>0.0</v>
      </c>
      <c r="V89" s="101">
        <v>0.0</v>
      </c>
      <c r="W89" s="101">
        <v>0.0</v>
      </c>
      <c r="X89" s="101">
        <v>0.0</v>
      </c>
      <c r="Y89" s="101">
        <v>0.0</v>
      </c>
      <c r="Z89" s="101">
        <v>0.0</v>
      </c>
      <c r="AA89" s="101">
        <v>0.0</v>
      </c>
      <c r="AB89" s="101">
        <v>0.0</v>
      </c>
    </row>
    <row r="90" ht="15.75" customHeight="1">
      <c r="A90" s="101">
        <v>15.0</v>
      </c>
      <c r="B90" s="101">
        <v>840.0</v>
      </c>
      <c r="H90" s="174">
        <v>0.0</v>
      </c>
      <c r="I90" s="101">
        <v>0.0</v>
      </c>
      <c r="J90" s="101">
        <v>0.0</v>
      </c>
      <c r="K90" s="101">
        <v>0.0</v>
      </c>
      <c r="L90" s="101">
        <v>0.0</v>
      </c>
      <c r="M90" s="101">
        <v>0.0</v>
      </c>
      <c r="N90" s="101">
        <v>0.0</v>
      </c>
      <c r="O90" s="101">
        <v>1.0</v>
      </c>
      <c r="P90" s="101">
        <v>0.0</v>
      </c>
      <c r="Q90" s="101">
        <v>0.0</v>
      </c>
      <c r="R90" s="101">
        <v>0.0</v>
      </c>
      <c r="S90" s="101">
        <v>0.0</v>
      </c>
      <c r="T90" s="101">
        <v>0.0</v>
      </c>
      <c r="U90" s="101">
        <v>0.0</v>
      </c>
      <c r="V90" s="101">
        <v>0.0</v>
      </c>
      <c r="W90" s="101">
        <v>0.0</v>
      </c>
      <c r="X90" s="101">
        <v>0.0</v>
      </c>
      <c r="Y90" s="101">
        <v>0.0</v>
      </c>
      <c r="Z90" s="101">
        <v>0.0</v>
      </c>
      <c r="AA90" s="101">
        <v>0.0</v>
      </c>
      <c r="AB90" s="101">
        <v>0.0</v>
      </c>
    </row>
    <row r="91" ht="15.75" customHeight="1"/>
    <row r="92" ht="19.5" customHeight="1">
      <c r="A92" s="91" t="s">
        <v>252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</row>
    <row r="93" ht="90.0" customHeight="1">
      <c r="A93" s="96" t="s">
        <v>249</v>
      </c>
      <c r="B93" s="96" t="s">
        <v>250</v>
      </c>
      <c r="H93" s="173" t="s">
        <v>19</v>
      </c>
      <c r="I93" s="99" t="s">
        <v>5</v>
      </c>
      <c r="J93" s="99" t="s">
        <v>77</v>
      </c>
      <c r="K93" s="99" t="s">
        <v>6</v>
      </c>
      <c r="L93" s="99" t="s">
        <v>7</v>
      </c>
      <c r="M93" s="99" t="s">
        <v>8</v>
      </c>
      <c r="N93" s="99" t="s">
        <v>9</v>
      </c>
      <c r="O93" s="99" t="s">
        <v>10</v>
      </c>
      <c r="P93" s="99" t="s">
        <v>11</v>
      </c>
      <c r="Q93" s="99" t="s">
        <v>12</v>
      </c>
      <c r="R93" s="99" t="s">
        <v>13</v>
      </c>
      <c r="S93" s="99" t="s">
        <v>14</v>
      </c>
      <c r="T93" s="99" t="s">
        <v>15</v>
      </c>
      <c r="U93" s="99" t="s">
        <v>92</v>
      </c>
      <c r="V93" s="99" t="s">
        <v>78</v>
      </c>
      <c r="W93" s="99" t="s">
        <v>79</v>
      </c>
      <c r="X93" s="99" t="s">
        <v>80</v>
      </c>
      <c r="Y93" s="99" t="s">
        <v>81</v>
      </c>
      <c r="Z93" s="99" t="s">
        <v>82</v>
      </c>
      <c r="AA93" s="99" t="s">
        <v>83</v>
      </c>
      <c r="AB93" s="99" t="s">
        <v>84</v>
      </c>
    </row>
    <row r="94" ht="15.75" customHeight="1">
      <c r="A94" s="101">
        <v>1.0</v>
      </c>
      <c r="B94" s="101">
        <v>940.0</v>
      </c>
      <c r="H94" s="174">
        <v>0.0</v>
      </c>
      <c r="I94" s="101">
        <v>0.0</v>
      </c>
      <c r="J94" s="101">
        <v>0.0</v>
      </c>
      <c r="K94" s="101">
        <v>0.0</v>
      </c>
      <c r="L94" s="101">
        <v>0.0</v>
      </c>
      <c r="M94" s="101">
        <v>0.0</v>
      </c>
      <c r="N94" s="101">
        <v>0.0</v>
      </c>
      <c r="O94" s="101">
        <v>0.0</v>
      </c>
      <c r="P94" s="101">
        <v>0.0</v>
      </c>
      <c r="Q94" s="101">
        <v>0.0</v>
      </c>
      <c r="R94" s="101">
        <v>0.0</v>
      </c>
      <c r="S94" s="101">
        <v>10.0</v>
      </c>
      <c r="T94" s="101">
        <v>0.0</v>
      </c>
      <c r="U94" s="101">
        <v>0.0</v>
      </c>
      <c r="V94" s="101">
        <v>0.0</v>
      </c>
      <c r="W94" s="101">
        <v>0.0</v>
      </c>
      <c r="X94" s="101">
        <v>0.0</v>
      </c>
      <c r="Y94" s="101">
        <v>0.0</v>
      </c>
      <c r="Z94" s="101">
        <v>0.0</v>
      </c>
      <c r="AA94" s="101">
        <v>0.0</v>
      </c>
      <c r="AB94" s="101">
        <v>0.0</v>
      </c>
    </row>
    <row r="95" ht="15.75" customHeight="1">
      <c r="A95" s="101">
        <v>2.0</v>
      </c>
      <c r="B95" s="101">
        <v>950.0</v>
      </c>
      <c r="C95" s="155"/>
      <c r="D95" s="155"/>
      <c r="E95" s="155"/>
      <c r="F95" s="155"/>
      <c r="G95" s="155"/>
      <c r="H95" s="174">
        <v>0.0</v>
      </c>
      <c r="I95" s="101">
        <v>0.0</v>
      </c>
      <c r="J95" s="101">
        <v>0.0</v>
      </c>
      <c r="K95" s="101">
        <v>0.0</v>
      </c>
      <c r="L95" s="101">
        <v>0.0</v>
      </c>
      <c r="M95" s="101">
        <v>0.0</v>
      </c>
      <c r="N95" s="101">
        <v>0.0</v>
      </c>
      <c r="O95" s="101">
        <v>0.0</v>
      </c>
      <c r="P95" s="101">
        <v>0.0</v>
      </c>
      <c r="Q95" s="101">
        <v>0.0</v>
      </c>
      <c r="R95" s="101">
        <v>0.0</v>
      </c>
      <c r="S95" s="101">
        <v>0.0</v>
      </c>
      <c r="T95" s="101">
        <v>10.0</v>
      </c>
      <c r="U95" s="101">
        <v>0.0</v>
      </c>
      <c r="V95" s="101">
        <v>0.0</v>
      </c>
      <c r="W95" s="101">
        <v>0.0</v>
      </c>
      <c r="X95" s="101">
        <v>0.0</v>
      </c>
      <c r="Y95" s="101">
        <v>0.0</v>
      </c>
      <c r="Z95" s="101">
        <v>0.0</v>
      </c>
      <c r="AA95" s="101">
        <v>0.0</v>
      </c>
      <c r="AB95" s="101">
        <v>0.0</v>
      </c>
    </row>
    <row r="96" ht="15.75" customHeight="1">
      <c r="A96" s="101">
        <v>3.0</v>
      </c>
      <c r="B96" s="101">
        <v>840.0</v>
      </c>
      <c r="H96" s="174">
        <v>0.0</v>
      </c>
      <c r="I96" s="101">
        <v>0.0</v>
      </c>
      <c r="J96" s="101">
        <v>0.0</v>
      </c>
      <c r="K96" s="101">
        <v>0.0</v>
      </c>
      <c r="L96" s="101">
        <v>0.0</v>
      </c>
      <c r="M96" s="101">
        <v>0.0</v>
      </c>
      <c r="N96" s="101">
        <v>0.0</v>
      </c>
      <c r="O96" s="101">
        <v>0.0</v>
      </c>
      <c r="P96" s="101">
        <v>0.0</v>
      </c>
      <c r="Q96" s="101">
        <v>15.0</v>
      </c>
      <c r="R96" s="101">
        <v>0.0</v>
      </c>
      <c r="S96" s="101">
        <v>0.0</v>
      </c>
      <c r="T96" s="101">
        <v>0.0</v>
      </c>
      <c r="U96" s="101">
        <v>0.0</v>
      </c>
      <c r="V96" s="101">
        <v>0.0</v>
      </c>
      <c r="W96" s="101">
        <v>0.0</v>
      </c>
      <c r="X96" s="101">
        <v>0.0</v>
      </c>
      <c r="Y96" s="101">
        <v>0.0</v>
      </c>
      <c r="Z96" s="101">
        <v>0.0</v>
      </c>
      <c r="AA96" s="101">
        <v>0.0</v>
      </c>
      <c r="AB96" s="101">
        <v>0.0</v>
      </c>
    </row>
    <row r="97" ht="15.75" customHeight="1">
      <c r="A97" s="101">
        <v>4.0</v>
      </c>
      <c r="B97" s="101">
        <v>940.0</v>
      </c>
      <c r="C97" s="155"/>
      <c r="D97" s="155"/>
      <c r="E97" s="155"/>
      <c r="F97" s="155"/>
      <c r="G97" s="155"/>
      <c r="H97" s="174">
        <v>0.0</v>
      </c>
      <c r="I97" s="101">
        <v>0.0</v>
      </c>
      <c r="J97" s="101">
        <v>0.0</v>
      </c>
      <c r="K97" s="101">
        <v>0.0</v>
      </c>
      <c r="L97" s="101">
        <v>0.0</v>
      </c>
      <c r="M97" s="101">
        <v>0.0</v>
      </c>
      <c r="N97" s="101">
        <v>0.0</v>
      </c>
      <c r="O97" s="101">
        <v>0.0</v>
      </c>
      <c r="P97" s="101">
        <v>0.0</v>
      </c>
      <c r="Q97" s="101">
        <v>0.0</v>
      </c>
      <c r="R97" s="101">
        <v>10.0</v>
      </c>
      <c r="S97" s="101">
        <v>0.0</v>
      </c>
      <c r="T97" s="101">
        <v>0.0</v>
      </c>
      <c r="U97" s="101">
        <v>0.0</v>
      </c>
      <c r="V97" s="101">
        <v>0.0</v>
      </c>
      <c r="W97" s="101">
        <v>0.0</v>
      </c>
      <c r="X97" s="101">
        <v>0.0</v>
      </c>
      <c r="Y97" s="101">
        <v>0.0</v>
      </c>
      <c r="Z97" s="101">
        <v>0.0</v>
      </c>
      <c r="AA97" s="101">
        <v>0.0</v>
      </c>
      <c r="AB97" s="101">
        <v>0.0</v>
      </c>
    </row>
    <row r="98" ht="15.75" customHeight="1">
      <c r="A98" s="101">
        <v>5.0</v>
      </c>
      <c r="B98" s="101">
        <v>900.0</v>
      </c>
      <c r="H98" s="174">
        <v>0.0</v>
      </c>
      <c r="I98" s="101">
        <v>0.0</v>
      </c>
      <c r="J98" s="101">
        <v>0.0</v>
      </c>
      <c r="K98" s="101">
        <v>0.0</v>
      </c>
      <c r="L98" s="101">
        <v>0.0</v>
      </c>
      <c r="M98" s="101">
        <v>0.0</v>
      </c>
      <c r="N98" s="101">
        <v>0.0</v>
      </c>
      <c r="O98" s="101">
        <v>0.0</v>
      </c>
      <c r="P98" s="101">
        <v>0.0</v>
      </c>
      <c r="Q98" s="101">
        <v>30.0</v>
      </c>
      <c r="R98" s="101">
        <v>0.0</v>
      </c>
      <c r="S98" s="101">
        <v>0.0</v>
      </c>
      <c r="T98" s="101">
        <v>0.0</v>
      </c>
      <c r="U98" s="101">
        <v>0.0</v>
      </c>
      <c r="V98" s="101">
        <v>0.0</v>
      </c>
      <c r="W98" s="101">
        <v>0.0</v>
      </c>
      <c r="X98" s="101">
        <v>0.0</v>
      </c>
      <c r="Y98" s="101">
        <v>0.0</v>
      </c>
      <c r="Z98" s="101">
        <v>0.0</v>
      </c>
      <c r="AA98" s="101">
        <v>0.0</v>
      </c>
      <c r="AB98" s="101">
        <v>0.0</v>
      </c>
    </row>
    <row r="99" ht="15.75" customHeight="1">
      <c r="A99" s="101">
        <v>6.0</v>
      </c>
      <c r="B99" s="101">
        <v>810.0</v>
      </c>
      <c r="C99" s="155"/>
      <c r="D99" s="155"/>
      <c r="E99" s="155"/>
      <c r="F99" s="155"/>
      <c r="G99" s="155"/>
      <c r="H99" s="174">
        <v>30.0</v>
      </c>
      <c r="I99" s="101">
        <v>0.0</v>
      </c>
      <c r="J99" s="101">
        <v>0.0</v>
      </c>
      <c r="K99" s="101">
        <v>0.0</v>
      </c>
      <c r="L99" s="101">
        <v>0.0</v>
      </c>
      <c r="M99" s="101">
        <v>0.0</v>
      </c>
      <c r="N99" s="101">
        <v>0.0</v>
      </c>
      <c r="O99" s="101">
        <v>0.0</v>
      </c>
      <c r="P99" s="101">
        <v>0.0</v>
      </c>
      <c r="Q99" s="101">
        <v>0.0</v>
      </c>
      <c r="R99" s="101">
        <v>0.0</v>
      </c>
      <c r="S99" s="101">
        <v>0.0</v>
      </c>
      <c r="T99" s="101">
        <v>0.0</v>
      </c>
      <c r="U99" s="101">
        <v>0.0</v>
      </c>
      <c r="V99" s="101">
        <v>0.0</v>
      </c>
      <c r="W99" s="101">
        <v>0.0</v>
      </c>
      <c r="X99" s="101">
        <v>0.0</v>
      </c>
      <c r="Y99" s="101">
        <v>0.0</v>
      </c>
      <c r="Z99" s="101">
        <v>0.0</v>
      </c>
      <c r="AA99" s="101">
        <v>0.0</v>
      </c>
      <c r="AB99" s="101">
        <v>0.0</v>
      </c>
    </row>
    <row r="100" ht="15.75" customHeight="1">
      <c r="A100" s="101">
        <v>7.0</v>
      </c>
      <c r="B100" s="101">
        <v>990.0</v>
      </c>
      <c r="H100" s="174">
        <v>0.0</v>
      </c>
      <c r="I100" s="101">
        <v>0.0</v>
      </c>
      <c r="J100" s="101">
        <v>0.0</v>
      </c>
      <c r="K100" s="101">
        <v>0.0</v>
      </c>
      <c r="L100" s="101">
        <v>0.0</v>
      </c>
      <c r="M100" s="101">
        <v>0.0</v>
      </c>
      <c r="N100" s="101">
        <v>0.0</v>
      </c>
      <c r="O100" s="101">
        <v>0.0</v>
      </c>
      <c r="P100" s="101">
        <v>0.0</v>
      </c>
      <c r="Q100" s="101">
        <v>0.0</v>
      </c>
      <c r="R100" s="101">
        <v>0.0</v>
      </c>
      <c r="S100" s="101">
        <v>15.0</v>
      </c>
      <c r="T100" s="101">
        <v>0.0</v>
      </c>
      <c r="U100" s="101">
        <v>0.0</v>
      </c>
      <c r="V100" s="101">
        <v>0.0</v>
      </c>
      <c r="W100" s="101">
        <v>0.0</v>
      </c>
      <c r="X100" s="101">
        <v>0.0</v>
      </c>
      <c r="Y100" s="101">
        <v>0.0</v>
      </c>
      <c r="Z100" s="101">
        <v>0.0</v>
      </c>
      <c r="AA100" s="101">
        <v>0.0</v>
      </c>
      <c r="AB100" s="101">
        <v>0.0</v>
      </c>
    </row>
    <row r="101" ht="15.75" customHeight="1">
      <c r="A101" s="101">
        <v>8.0</v>
      </c>
      <c r="B101" s="101">
        <v>980.0</v>
      </c>
      <c r="C101" s="155"/>
      <c r="D101" s="155"/>
      <c r="E101" s="155"/>
      <c r="F101" s="155"/>
      <c r="G101" s="155"/>
      <c r="H101" s="174">
        <v>0.0</v>
      </c>
      <c r="I101" s="101">
        <v>0.0</v>
      </c>
      <c r="J101" s="101">
        <v>0.0</v>
      </c>
      <c r="K101" s="101">
        <v>0.0</v>
      </c>
      <c r="L101" s="101">
        <v>0.0</v>
      </c>
      <c r="M101" s="101">
        <v>0.0</v>
      </c>
      <c r="N101" s="101">
        <v>0.0</v>
      </c>
      <c r="O101" s="101">
        <v>0.0</v>
      </c>
      <c r="P101" s="101">
        <v>0.0</v>
      </c>
      <c r="Q101" s="101">
        <v>0.0</v>
      </c>
      <c r="R101" s="101">
        <v>15.0</v>
      </c>
      <c r="S101" s="101">
        <v>0.0</v>
      </c>
      <c r="T101" s="101">
        <v>0.0</v>
      </c>
      <c r="U101" s="101">
        <v>0.0</v>
      </c>
      <c r="V101" s="101">
        <v>0.0</v>
      </c>
      <c r="W101" s="101">
        <v>0.0</v>
      </c>
      <c r="X101" s="101">
        <v>0.0</v>
      </c>
      <c r="Y101" s="101">
        <v>0.0</v>
      </c>
      <c r="Z101" s="101">
        <v>0.0</v>
      </c>
      <c r="AA101" s="101">
        <v>0.0</v>
      </c>
      <c r="AB101" s="101">
        <v>0.0</v>
      </c>
    </row>
    <row r="102" ht="15.75" customHeight="1">
      <c r="A102" s="101">
        <v>9.0</v>
      </c>
      <c r="B102" s="101">
        <v>900.0</v>
      </c>
      <c r="H102" s="174">
        <v>0.0</v>
      </c>
      <c r="I102" s="101">
        <v>0.0</v>
      </c>
      <c r="J102" s="101">
        <v>0.0</v>
      </c>
      <c r="K102" s="101">
        <v>0.0</v>
      </c>
      <c r="L102" s="101">
        <v>0.0</v>
      </c>
      <c r="M102" s="101">
        <v>0.0</v>
      </c>
      <c r="N102" s="101">
        <v>0.0</v>
      </c>
      <c r="O102" s="101">
        <v>0.0</v>
      </c>
      <c r="P102" s="101">
        <v>0.0</v>
      </c>
      <c r="Q102" s="101">
        <v>30.0</v>
      </c>
      <c r="R102" s="101">
        <v>0.0</v>
      </c>
      <c r="S102" s="101">
        <v>0.0</v>
      </c>
      <c r="T102" s="101">
        <v>0.0</v>
      </c>
      <c r="U102" s="101">
        <v>0.0</v>
      </c>
      <c r="V102" s="101">
        <v>0.0</v>
      </c>
      <c r="W102" s="101">
        <v>0.0</v>
      </c>
      <c r="X102" s="101">
        <v>0.0</v>
      </c>
      <c r="Y102" s="101">
        <v>0.0</v>
      </c>
      <c r="Z102" s="101">
        <v>0.0</v>
      </c>
      <c r="AA102" s="101">
        <v>0.0</v>
      </c>
      <c r="AB102" s="101">
        <v>0.0</v>
      </c>
    </row>
    <row r="103" ht="15.75" customHeight="1">
      <c r="A103" s="101">
        <v>10.0</v>
      </c>
      <c r="B103" s="101">
        <v>950.0</v>
      </c>
      <c r="C103" s="155"/>
      <c r="D103" s="155"/>
      <c r="E103" s="155"/>
      <c r="F103" s="155"/>
      <c r="G103" s="155"/>
      <c r="H103" s="174">
        <v>0.0</v>
      </c>
      <c r="I103" s="101">
        <v>0.0</v>
      </c>
      <c r="J103" s="101">
        <v>0.0</v>
      </c>
      <c r="K103" s="101">
        <v>0.0</v>
      </c>
      <c r="L103" s="101">
        <v>0.0</v>
      </c>
      <c r="M103" s="101">
        <v>0.0</v>
      </c>
      <c r="N103" s="101">
        <v>0.0</v>
      </c>
      <c r="O103" s="101">
        <v>0.0</v>
      </c>
      <c r="P103" s="101">
        <v>0.0</v>
      </c>
      <c r="Q103" s="101">
        <v>0.0</v>
      </c>
      <c r="R103" s="101">
        <v>0.0</v>
      </c>
      <c r="S103" s="101">
        <v>0.0</v>
      </c>
      <c r="T103" s="101">
        <v>10.0</v>
      </c>
      <c r="U103" s="101">
        <v>0.0</v>
      </c>
      <c r="V103" s="101">
        <v>0.0</v>
      </c>
      <c r="W103" s="101">
        <v>0.0</v>
      </c>
      <c r="X103" s="101">
        <v>0.0</v>
      </c>
      <c r="Y103" s="101">
        <v>0.0</v>
      </c>
      <c r="Z103" s="101">
        <v>0.0</v>
      </c>
      <c r="AA103" s="101">
        <v>0.0</v>
      </c>
      <c r="AB103" s="101">
        <v>0.0</v>
      </c>
    </row>
    <row r="104" ht="15.75" customHeight="1">
      <c r="A104" s="101">
        <v>11.0</v>
      </c>
      <c r="B104" s="101">
        <v>990.0</v>
      </c>
      <c r="H104" s="174">
        <v>0.0</v>
      </c>
      <c r="I104" s="101">
        <v>0.0</v>
      </c>
      <c r="J104" s="101">
        <v>0.0</v>
      </c>
      <c r="K104" s="101">
        <v>0.0</v>
      </c>
      <c r="L104" s="101">
        <v>0.0</v>
      </c>
      <c r="M104" s="101">
        <v>0.0</v>
      </c>
      <c r="N104" s="101">
        <v>0.0</v>
      </c>
      <c r="O104" s="101">
        <v>0.0</v>
      </c>
      <c r="P104" s="101">
        <v>0.0</v>
      </c>
      <c r="Q104" s="101">
        <v>0.0</v>
      </c>
      <c r="R104" s="101">
        <v>0.0</v>
      </c>
      <c r="S104" s="101">
        <v>15.0</v>
      </c>
      <c r="T104" s="101">
        <v>0.0</v>
      </c>
      <c r="U104" s="101">
        <v>0.0</v>
      </c>
      <c r="V104" s="101">
        <v>0.0</v>
      </c>
      <c r="W104" s="101">
        <v>0.0</v>
      </c>
      <c r="X104" s="101">
        <v>0.0</v>
      </c>
      <c r="Y104" s="101">
        <v>0.0</v>
      </c>
      <c r="Z104" s="101">
        <v>0.0</v>
      </c>
      <c r="AA104" s="101">
        <v>0.0</v>
      </c>
      <c r="AB104" s="101">
        <v>0.0</v>
      </c>
    </row>
    <row r="105" ht="15.75" customHeight="1">
      <c r="A105" s="101">
        <v>12.0</v>
      </c>
      <c r="B105" s="101">
        <v>830.0</v>
      </c>
      <c r="C105" s="155"/>
      <c r="D105" s="155"/>
      <c r="E105" s="155"/>
      <c r="F105" s="155"/>
      <c r="G105" s="155"/>
      <c r="H105" s="174">
        <v>50.0</v>
      </c>
      <c r="I105" s="101">
        <v>0.0</v>
      </c>
      <c r="J105" s="101">
        <v>0.0</v>
      </c>
      <c r="K105" s="101">
        <v>0.0</v>
      </c>
      <c r="L105" s="101">
        <v>0.0</v>
      </c>
      <c r="M105" s="101">
        <v>0.0</v>
      </c>
      <c r="N105" s="101">
        <v>0.0</v>
      </c>
      <c r="O105" s="101">
        <v>0.0</v>
      </c>
      <c r="P105" s="101">
        <v>0.0</v>
      </c>
      <c r="Q105" s="101">
        <v>0.0</v>
      </c>
      <c r="R105" s="101">
        <v>0.0</v>
      </c>
      <c r="S105" s="101">
        <v>0.0</v>
      </c>
      <c r="T105" s="101">
        <v>0.0</v>
      </c>
      <c r="U105" s="101">
        <v>0.0</v>
      </c>
      <c r="V105" s="101">
        <v>0.0</v>
      </c>
      <c r="W105" s="101">
        <v>0.0</v>
      </c>
      <c r="X105" s="101">
        <v>0.0</v>
      </c>
      <c r="Y105" s="101">
        <v>0.0</v>
      </c>
      <c r="Z105" s="101">
        <v>0.0</v>
      </c>
      <c r="AA105" s="101">
        <v>0.0</v>
      </c>
      <c r="AB105" s="101">
        <v>0.0</v>
      </c>
    </row>
    <row r="106" ht="15.75" customHeight="1">
      <c r="A106" s="101">
        <v>13.0</v>
      </c>
      <c r="B106" s="101">
        <v>940.0</v>
      </c>
      <c r="H106" s="174">
        <v>0.0</v>
      </c>
      <c r="I106" s="101">
        <v>0.0</v>
      </c>
      <c r="J106" s="101">
        <v>0.0</v>
      </c>
      <c r="K106" s="101">
        <v>0.0</v>
      </c>
      <c r="L106" s="101">
        <v>0.0</v>
      </c>
      <c r="M106" s="101">
        <v>0.0</v>
      </c>
      <c r="N106" s="101">
        <v>0.0</v>
      </c>
      <c r="O106" s="101">
        <v>0.0</v>
      </c>
      <c r="P106" s="101">
        <v>0.0</v>
      </c>
      <c r="Q106" s="101">
        <v>0.0</v>
      </c>
      <c r="R106" s="101">
        <v>10.0</v>
      </c>
      <c r="S106" s="101">
        <v>0.0</v>
      </c>
      <c r="T106" s="101">
        <v>0.0</v>
      </c>
      <c r="U106" s="101">
        <v>0.0</v>
      </c>
      <c r="V106" s="101">
        <v>0.0</v>
      </c>
      <c r="W106" s="101">
        <v>0.0</v>
      </c>
      <c r="X106" s="101">
        <v>0.0</v>
      </c>
      <c r="Y106" s="101">
        <v>0.0</v>
      </c>
      <c r="Z106" s="101">
        <v>0.0</v>
      </c>
      <c r="AA106" s="101">
        <v>0.0</v>
      </c>
      <c r="AB106" s="101">
        <v>0.0</v>
      </c>
    </row>
    <row r="107" ht="15.75" customHeight="1">
      <c r="A107" s="101">
        <v>14.0</v>
      </c>
      <c r="B107" s="101">
        <v>1040.0</v>
      </c>
      <c r="C107" s="155"/>
      <c r="D107" s="155"/>
      <c r="E107" s="155"/>
      <c r="F107" s="155"/>
      <c r="G107" s="155"/>
      <c r="H107" s="174">
        <v>0.0</v>
      </c>
      <c r="I107" s="101">
        <v>0.0</v>
      </c>
      <c r="J107" s="101">
        <v>0.0</v>
      </c>
      <c r="K107" s="101">
        <v>0.0</v>
      </c>
      <c r="L107" s="101">
        <v>0.0</v>
      </c>
      <c r="M107" s="101">
        <v>0.0</v>
      </c>
      <c r="N107" s="101">
        <v>0.0</v>
      </c>
      <c r="O107" s="101">
        <v>0.0</v>
      </c>
      <c r="P107" s="101">
        <v>0.0</v>
      </c>
      <c r="Q107" s="101">
        <v>0.0</v>
      </c>
      <c r="R107" s="101">
        <v>0.0</v>
      </c>
      <c r="S107" s="101">
        <v>0.0</v>
      </c>
      <c r="T107" s="101">
        <v>15.0</v>
      </c>
      <c r="U107" s="101">
        <v>0.0</v>
      </c>
      <c r="V107" s="101">
        <v>0.0</v>
      </c>
      <c r="W107" s="101">
        <v>0.0</v>
      </c>
      <c r="X107" s="101">
        <v>0.0</v>
      </c>
      <c r="Y107" s="101">
        <v>0.0</v>
      </c>
      <c r="Z107" s="101">
        <v>0.0</v>
      </c>
      <c r="AA107" s="101">
        <v>0.0</v>
      </c>
      <c r="AB107" s="101">
        <v>0.0</v>
      </c>
    </row>
    <row r="108" ht="15.75" customHeight="1">
      <c r="A108" s="101">
        <v>15.0</v>
      </c>
      <c r="B108" s="101">
        <v>1030.0</v>
      </c>
      <c r="H108" s="174">
        <v>0.0</v>
      </c>
      <c r="I108" s="101">
        <v>0.0</v>
      </c>
      <c r="J108" s="101">
        <v>0.0</v>
      </c>
      <c r="K108" s="101">
        <v>0.0</v>
      </c>
      <c r="L108" s="101">
        <v>0.0</v>
      </c>
      <c r="M108" s="101">
        <v>0.0</v>
      </c>
      <c r="N108" s="101">
        <v>0.0</v>
      </c>
      <c r="O108" s="101">
        <v>0.0</v>
      </c>
      <c r="P108" s="101">
        <v>0.0</v>
      </c>
      <c r="Q108" s="101">
        <v>60.0</v>
      </c>
      <c r="R108" s="101">
        <v>0.0</v>
      </c>
      <c r="S108" s="101">
        <v>0.0</v>
      </c>
      <c r="T108" s="101">
        <v>0.0</v>
      </c>
      <c r="U108" s="101">
        <v>0.0</v>
      </c>
      <c r="V108" s="101">
        <v>0.0</v>
      </c>
      <c r="W108" s="101">
        <v>0.0</v>
      </c>
      <c r="X108" s="101">
        <v>0.0</v>
      </c>
      <c r="Y108" s="101">
        <v>0.0</v>
      </c>
      <c r="Z108" s="101">
        <v>0.0</v>
      </c>
      <c r="AA108" s="101">
        <v>0.0</v>
      </c>
      <c r="AB108" s="101">
        <v>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5:AB54">
    <cfRule type="cellIs" dxfId="1" priority="1" operator="greaterThan">
      <formula>0</formula>
    </cfRule>
  </conditionalFormatting>
  <conditionalFormatting sqref="A25:AB54">
    <cfRule type="expression" dxfId="2" priority="2">
      <formula>MOD(INT((ROW()-13)/3),2)=0</formula>
    </cfRule>
  </conditionalFormatting>
  <conditionalFormatting sqref="C58:AB72">
    <cfRule type="cellIs" dxfId="1" priority="3" operator="greaterThan">
      <formula>0</formula>
    </cfRule>
  </conditionalFormatting>
  <conditionalFormatting sqref="A58:AB72">
    <cfRule type="expression" dxfId="2" priority="4">
      <formula>ISEVEN($A58)</formula>
    </cfRule>
  </conditionalFormatting>
  <conditionalFormatting sqref="C76:AB90">
    <cfRule type="cellIs" dxfId="1" priority="5" operator="greaterThan">
      <formula>0</formula>
    </cfRule>
  </conditionalFormatting>
  <conditionalFormatting sqref="A76:AB90">
    <cfRule type="expression" dxfId="2" priority="6">
      <formula>ISEVEN($A76)</formula>
    </cfRule>
  </conditionalFormatting>
  <conditionalFormatting sqref="C94:AB108">
    <cfRule type="cellIs" dxfId="1" priority="7" operator="greaterThan">
      <formula>0</formula>
    </cfRule>
  </conditionalFormatting>
  <conditionalFormatting sqref="A94:AB108">
    <cfRule type="expression" dxfId="2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44" width="10.0"/>
    <col customWidth="1" min="45" max="45" width="7.63"/>
    <col customWidth="1" min="46" max="46" width="5.25"/>
    <col customWidth="1" min="47" max="47" width="7.0"/>
  </cols>
  <sheetData>
    <row r="1" ht="21.75" customHeight="1">
      <c r="A1" s="1" t="s">
        <v>30</v>
      </c>
      <c r="AH1" s="130" t="s">
        <v>133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H2" s="131" t="s">
        <v>134</v>
      </c>
      <c r="AI2" s="132" t="s">
        <v>135</v>
      </c>
    </row>
    <row r="3">
      <c r="A3" s="125" t="s">
        <v>164</v>
      </c>
      <c r="B3" s="133">
        <v>3.0</v>
      </c>
      <c r="AH3" s="131" t="s">
        <v>136</v>
      </c>
      <c r="AI3" s="132" t="s">
        <v>137</v>
      </c>
    </row>
    <row r="4">
      <c r="A4" s="125" t="s">
        <v>127</v>
      </c>
      <c r="B4" s="126">
        <v>1.0</v>
      </c>
      <c r="AU4" s="141" t="s">
        <v>253</v>
      </c>
    </row>
    <row r="5">
      <c r="A5" s="125" t="s">
        <v>128</v>
      </c>
      <c r="B5" s="126">
        <v>17.0</v>
      </c>
      <c r="AH5" s="134" t="s">
        <v>138</v>
      </c>
      <c r="AI5" s="134" t="s">
        <v>139</v>
      </c>
      <c r="AJ5" s="134" t="s">
        <v>140</v>
      </c>
      <c r="AK5" s="134" t="s">
        <v>141</v>
      </c>
      <c r="AL5" s="134" t="s">
        <v>142</v>
      </c>
      <c r="AM5" s="134" t="s">
        <v>143</v>
      </c>
      <c r="AN5" s="134" t="s">
        <v>144</v>
      </c>
      <c r="AO5" s="134" t="s">
        <v>145</v>
      </c>
      <c r="AP5" s="134" t="s">
        <v>146</v>
      </c>
      <c r="AQ5" s="134" t="s">
        <v>147</v>
      </c>
      <c r="AR5" s="134" t="s">
        <v>148</v>
      </c>
      <c r="AT5" s="142">
        <v>1.0</v>
      </c>
      <c r="AU5" s="175">
        <f t="shared" ref="AU5:AU34" si="1">SUM($F$25:$F25)</f>
        <v>80</v>
      </c>
    </row>
    <row r="6">
      <c r="A6" s="125" t="s">
        <v>202</v>
      </c>
      <c r="B6" s="126" t="b">
        <f>TRUE()</f>
        <v>1</v>
      </c>
      <c r="AH6" s="135">
        <f>IF(1&lt;=$B$3,1,"")</f>
        <v>1</v>
      </c>
      <c r="AI6" s="136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U$5:$AU$34,"&lt;="&amp;bal*shr)))</f>
        <v>0</v>
      </c>
      <c r="AJ6" s="137" t="str">
        <f t="array" ref="AJ6">IF($AH6="","",IF(AI6=0,"{}",LET(m,AI6,s,MMULT(SEQUENCE(1,m,1,0),$H$25:$AB$54),"{"&amp;TEXTJOIN(", ",TRUE,IF(s&gt;0,$H$24:$AB$24&amp;": "&amp;ROUND(s,2),""))&amp;"}")))</f>
        <v>{}</v>
      </c>
      <c r="AK6" s="136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U$5:$AU$34,"&lt;="&amp;bal*shr)))</f>
        <v>1</v>
      </c>
      <c r="AL6" s="137" t="str">
        <f t="array" ref="AL6">IF($AH6="","",IF(AK6=0,"{}",LET(m,AK6,s,MMULT(SEQUENCE(1,m,1,0),$H$25:$AB$54),"{"&amp;TEXTJOIN(", ",TRUE,IF(s&gt;0,$H$24:$AB$24&amp;": "&amp;ROUND(s,2),""))&amp;"}")))</f>
        <v>{}</v>
      </c>
      <c r="AM6" s="136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U$5:$AU$34,"&lt;="&amp;bal*shr)))</f>
        <v>2</v>
      </c>
      <c r="AN6" s="137" t="str">
        <f t="array" ref="AN6">IF($AH6="","",IF(AM6=0,"{}",LET(m,AM6,s,MMULT(SEQUENCE(1,m,1,0),$H$25:$AB$54),"{"&amp;TEXTJOIN(", ",TRUE,IF(s&gt;0,$H$24:$AB$24&amp;": "&amp;ROUND(s,2),""))&amp;"}")))</f>
        <v>{}</v>
      </c>
      <c r="AO6" s="136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U$5:$AU$34,"&lt;="&amp;bal*shr)))</f>
        <v>4</v>
      </c>
      <c r="AP6" s="137" t="str">
        <f t="array" ref="AP6">IF($AH6="","",IF(AO6=0,"{}",LET(m,AO6,s,MMULT(SEQUENCE(1,m,1,0),$H$25:$AB$54),"{"&amp;TEXTJOIN(", ",TRUE,IF(s&gt;0,$H$24:$AB$24&amp;": "&amp;ROUND(s,2),""))&amp;"}")))</f>
        <v>{Chuck: 1}</v>
      </c>
      <c r="AQ6" s="136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U$5:$AU$34,"&lt;="&amp;bal*shr)))</f>
        <v>8</v>
      </c>
      <c r="AR6" s="137" t="str">
        <f t="array" ref="AR6">IF($AH6="","",IF(AQ6=0,"{}",LET(m,AQ6,s,MMULT(SEQUENCE(1,m,1,0),$H$25:$AB$54),"{"&amp;TEXTJOIN(", ",TRUE,IF(s&gt;0,$H$24:$AB$24&amp;": "&amp;ROUND(s,2),""))&amp;"}")))</f>
        <v>{Chuck: 1, Unlimited Lives: 30}</v>
      </c>
      <c r="AT6" s="142">
        <v>2.0</v>
      </c>
      <c r="AU6" s="175">
        <f t="shared" si="1"/>
        <v>210</v>
      </c>
    </row>
    <row r="7">
      <c r="A7" s="125" t="s">
        <v>203</v>
      </c>
      <c r="B7" s="126" t="b">
        <f>FALSE()</f>
        <v>0</v>
      </c>
      <c r="AH7" s="135">
        <f>IF(2&lt;=$B$3,2,"")</f>
        <v>2</v>
      </c>
      <c r="AI7" s="136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U$5:$AU$34,"&lt;="&amp;bal*shr)))</f>
        <v>1</v>
      </c>
      <c r="AJ7" s="137" t="str">
        <f t="array" ref="AJ7">IF($AH7="","",IF(AI7=0,"{}",LET(m,AI7,s,MMULT(SEQUENCE(1,m,1,0),$H$25:$AB$54),"{"&amp;TEXTJOIN(", ",TRUE,IF(s&gt;0,$H$24:$AB$24&amp;": "&amp;ROUND(s,2),""))&amp;"}")))</f>
        <v>{}</v>
      </c>
      <c r="AK7" s="136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U$5:$AU$34,"&lt;="&amp;bal*shr)))</f>
        <v>2</v>
      </c>
      <c r="AL7" s="137" t="str">
        <f t="array" ref="AL7">IF($AH7="","",IF(AK7=0,"{}",LET(m,AK7,s,MMULT(SEQUENCE(1,m,1,0),$H$25:$AB$54),"{"&amp;TEXTJOIN(", ",TRUE,IF(s&gt;0,$H$24:$AB$24&amp;": "&amp;ROUND(s,2),""))&amp;"}")))</f>
        <v>{}</v>
      </c>
      <c r="AM7" s="136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U$5:$AU$34,"&lt;="&amp;bal*shr)))</f>
        <v>4</v>
      </c>
      <c r="AN7" s="137" t="str">
        <f t="array" ref="AN7">IF($AH7="","",IF(AM7=0,"{}",LET(m,AM7,s,MMULT(SEQUENCE(1,m,1,0),$H$25:$AB$54),"{"&amp;TEXTJOIN(", ",TRUE,IF(s&gt;0,$H$24:$AB$24&amp;": "&amp;ROUND(s,2),""))&amp;"}")))</f>
        <v>{Chuck: 1}</v>
      </c>
      <c r="AO7" s="136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U$5:$AU$34,"&lt;="&amp;bal*shr)))</f>
        <v>8</v>
      </c>
      <c r="AP7" s="137" t="str">
        <f t="array" ref="AP7">IF($AH7="","",IF(AO7=0,"{}",LET(m,AO7,s,MMULT(SEQUENCE(1,m,1,0),$H$25:$AB$54),"{"&amp;TEXTJOIN(", ",TRUE,IF(s&gt;0,$H$24:$AB$24&amp;": "&amp;ROUND(s,2),""))&amp;"}")))</f>
        <v>{Chuck: 1, Unlimited Lives: 30}</v>
      </c>
      <c r="AQ7" s="136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U$5:$AU$34,"&lt;="&amp;bal*shr)))</f>
        <v>12</v>
      </c>
      <c r="AR7" s="137" t="str">
        <f t="array" ref="AR7">IF($AH7="","",IF(AQ7=0,"{}",LET(m,AQ7,s,MMULT(SEQUENCE(1,m,1,0),$H$25:$AB$54),"{"&amp;TEXTJOIN(", ",TRUE,IF(s&gt;0,$H$24:$AB$24&amp;": "&amp;ROUND(s,2),""))&amp;"}")))</f>
        <v>{Coins: 25, Chuck: 1, Unlimited Lives: 60, Unlimited Red: 15}</v>
      </c>
      <c r="AT7" s="142">
        <v>3.0</v>
      </c>
      <c r="AU7" s="175">
        <f t="shared" si="1"/>
        <v>365</v>
      </c>
    </row>
    <row r="8">
      <c r="A8" s="125" t="s">
        <v>175</v>
      </c>
      <c r="B8" s="172" t="s">
        <v>204</v>
      </c>
      <c r="AH8" s="135">
        <f>IF(3&lt;=$B$3,3,"")</f>
        <v>3</v>
      </c>
      <c r="AI8" s="136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U$5:$AU$34,"&lt;="&amp;bal*shr)))</f>
        <v>1</v>
      </c>
      <c r="AJ8" s="137" t="str">
        <f t="array" ref="AJ8">IF($AH8="","",IF(AI8=0,"{}",LET(m,AI8,s,MMULT(SEQUENCE(1,m,1,0),$H$25:$AB$54),"{"&amp;TEXTJOIN(", ",TRUE,IF(s&gt;0,$H$24:$AB$24&amp;": "&amp;ROUND(s,2),""))&amp;"}")))</f>
        <v>{}</v>
      </c>
      <c r="AK8" s="136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U$5:$AU$34,"&lt;="&amp;bal*shr)))</f>
        <v>2</v>
      </c>
      <c r="AL8" s="137" t="str">
        <f t="array" ref="AL8">IF($AH8="","",IF(AK8=0,"{}",LET(m,AK8,s,MMULT(SEQUENCE(1,m,1,0),$H$25:$AB$54),"{"&amp;TEXTJOIN(", ",TRUE,IF(s&gt;0,$H$24:$AB$24&amp;": "&amp;ROUND(s,2),""))&amp;"}")))</f>
        <v>{}</v>
      </c>
      <c r="AM8" s="136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U$5:$AU$34,"&lt;="&amp;bal*shr)))</f>
        <v>6</v>
      </c>
      <c r="AN8" s="137" t="str">
        <f t="array" ref="AN8">IF($AH8="","",IF(AM8=0,"{}",LET(m,AM8,s,MMULT(SEQUENCE(1,m,1,0),$H$25:$AB$54),"{"&amp;TEXTJOIN(", ",TRUE,IF(s&gt;0,$H$24:$AB$24&amp;": "&amp;ROUND(s,2),""))&amp;"}")))</f>
        <v>{Chuck: 1, Unlimited Lives: 30}</v>
      </c>
      <c r="AO8" s="136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U$5:$AU$34,"&lt;="&amp;bal*shr)))</f>
        <v>10</v>
      </c>
      <c r="AP8" s="137" t="str">
        <f t="array" ref="AP8">IF($AH8="","",IF(AO8=0,"{}",LET(m,AO8,s,MMULT(SEQUENCE(1,m,1,0),$H$25:$AB$54),"{"&amp;TEXTJOIN(", ",TRUE,IF(s&gt;0,$H$24:$AB$24&amp;": "&amp;ROUND(s,2),""))&amp;"}")))</f>
        <v>{Coins: 25, Chuck: 1, Unlimited Lives: 30}</v>
      </c>
      <c r="AQ8" s="136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U$5:$AU$34,"&lt;="&amp;bal*shr)))</f>
        <v>15</v>
      </c>
      <c r="AR8" s="137" t="str">
        <f t="array" ref="AR8">IF($AH8="","",IF(AQ8=0,"{}",LET(m,AQ8,s,MMULT(SEQUENCE(1,m,1,0),$H$25:$AB$54),"{"&amp;TEXTJOIN(", ",TRUE,IF(s&gt;0,$H$24:$AB$24&amp;": "&amp;ROUND(s,2),""))&amp;"}")))</f>
        <v>{Coins: 25, Red: 1, Chuck: 1, Unlimited Lives: 60, Unlimited Red: 15}</v>
      </c>
      <c r="AT8" s="142">
        <v>4.0</v>
      </c>
      <c r="AU8" s="175">
        <f t="shared" si="1"/>
        <v>445</v>
      </c>
    </row>
    <row r="9">
      <c r="A9" s="125" t="s">
        <v>205</v>
      </c>
      <c r="B9" s="126">
        <v>30.0</v>
      </c>
      <c r="AH9" s="135" t="str">
        <f>IF(4&lt;=$B$3,4,"")</f>
        <v/>
      </c>
      <c r="AI9" s="136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U$5:$AU$34,"&lt;="&amp;bal*shr)))</f>
        <v/>
      </c>
      <c r="AJ9" s="137" t="str">
        <f t="array" ref="AJ9">IF($AH9="","",IF(AI9=0,"{}",LET(m,AI9,s,MMULT(SEQUENCE(1,m,1,0),$H$25:$AB$54),"{"&amp;TEXTJOIN(", ",TRUE,IF(s&gt;0,$H$24:$AB$24&amp;": "&amp;ROUND(s,2),""))&amp;"}")))</f>
        <v/>
      </c>
      <c r="AK9" s="136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U$5:$AU$34,"&lt;="&amp;bal*shr)))</f>
        <v/>
      </c>
      <c r="AL9" s="137" t="str">
        <f t="array" ref="AL9">IF($AH9="","",IF(AK9=0,"{}",LET(m,AK9,s,MMULT(SEQUENCE(1,m,1,0),$H$25:$AB$54),"{"&amp;TEXTJOIN(", ",TRUE,IF(s&gt;0,$H$24:$AB$24&amp;": "&amp;ROUND(s,2),""))&amp;"}")))</f>
        <v/>
      </c>
      <c r="AM9" s="136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U$5:$AU$34,"&lt;="&amp;bal*shr)))</f>
        <v/>
      </c>
      <c r="AN9" s="137" t="str">
        <f t="array" ref="AN9">IF($AH9="","",IF(AM9=0,"{}",LET(m,AM9,s,MMULT(SEQUENCE(1,m,1,0),$H$25:$AB$54),"{"&amp;TEXTJOIN(", ",TRUE,IF(s&gt;0,$H$24:$AB$24&amp;": "&amp;ROUND(s,2),""))&amp;"}")))</f>
        <v/>
      </c>
      <c r="AO9" s="136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U$5:$AU$34,"&lt;="&amp;bal*shr)))</f>
        <v/>
      </c>
      <c r="AP9" s="137" t="str">
        <f t="array" ref="AP9">IF($AH9="","",IF(AO9=0,"{}",LET(m,AO9,s,MMULT(SEQUENCE(1,m,1,0),$H$25:$AB$54),"{"&amp;TEXTJOIN(", ",TRUE,IF(s&gt;0,$H$24:$AB$24&amp;": "&amp;ROUND(s,2),""))&amp;"}")))</f>
        <v/>
      </c>
      <c r="AQ9" s="136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U$5:$AU$34,"&lt;="&amp;bal*shr)))</f>
        <v/>
      </c>
      <c r="AR9" s="137" t="str">
        <f t="array" ref="AR9">IF($AH9="","",IF(AQ9=0,"{}",LET(m,AQ9,s,MMULT(SEQUENCE(1,m,1,0),$H$25:$AB$54),"{"&amp;TEXTJOIN(", ",TRUE,IF(s&gt;0,$H$24:$AB$24&amp;": "&amp;ROUND(s,2),""))&amp;"}")))</f>
        <v/>
      </c>
      <c r="AT9" s="142">
        <v>5.0</v>
      </c>
      <c r="AU9" s="175">
        <f t="shared" si="1"/>
        <v>575</v>
      </c>
    </row>
    <row r="10">
      <c r="A10" s="125" t="s">
        <v>206</v>
      </c>
      <c r="B10" s="126">
        <v>10.0</v>
      </c>
      <c r="AH10" s="135" t="str">
        <f>IF(5&lt;=$B$3,5,"")</f>
        <v/>
      </c>
      <c r="AI10" s="136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U$5:$AU$34,"&lt;="&amp;bal*shr)))</f>
        <v/>
      </c>
      <c r="AJ10" s="137" t="str">
        <f t="array" ref="AJ10">IF($AH10="","",IF(AI10=0,"{}",LET(m,AI10,s,MMULT(SEQUENCE(1,m,1,0),$H$25:$AB$54),"{"&amp;TEXTJOIN(", ",TRUE,IF(s&gt;0,$H$24:$AB$24&amp;": "&amp;ROUND(s,2),""))&amp;"}")))</f>
        <v/>
      </c>
      <c r="AK10" s="136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U$5:$AU$34,"&lt;="&amp;bal*shr)))</f>
        <v/>
      </c>
      <c r="AL10" s="137" t="str">
        <f t="array" ref="AL10">IF($AH10="","",IF(AK10=0,"{}",LET(m,AK10,s,MMULT(SEQUENCE(1,m,1,0),$H$25:$AB$54),"{"&amp;TEXTJOIN(", ",TRUE,IF(s&gt;0,$H$24:$AB$24&amp;": "&amp;ROUND(s,2),""))&amp;"}")))</f>
        <v/>
      </c>
      <c r="AM10" s="136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U$5:$AU$34,"&lt;="&amp;bal*shr)))</f>
        <v/>
      </c>
      <c r="AN10" s="137" t="str">
        <f t="array" ref="AN10">IF($AH10="","",IF(AM10=0,"{}",LET(m,AM10,s,MMULT(SEQUENCE(1,m,1,0),$H$25:$AB$54),"{"&amp;TEXTJOIN(", ",TRUE,IF(s&gt;0,$H$24:$AB$24&amp;": "&amp;ROUND(s,2),""))&amp;"}")))</f>
        <v/>
      </c>
      <c r="AO10" s="136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U$5:$AU$34,"&lt;="&amp;bal*shr)))</f>
        <v/>
      </c>
      <c r="AP10" s="137" t="str">
        <f t="array" ref="AP10">IF($AH10="","",IF(AO10=0,"{}",LET(m,AO10,s,MMULT(SEQUENCE(1,m,1,0),$H$25:$AB$54),"{"&amp;TEXTJOIN(", ",TRUE,IF(s&gt;0,$H$24:$AB$24&amp;": "&amp;ROUND(s,2),""))&amp;"}")))</f>
        <v/>
      </c>
      <c r="AQ10" s="136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U$5:$AU$34,"&lt;="&amp;bal*shr)))</f>
        <v/>
      </c>
      <c r="AR10" s="137" t="str">
        <f t="array" ref="AR10">IF($AH10="","",IF(AQ10=0,"{}",LET(m,AQ10,s,MMULT(SEQUENCE(1,m,1,0),$H$25:$AB$54),"{"&amp;TEXTJOIN(", ",TRUE,IF(s&gt;0,$H$24:$AB$24&amp;": "&amp;ROUND(s,2),""))&amp;"}")))</f>
        <v/>
      </c>
      <c r="AT10" s="142">
        <v>6.0</v>
      </c>
      <c r="AU10" s="175">
        <f t="shared" si="1"/>
        <v>735</v>
      </c>
    </row>
    <row r="11">
      <c r="A11" s="125" t="s">
        <v>207</v>
      </c>
      <c r="B11" s="126">
        <v>3.0</v>
      </c>
      <c r="AH11" s="135" t="str">
        <f>IF(6&lt;=$B$3,6,"")</f>
        <v/>
      </c>
      <c r="AI11" s="136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U$5:$AU$34,"&lt;="&amp;bal*shr)))</f>
        <v/>
      </c>
      <c r="AJ11" s="137" t="str">
        <f t="array" ref="AJ11">IF($AH11="","",IF(AI11=0,"{}",LET(m,AI11,s,MMULT(SEQUENCE(1,m,1,0),$H$25:$AB$54),"{"&amp;TEXTJOIN(", ",TRUE,IF(s&gt;0,$H$24:$AB$24&amp;": "&amp;ROUND(s,2),""))&amp;"}")))</f>
        <v/>
      </c>
      <c r="AK11" s="136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U$5:$AU$34,"&lt;="&amp;bal*shr)))</f>
        <v/>
      </c>
      <c r="AL11" s="137" t="str">
        <f t="array" ref="AL11">IF($AH11="","",IF(AK11=0,"{}",LET(m,AK11,s,MMULT(SEQUENCE(1,m,1,0),$H$25:$AB$54),"{"&amp;TEXTJOIN(", ",TRUE,IF(s&gt;0,$H$24:$AB$24&amp;": "&amp;ROUND(s,2),""))&amp;"}")))</f>
        <v/>
      </c>
      <c r="AM11" s="136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U$5:$AU$34,"&lt;="&amp;bal*shr)))</f>
        <v/>
      </c>
      <c r="AN11" s="137" t="str">
        <f t="array" ref="AN11">IF($AH11="","",IF(AM11=0,"{}",LET(m,AM11,s,MMULT(SEQUENCE(1,m,1,0),$H$25:$AB$54),"{"&amp;TEXTJOIN(", ",TRUE,IF(s&gt;0,$H$24:$AB$24&amp;": "&amp;ROUND(s,2),""))&amp;"}")))</f>
        <v/>
      </c>
      <c r="AO11" s="136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U$5:$AU$34,"&lt;="&amp;bal*shr)))</f>
        <v/>
      </c>
      <c r="AP11" s="137" t="str">
        <f t="array" ref="AP11">IF($AH11="","",IF(AO11=0,"{}",LET(m,AO11,s,MMULT(SEQUENCE(1,m,1,0),$H$25:$AB$54),"{"&amp;TEXTJOIN(", ",TRUE,IF(s&gt;0,$H$24:$AB$24&amp;": "&amp;ROUND(s,2),""))&amp;"}")))</f>
        <v/>
      </c>
      <c r="AQ11" s="136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U$5:$AU$34,"&lt;="&amp;bal*shr)))</f>
        <v/>
      </c>
      <c r="AR11" s="137" t="str">
        <f t="array" ref="AR11">IF($AH11="","",IF(AQ11=0,"{}",LET(m,AQ11,s,MMULT(SEQUENCE(1,m,1,0),$H$25:$AB$54),"{"&amp;TEXTJOIN(", ",TRUE,IF(s&gt;0,$H$24:$AB$24&amp;": "&amp;ROUND(s,2),""))&amp;"}")))</f>
        <v/>
      </c>
      <c r="AT11" s="142">
        <v>7.0</v>
      </c>
      <c r="AU11" s="175">
        <f t="shared" si="1"/>
        <v>815</v>
      </c>
    </row>
    <row r="12">
      <c r="A12" s="125" t="s">
        <v>208</v>
      </c>
      <c r="B12" s="126">
        <v>15.0</v>
      </c>
      <c r="AH12" s="135" t="str">
        <f>IF(7&lt;=$B$3,7,"")</f>
        <v/>
      </c>
      <c r="AI12" s="136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U$5:$AU$34,"&lt;="&amp;bal*shr)))</f>
        <v/>
      </c>
      <c r="AJ12" s="137" t="str">
        <f t="array" ref="AJ12">IF($AH12="","",IF(AI12=0,"{}",LET(m,AI12,s,MMULT(SEQUENCE(1,m,1,0),$H$25:$AB$54),"{"&amp;TEXTJOIN(", ",TRUE,IF(s&gt;0,$H$24:$AB$24&amp;": "&amp;ROUND(s,2),""))&amp;"}")))</f>
        <v/>
      </c>
      <c r="AK12" s="136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U$5:$AU$34,"&lt;="&amp;bal*shr)))</f>
        <v/>
      </c>
      <c r="AL12" s="137" t="str">
        <f t="array" ref="AL12">IF($AH12="","",IF(AK12=0,"{}",LET(m,AK12,s,MMULT(SEQUENCE(1,m,1,0),$H$25:$AB$54),"{"&amp;TEXTJOIN(", ",TRUE,IF(s&gt;0,$H$24:$AB$24&amp;": "&amp;ROUND(s,2),""))&amp;"}")))</f>
        <v/>
      </c>
      <c r="AM12" s="136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U$5:$AU$34,"&lt;="&amp;bal*shr)))</f>
        <v/>
      </c>
      <c r="AN12" s="137" t="str">
        <f t="array" ref="AN12">IF($AH12="","",IF(AM12=0,"{}",LET(m,AM12,s,MMULT(SEQUENCE(1,m,1,0),$H$25:$AB$54),"{"&amp;TEXTJOIN(", ",TRUE,IF(s&gt;0,$H$24:$AB$24&amp;": "&amp;ROUND(s,2),""))&amp;"}")))</f>
        <v/>
      </c>
      <c r="AO12" s="136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U$5:$AU$34,"&lt;="&amp;bal*shr)))</f>
        <v/>
      </c>
      <c r="AP12" s="137" t="str">
        <f t="array" ref="AP12">IF($AH12="","",IF(AO12=0,"{}",LET(m,AO12,s,MMULT(SEQUENCE(1,m,1,0),$H$25:$AB$54),"{"&amp;TEXTJOIN(", ",TRUE,IF(s&gt;0,$H$24:$AB$24&amp;": "&amp;ROUND(s,2),""))&amp;"}")))</f>
        <v/>
      </c>
      <c r="AQ12" s="136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U$5:$AU$34,"&lt;="&amp;bal*shr)))</f>
        <v/>
      </c>
      <c r="AR12" s="137" t="str">
        <f t="array" ref="AR12">IF($AH12="","",IF(AQ12=0,"{}",LET(m,AQ12,s,MMULT(SEQUENCE(1,m,1,0),$H$25:$AB$54),"{"&amp;TEXTJOIN(", ",TRUE,IF(s&gt;0,$H$24:$AB$24&amp;": "&amp;ROUND(s,2),""))&amp;"}")))</f>
        <v/>
      </c>
      <c r="AT12" s="142">
        <v>8.0</v>
      </c>
      <c r="AU12" s="175">
        <f t="shared" si="1"/>
        <v>950</v>
      </c>
    </row>
    <row r="13">
      <c r="A13" s="125" t="s">
        <v>209</v>
      </c>
      <c r="B13" s="126" t="s">
        <v>210</v>
      </c>
      <c r="AT13" s="142">
        <v>9.0</v>
      </c>
      <c r="AU13" s="175">
        <f t="shared" si="1"/>
        <v>1115</v>
      </c>
    </row>
    <row r="14">
      <c r="AT14" s="142">
        <v>10.0</v>
      </c>
      <c r="AU14" s="175">
        <f t="shared" si="1"/>
        <v>1280</v>
      </c>
    </row>
    <row r="15" ht="19.5" customHeight="1">
      <c r="A15" s="92" t="s">
        <v>211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T15" s="142">
        <v>11.0</v>
      </c>
      <c r="AU15" s="175">
        <f t="shared" si="1"/>
        <v>1510</v>
      </c>
    </row>
    <row r="16" ht="21.75" customHeight="1">
      <c r="A16" s="96" t="s">
        <v>72</v>
      </c>
      <c r="B16" s="96" t="s">
        <v>212</v>
      </c>
      <c r="AT16" s="142">
        <v>12.0</v>
      </c>
      <c r="AU16" s="175">
        <f t="shared" si="1"/>
        <v>1775</v>
      </c>
    </row>
    <row r="17">
      <c r="A17" s="101">
        <v>1.0</v>
      </c>
      <c r="B17" s="101" t="s">
        <v>213</v>
      </c>
      <c r="AT17" s="142">
        <v>13.0</v>
      </c>
      <c r="AU17" s="175">
        <f t="shared" si="1"/>
        <v>1955</v>
      </c>
    </row>
    <row r="18">
      <c r="A18" s="101">
        <v>2.0</v>
      </c>
      <c r="B18" s="101" t="s">
        <v>214</v>
      </c>
      <c r="AT18" s="142">
        <v>14.0</v>
      </c>
      <c r="AU18" s="175">
        <f t="shared" si="1"/>
        <v>2205</v>
      </c>
    </row>
    <row r="19">
      <c r="A19" s="101">
        <v>3.0</v>
      </c>
      <c r="B19" s="101" t="s">
        <v>215</v>
      </c>
      <c r="AT19" s="142">
        <v>15.0</v>
      </c>
      <c r="AU19" s="175">
        <f t="shared" si="1"/>
        <v>2505</v>
      </c>
    </row>
    <row r="20">
      <c r="A20" s="101">
        <v>4.0</v>
      </c>
      <c r="B20" s="101" t="s">
        <v>216</v>
      </c>
      <c r="AT20" s="142">
        <v>16.0</v>
      </c>
      <c r="AU20" s="175">
        <f t="shared" si="1"/>
        <v>2685</v>
      </c>
    </row>
    <row r="21" ht="15.75" customHeight="1">
      <c r="A21" s="101">
        <v>5.0</v>
      </c>
      <c r="B21" s="101" t="s">
        <v>217</v>
      </c>
      <c r="AT21" s="142">
        <v>17.0</v>
      </c>
      <c r="AU21" s="175">
        <f t="shared" si="1"/>
        <v>2945</v>
      </c>
    </row>
    <row r="22" ht="15.75" customHeight="1">
      <c r="AT22" s="142">
        <v>18.0</v>
      </c>
      <c r="AU22" s="175">
        <f t="shared" si="1"/>
        <v>3245</v>
      </c>
    </row>
    <row r="23" ht="19.5" customHeight="1">
      <c r="A23" s="92" t="s">
        <v>218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T23" s="142">
        <v>19.0</v>
      </c>
      <c r="AU23" s="175">
        <f t="shared" si="1"/>
        <v>3545</v>
      </c>
    </row>
    <row r="24" ht="90.0" customHeight="1">
      <c r="A24" s="96" t="s">
        <v>219</v>
      </c>
      <c r="B24" s="96" t="s">
        <v>220</v>
      </c>
      <c r="C24" s="96" t="s">
        <v>221</v>
      </c>
      <c r="D24" s="96" t="s">
        <v>222</v>
      </c>
      <c r="E24" s="96" t="s">
        <v>223</v>
      </c>
      <c r="F24" s="96" t="s">
        <v>224</v>
      </c>
      <c r="G24" s="97" t="s">
        <v>225</v>
      </c>
      <c r="H24" s="173" t="s">
        <v>19</v>
      </c>
      <c r="I24" s="99" t="s">
        <v>5</v>
      </c>
      <c r="J24" s="99" t="s">
        <v>77</v>
      </c>
      <c r="K24" s="99" t="s">
        <v>6</v>
      </c>
      <c r="L24" s="99" t="s">
        <v>7</v>
      </c>
      <c r="M24" s="99" t="s">
        <v>8</v>
      </c>
      <c r="N24" s="99" t="s">
        <v>9</v>
      </c>
      <c r="O24" s="99" t="s">
        <v>10</v>
      </c>
      <c r="P24" s="99" t="s">
        <v>11</v>
      </c>
      <c r="Q24" s="99" t="s">
        <v>12</v>
      </c>
      <c r="R24" s="99" t="s">
        <v>13</v>
      </c>
      <c r="S24" s="99" t="s">
        <v>14</v>
      </c>
      <c r="T24" s="99" t="s">
        <v>15</v>
      </c>
      <c r="U24" s="99" t="s">
        <v>92</v>
      </c>
      <c r="V24" s="99" t="s">
        <v>78</v>
      </c>
      <c r="W24" s="99" t="s">
        <v>79</v>
      </c>
      <c r="X24" s="99" t="s">
        <v>80</v>
      </c>
      <c r="Y24" s="99" t="s">
        <v>81</v>
      </c>
      <c r="Z24" s="99" t="s">
        <v>82</v>
      </c>
      <c r="AA24" s="99" t="s">
        <v>83</v>
      </c>
      <c r="AB24" s="99" t="s">
        <v>84</v>
      </c>
      <c r="AT24" s="142">
        <v>20.0</v>
      </c>
      <c r="AU24" s="175">
        <f t="shared" si="1"/>
        <v>3920</v>
      </c>
    </row>
    <row r="25" ht="15.75" customHeight="1">
      <c r="A25" s="101">
        <v>1.0</v>
      </c>
      <c r="B25" s="101">
        <v>1.0</v>
      </c>
      <c r="C25" s="146" t="s">
        <v>226</v>
      </c>
      <c r="D25" s="146" t="s">
        <v>227</v>
      </c>
      <c r="E25" s="101">
        <v>0.0</v>
      </c>
      <c r="F25" s="101">
        <v>80.0</v>
      </c>
      <c r="G25" s="102">
        <f t="shared" ref="G25:G54" si="2">A25</f>
        <v>1</v>
      </c>
      <c r="H25" s="174">
        <v>0.0</v>
      </c>
      <c r="I25" s="101">
        <v>0.0</v>
      </c>
      <c r="J25" s="101">
        <v>0.0</v>
      </c>
      <c r="K25" s="101">
        <v>0.0</v>
      </c>
      <c r="L25" s="101">
        <v>0.0</v>
      </c>
      <c r="M25" s="101">
        <v>0.0</v>
      </c>
      <c r="N25" s="101">
        <v>0.0</v>
      </c>
      <c r="O25" s="101">
        <v>0.0</v>
      </c>
      <c r="P25" s="101">
        <v>0.0</v>
      </c>
      <c r="Q25" s="101">
        <v>0.0</v>
      </c>
      <c r="R25" s="101">
        <v>0.0</v>
      </c>
      <c r="S25" s="101">
        <v>0.0</v>
      </c>
      <c r="T25" s="101">
        <v>0.0</v>
      </c>
      <c r="U25" s="101">
        <v>0.0</v>
      </c>
      <c r="V25" s="101">
        <v>0.0</v>
      </c>
      <c r="W25" s="101">
        <v>0.0</v>
      </c>
      <c r="X25" s="101">
        <v>0.0</v>
      </c>
      <c r="Y25" s="101">
        <v>0.0</v>
      </c>
      <c r="Z25" s="101">
        <v>0.0</v>
      </c>
      <c r="AA25" s="101">
        <v>0.0</v>
      </c>
      <c r="AB25" s="101">
        <v>0.0</v>
      </c>
      <c r="AT25" s="142">
        <v>21.0</v>
      </c>
      <c r="AU25" s="175">
        <f t="shared" si="1"/>
        <v>4330</v>
      </c>
    </row>
    <row r="26" ht="15.75" customHeight="1">
      <c r="A26" s="101">
        <v>2.0</v>
      </c>
      <c r="B26" s="101">
        <v>1.0</v>
      </c>
      <c r="C26" s="146" t="s">
        <v>226</v>
      </c>
      <c r="D26" s="146" t="s">
        <v>228</v>
      </c>
      <c r="E26" s="101">
        <v>0.0</v>
      </c>
      <c r="F26" s="101">
        <v>130.0</v>
      </c>
      <c r="G26" s="102">
        <f t="shared" si="2"/>
        <v>2</v>
      </c>
      <c r="H26" s="174">
        <v>0.0</v>
      </c>
      <c r="I26" s="101">
        <v>0.0</v>
      </c>
      <c r="J26" s="101">
        <v>0.0</v>
      </c>
      <c r="K26" s="101">
        <v>0.0</v>
      </c>
      <c r="L26" s="101">
        <v>0.0</v>
      </c>
      <c r="M26" s="101">
        <v>0.0</v>
      </c>
      <c r="N26" s="101">
        <v>0.0</v>
      </c>
      <c r="O26" s="101">
        <v>0.0</v>
      </c>
      <c r="P26" s="101">
        <v>0.0</v>
      </c>
      <c r="Q26" s="101">
        <v>0.0</v>
      </c>
      <c r="R26" s="101">
        <v>0.0</v>
      </c>
      <c r="S26" s="101">
        <v>0.0</v>
      </c>
      <c r="T26" s="101">
        <v>0.0</v>
      </c>
      <c r="U26" s="101">
        <v>0.0</v>
      </c>
      <c r="V26" s="101">
        <v>0.0</v>
      </c>
      <c r="W26" s="101">
        <v>0.0</v>
      </c>
      <c r="X26" s="101">
        <v>0.0</v>
      </c>
      <c r="Y26" s="101">
        <v>0.0</v>
      </c>
      <c r="Z26" s="101">
        <v>0.0</v>
      </c>
      <c r="AA26" s="101">
        <v>0.0</v>
      </c>
      <c r="AB26" s="101">
        <v>0.0</v>
      </c>
      <c r="AT26" s="142">
        <v>22.0</v>
      </c>
      <c r="AU26" s="175">
        <f t="shared" si="1"/>
        <v>4715</v>
      </c>
    </row>
    <row r="27" ht="15.75" customHeight="1">
      <c r="A27" s="101">
        <v>3.0</v>
      </c>
      <c r="B27" s="101">
        <v>1.0</v>
      </c>
      <c r="C27" s="146" t="s">
        <v>226</v>
      </c>
      <c r="D27" s="146" t="s">
        <v>229</v>
      </c>
      <c r="E27" s="101">
        <v>0.0</v>
      </c>
      <c r="F27" s="101">
        <v>155.0</v>
      </c>
      <c r="G27" s="102">
        <f t="shared" si="2"/>
        <v>3</v>
      </c>
      <c r="H27" s="174">
        <v>0.0</v>
      </c>
      <c r="I27" s="101">
        <v>0.0</v>
      </c>
      <c r="J27" s="101">
        <v>0.0</v>
      </c>
      <c r="K27" s="101">
        <v>0.0</v>
      </c>
      <c r="L27" s="101">
        <v>1.0</v>
      </c>
      <c r="M27" s="101">
        <v>0.0</v>
      </c>
      <c r="N27" s="101">
        <v>0.0</v>
      </c>
      <c r="O27" s="101">
        <v>0.0</v>
      </c>
      <c r="P27" s="101">
        <v>0.0</v>
      </c>
      <c r="Q27" s="101">
        <v>0.0</v>
      </c>
      <c r="R27" s="101">
        <v>0.0</v>
      </c>
      <c r="S27" s="101">
        <v>0.0</v>
      </c>
      <c r="T27" s="101">
        <v>0.0</v>
      </c>
      <c r="U27" s="101">
        <v>0.0</v>
      </c>
      <c r="V27" s="101">
        <v>0.0</v>
      </c>
      <c r="W27" s="101">
        <v>0.0</v>
      </c>
      <c r="X27" s="101">
        <v>0.0</v>
      </c>
      <c r="Y27" s="101">
        <v>0.0</v>
      </c>
      <c r="Z27" s="101">
        <v>0.0</v>
      </c>
      <c r="AA27" s="101">
        <v>0.0</v>
      </c>
      <c r="AB27" s="101">
        <v>0.0</v>
      </c>
      <c r="AT27" s="142">
        <v>23.0</v>
      </c>
      <c r="AU27" s="175">
        <f t="shared" si="1"/>
        <v>5190</v>
      </c>
    </row>
    <row r="28" ht="15.75" customHeight="1">
      <c r="A28" s="101">
        <v>4.0</v>
      </c>
      <c r="B28" s="101">
        <v>2.0</v>
      </c>
      <c r="C28" s="146" t="s">
        <v>230</v>
      </c>
      <c r="D28" s="146" t="s">
        <v>231</v>
      </c>
      <c r="E28" s="101">
        <v>2.0</v>
      </c>
      <c r="F28" s="101">
        <v>80.0</v>
      </c>
      <c r="G28" s="102">
        <f t="shared" si="2"/>
        <v>4</v>
      </c>
      <c r="H28" s="174">
        <v>0.0</v>
      </c>
      <c r="I28" s="101">
        <v>0.0</v>
      </c>
      <c r="J28" s="101">
        <v>0.0</v>
      </c>
      <c r="K28" s="101">
        <v>0.0</v>
      </c>
      <c r="L28" s="101">
        <v>0.0</v>
      </c>
      <c r="M28" s="101">
        <v>0.0</v>
      </c>
      <c r="N28" s="101">
        <v>0.0</v>
      </c>
      <c r="O28" s="101">
        <v>0.0</v>
      </c>
      <c r="P28" s="101">
        <v>0.0</v>
      </c>
      <c r="Q28" s="101">
        <v>0.0</v>
      </c>
      <c r="R28" s="101">
        <v>0.0</v>
      </c>
      <c r="S28" s="101">
        <v>0.0</v>
      </c>
      <c r="T28" s="101">
        <v>0.0</v>
      </c>
      <c r="U28" s="101">
        <v>0.0</v>
      </c>
      <c r="V28" s="101">
        <v>0.0</v>
      </c>
      <c r="W28" s="101">
        <v>0.0</v>
      </c>
      <c r="X28" s="101">
        <v>0.0</v>
      </c>
      <c r="Y28" s="101">
        <v>0.0</v>
      </c>
      <c r="Z28" s="101">
        <v>0.0</v>
      </c>
      <c r="AA28" s="101">
        <v>0.0</v>
      </c>
      <c r="AB28" s="101">
        <v>0.0</v>
      </c>
      <c r="AT28" s="142">
        <v>24.0</v>
      </c>
      <c r="AU28" s="175">
        <f t="shared" si="1"/>
        <v>5690</v>
      </c>
    </row>
    <row r="29" ht="15.75" customHeight="1">
      <c r="A29" s="101">
        <v>5.0</v>
      </c>
      <c r="B29" s="101">
        <v>2.0</v>
      </c>
      <c r="C29" s="146" t="s">
        <v>230</v>
      </c>
      <c r="D29" s="146" t="s">
        <v>232</v>
      </c>
      <c r="E29" s="101">
        <v>2.0</v>
      </c>
      <c r="F29" s="101">
        <v>130.0</v>
      </c>
      <c r="G29" s="102">
        <f t="shared" si="2"/>
        <v>5</v>
      </c>
      <c r="H29" s="174">
        <v>0.0</v>
      </c>
      <c r="I29" s="101">
        <v>0.0</v>
      </c>
      <c r="J29" s="101">
        <v>0.0</v>
      </c>
      <c r="K29" s="101">
        <v>0.0</v>
      </c>
      <c r="L29" s="101">
        <v>0.0</v>
      </c>
      <c r="M29" s="101">
        <v>0.0</v>
      </c>
      <c r="N29" s="101">
        <v>0.0</v>
      </c>
      <c r="O29" s="101">
        <v>0.0</v>
      </c>
      <c r="P29" s="101">
        <v>0.0</v>
      </c>
      <c r="Q29" s="101">
        <v>0.0</v>
      </c>
      <c r="R29" s="101">
        <v>0.0</v>
      </c>
      <c r="S29" s="101">
        <v>0.0</v>
      </c>
      <c r="T29" s="101">
        <v>0.0</v>
      </c>
      <c r="U29" s="101">
        <v>0.0</v>
      </c>
      <c r="V29" s="101">
        <v>0.0</v>
      </c>
      <c r="W29" s="101">
        <v>0.0</v>
      </c>
      <c r="X29" s="101">
        <v>0.0</v>
      </c>
      <c r="Y29" s="101">
        <v>0.0</v>
      </c>
      <c r="Z29" s="101">
        <v>0.0</v>
      </c>
      <c r="AA29" s="101">
        <v>0.0</v>
      </c>
      <c r="AB29" s="101">
        <v>0.0</v>
      </c>
      <c r="AT29" s="142">
        <v>25.0</v>
      </c>
      <c r="AU29" s="175">
        <f t="shared" si="1"/>
        <v>6090</v>
      </c>
    </row>
    <row r="30" ht="15.75" customHeight="1">
      <c r="A30" s="101">
        <v>6.0</v>
      </c>
      <c r="B30" s="101">
        <v>2.0</v>
      </c>
      <c r="C30" s="146" t="s">
        <v>230</v>
      </c>
      <c r="D30" s="146" t="s">
        <v>233</v>
      </c>
      <c r="E30" s="101">
        <v>2.0</v>
      </c>
      <c r="F30" s="101">
        <v>160.0</v>
      </c>
      <c r="G30" s="102">
        <f t="shared" si="2"/>
        <v>6</v>
      </c>
      <c r="H30" s="174">
        <v>0.0</v>
      </c>
      <c r="I30" s="101">
        <v>0.0</v>
      </c>
      <c r="J30" s="101">
        <v>0.0</v>
      </c>
      <c r="K30" s="101">
        <v>0.0</v>
      </c>
      <c r="L30" s="101">
        <v>0.0</v>
      </c>
      <c r="M30" s="101">
        <v>0.0</v>
      </c>
      <c r="N30" s="101">
        <v>0.0</v>
      </c>
      <c r="O30" s="101">
        <v>0.0</v>
      </c>
      <c r="P30" s="101">
        <v>0.0</v>
      </c>
      <c r="Q30" s="101">
        <v>30.0</v>
      </c>
      <c r="R30" s="101">
        <v>0.0</v>
      </c>
      <c r="S30" s="101">
        <v>0.0</v>
      </c>
      <c r="T30" s="101">
        <v>0.0</v>
      </c>
      <c r="U30" s="101">
        <v>0.0</v>
      </c>
      <c r="V30" s="101">
        <v>0.0</v>
      </c>
      <c r="W30" s="101">
        <v>0.0</v>
      </c>
      <c r="X30" s="101">
        <v>0.0</v>
      </c>
      <c r="Y30" s="101">
        <v>0.0</v>
      </c>
      <c r="Z30" s="101">
        <v>0.0</v>
      </c>
      <c r="AA30" s="101">
        <v>0.0</v>
      </c>
      <c r="AB30" s="101">
        <v>0.0</v>
      </c>
      <c r="AT30" s="142">
        <v>26.0</v>
      </c>
      <c r="AU30" s="175">
        <f t="shared" si="1"/>
        <v>6570</v>
      </c>
    </row>
    <row r="31" ht="15.75" customHeight="1">
      <c r="A31" s="101">
        <v>7.0</v>
      </c>
      <c r="B31" s="101">
        <v>3.0</v>
      </c>
      <c r="C31" s="146" t="s">
        <v>234</v>
      </c>
      <c r="D31" s="146" t="s">
        <v>227</v>
      </c>
      <c r="E31" s="101">
        <v>4.0</v>
      </c>
      <c r="F31" s="101">
        <v>80.0</v>
      </c>
      <c r="G31" s="102">
        <f t="shared" si="2"/>
        <v>7</v>
      </c>
      <c r="H31" s="174">
        <v>0.0</v>
      </c>
      <c r="I31" s="101">
        <v>0.0</v>
      </c>
      <c r="J31" s="101">
        <v>0.0</v>
      </c>
      <c r="K31" s="101">
        <v>0.0</v>
      </c>
      <c r="L31" s="101">
        <v>0.0</v>
      </c>
      <c r="M31" s="101">
        <v>0.0</v>
      </c>
      <c r="N31" s="101">
        <v>0.0</v>
      </c>
      <c r="O31" s="101">
        <v>0.0</v>
      </c>
      <c r="P31" s="101">
        <v>0.0</v>
      </c>
      <c r="Q31" s="101">
        <v>0.0</v>
      </c>
      <c r="R31" s="101">
        <v>0.0</v>
      </c>
      <c r="S31" s="101">
        <v>0.0</v>
      </c>
      <c r="T31" s="101">
        <v>0.0</v>
      </c>
      <c r="U31" s="101">
        <v>0.0</v>
      </c>
      <c r="V31" s="101">
        <v>0.0</v>
      </c>
      <c r="W31" s="101">
        <v>0.0</v>
      </c>
      <c r="X31" s="101">
        <v>0.0</v>
      </c>
      <c r="Y31" s="101">
        <v>0.0</v>
      </c>
      <c r="Z31" s="101">
        <v>0.0</v>
      </c>
      <c r="AA31" s="101">
        <v>0.0</v>
      </c>
      <c r="AB31" s="101">
        <v>0.0</v>
      </c>
      <c r="AT31" s="142">
        <v>27.0</v>
      </c>
      <c r="AU31" s="175">
        <f t="shared" si="1"/>
        <v>7090</v>
      </c>
    </row>
    <row r="32" ht="15.75" customHeight="1">
      <c r="A32" s="101">
        <v>8.0</v>
      </c>
      <c r="B32" s="101">
        <v>3.0</v>
      </c>
      <c r="C32" s="146" t="s">
        <v>234</v>
      </c>
      <c r="D32" s="146" t="s">
        <v>228</v>
      </c>
      <c r="E32" s="101">
        <v>4.0</v>
      </c>
      <c r="F32" s="101">
        <v>135.0</v>
      </c>
      <c r="G32" s="102">
        <f t="shared" si="2"/>
        <v>8</v>
      </c>
      <c r="H32" s="174">
        <v>0.0</v>
      </c>
      <c r="I32" s="101">
        <v>0.0</v>
      </c>
      <c r="J32" s="101">
        <v>0.0</v>
      </c>
      <c r="K32" s="101">
        <v>0.0</v>
      </c>
      <c r="L32" s="101">
        <v>0.0</v>
      </c>
      <c r="M32" s="101">
        <v>0.0</v>
      </c>
      <c r="N32" s="101">
        <v>0.0</v>
      </c>
      <c r="O32" s="101">
        <v>0.0</v>
      </c>
      <c r="P32" s="101">
        <v>0.0</v>
      </c>
      <c r="Q32" s="101">
        <v>0.0</v>
      </c>
      <c r="R32" s="101">
        <v>0.0</v>
      </c>
      <c r="S32" s="101">
        <v>0.0</v>
      </c>
      <c r="T32" s="101">
        <v>0.0</v>
      </c>
      <c r="U32" s="101">
        <v>0.0</v>
      </c>
      <c r="V32" s="101">
        <v>0.0</v>
      </c>
      <c r="W32" s="101">
        <v>0.0</v>
      </c>
      <c r="X32" s="101">
        <v>0.0</v>
      </c>
      <c r="Y32" s="101">
        <v>0.0</v>
      </c>
      <c r="Z32" s="101">
        <v>0.0</v>
      </c>
      <c r="AA32" s="101">
        <v>0.0</v>
      </c>
      <c r="AB32" s="101">
        <v>0.0</v>
      </c>
      <c r="AT32" s="142">
        <v>28.0</v>
      </c>
      <c r="AU32" s="175">
        <f t="shared" si="1"/>
        <v>7690</v>
      </c>
    </row>
    <row r="33" ht="15.75" customHeight="1">
      <c r="A33" s="101">
        <v>9.0</v>
      </c>
      <c r="B33" s="101">
        <v>3.0</v>
      </c>
      <c r="C33" s="146" t="s">
        <v>234</v>
      </c>
      <c r="D33" s="146" t="s">
        <v>229</v>
      </c>
      <c r="E33" s="101">
        <v>4.0</v>
      </c>
      <c r="F33" s="101">
        <v>165.0</v>
      </c>
      <c r="G33" s="102">
        <f t="shared" si="2"/>
        <v>9</v>
      </c>
      <c r="H33" s="174">
        <v>25.0</v>
      </c>
      <c r="I33" s="101">
        <v>0.0</v>
      </c>
      <c r="J33" s="101">
        <v>0.0</v>
      </c>
      <c r="K33" s="101">
        <v>0.0</v>
      </c>
      <c r="L33" s="101">
        <v>0.0</v>
      </c>
      <c r="M33" s="101">
        <v>0.0</v>
      </c>
      <c r="N33" s="101">
        <v>0.0</v>
      </c>
      <c r="O33" s="101">
        <v>0.0</v>
      </c>
      <c r="P33" s="101">
        <v>0.0</v>
      </c>
      <c r="Q33" s="101">
        <v>0.0</v>
      </c>
      <c r="R33" s="101">
        <v>0.0</v>
      </c>
      <c r="S33" s="101">
        <v>0.0</v>
      </c>
      <c r="T33" s="101">
        <v>0.0</v>
      </c>
      <c r="U33" s="101">
        <v>0.0</v>
      </c>
      <c r="V33" s="101">
        <v>0.0</v>
      </c>
      <c r="W33" s="101">
        <v>0.0</v>
      </c>
      <c r="X33" s="101">
        <v>0.0</v>
      </c>
      <c r="Y33" s="101">
        <v>0.0</v>
      </c>
      <c r="Z33" s="101">
        <v>0.0</v>
      </c>
      <c r="AA33" s="101">
        <v>0.0</v>
      </c>
      <c r="AB33" s="101">
        <v>0.0</v>
      </c>
      <c r="AT33" s="142">
        <v>29.0</v>
      </c>
      <c r="AU33" s="175">
        <f t="shared" si="1"/>
        <v>8290</v>
      </c>
    </row>
    <row r="34" ht="15.75" customHeight="1">
      <c r="A34" s="101">
        <v>10.0</v>
      </c>
      <c r="B34" s="101">
        <v>4.0</v>
      </c>
      <c r="C34" s="146" t="s">
        <v>235</v>
      </c>
      <c r="D34" s="146" t="s">
        <v>227</v>
      </c>
      <c r="E34" s="101">
        <v>6.0</v>
      </c>
      <c r="F34" s="101">
        <v>165.0</v>
      </c>
      <c r="G34" s="102">
        <f t="shared" si="2"/>
        <v>10</v>
      </c>
      <c r="H34" s="174">
        <v>0.0</v>
      </c>
      <c r="I34" s="101">
        <v>0.0</v>
      </c>
      <c r="J34" s="101">
        <v>0.0</v>
      </c>
      <c r="K34" s="101">
        <v>0.0</v>
      </c>
      <c r="L34" s="101">
        <v>0.0</v>
      </c>
      <c r="M34" s="101">
        <v>0.0</v>
      </c>
      <c r="N34" s="101">
        <v>0.0</v>
      </c>
      <c r="O34" s="101">
        <v>0.0</v>
      </c>
      <c r="P34" s="101">
        <v>0.0</v>
      </c>
      <c r="Q34" s="101">
        <v>0.0</v>
      </c>
      <c r="R34" s="101">
        <v>0.0</v>
      </c>
      <c r="S34" s="101">
        <v>0.0</v>
      </c>
      <c r="T34" s="101">
        <v>0.0</v>
      </c>
      <c r="U34" s="101">
        <v>0.0</v>
      </c>
      <c r="V34" s="101">
        <v>0.0</v>
      </c>
      <c r="W34" s="101">
        <v>0.0</v>
      </c>
      <c r="X34" s="101">
        <v>0.0</v>
      </c>
      <c r="Y34" s="101">
        <v>0.0</v>
      </c>
      <c r="Z34" s="101">
        <v>0.0</v>
      </c>
      <c r="AA34" s="101">
        <v>0.0</v>
      </c>
      <c r="AB34" s="101">
        <v>0.0</v>
      </c>
      <c r="AT34" s="142">
        <v>30.0</v>
      </c>
      <c r="AU34" s="175">
        <f t="shared" si="1"/>
        <v>8890</v>
      </c>
    </row>
    <row r="35" ht="15.75" customHeight="1">
      <c r="A35" s="101">
        <v>11.0</v>
      </c>
      <c r="B35" s="101">
        <v>4.0</v>
      </c>
      <c r="C35" s="146" t="s">
        <v>235</v>
      </c>
      <c r="D35" s="146" t="s">
        <v>228</v>
      </c>
      <c r="E35" s="101">
        <v>6.0</v>
      </c>
      <c r="F35" s="101">
        <v>230.0</v>
      </c>
      <c r="G35" s="102">
        <f t="shared" si="2"/>
        <v>11</v>
      </c>
      <c r="H35" s="174">
        <v>0.0</v>
      </c>
      <c r="I35" s="101">
        <v>0.0</v>
      </c>
      <c r="J35" s="101">
        <v>0.0</v>
      </c>
      <c r="K35" s="101">
        <v>0.0</v>
      </c>
      <c r="L35" s="101">
        <v>0.0</v>
      </c>
      <c r="M35" s="101">
        <v>0.0</v>
      </c>
      <c r="N35" s="101">
        <v>0.0</v>
      </c>
      <c r="O35" s="101">
        <v>0.0</v>
      </c>
      <c r="P35" s="101">
        <v>0.0</v>
      </c>
      <c r="Q35" s="101">
        <v>0.0</v>
      </c>
      <c r="R35" s="101">
        <v>0.0</v>
      </c>
      <c r="S35" s="101">
        <v>0.0</v>
      </c>
      <c r="T35" s="101">
        <v>0.0</v>
      </c>
      <c r="U35" s="101">
        <v>0.0</v>
      </c>
      <c r="V35" s="101">
        <v>0.0</v>
      </c>
      <c r="W35" s="101">
        <v>0.0</v>
      </c>
      <c r="X35" s="101">
        <v>0.0</v>
      </c>
      <c r="Y35" s="101">
        <v>0.0</v>
      </c>
      <c r="Z35" s="101">
        <v>0.0</v>
      </c>
      <c r="AA35" s="101">
        <v>0.0</v>
      </c>
      <c r="AB35" s="101">
        <v>0.0</v>
      </c>
    </row>
    <row r="36" ht="15.75" customHeight="1">
      <c r="A36" s="101">
        <v>12.0</v>
      </c>
      <c r="B36" s="101">
        <v>4.0</v>
      </c>
      <c r="C36" s="146" t="s">
        <v>235</v>
      </c>
      <c r="D36" s="146" t="s">
        <v>229</v>
      </c>
      <c r="E36" s="101">
        <v>6.0</v>
      </c>
      <c r="F36" s="101">
        <v>265.0</v>
      </c>
      <c r="G36" s="102">
        <f t="shared" si="2"/>
        <v>12</v>
      </c>
      <c r="H36" s="174">
        <v>0.0</v>
      </c>
      <c r="I36" s="101">
        <v>0.0</v>
      </c>
      <c r="J36" s="101">
        <v>0.0</v>
      </c>
      <c r="K36" s="101">
        <v>0.0</v>
      </c>
      <c r="L36" s="101">
        <v>0.0</v>
      </c>
      <c r="M36" s="101">
        <v>0.0</v>
      </c>
      <c r="N36" s="101">
        <v>0.0</v>
      </c>
      <c r="O36" s="101">
        <v>0.0</v>
      </c>
      <c r="P36" s="101">
        <v>0.0</v>
      </c>
      <c r="Q36" s="101">
        <v>30.0</v>
      </c>
      <c r="R36" s="101">
        <v>15.0</v>
      </c>
      <c r="S36" s="101">
        <v>0.0</v>
      </c>
      <c r="T36" s="101">
        <v>0.0</v>
      </c>
      <c r="U36" s="101">
        <v>0.0</v>
      </c>
      <c r="V36" s="101">
        <v>0.0</v>
      </c>
      <c r="W36" s="101">
        <v>0.0</v>
      </c>
      <c r="X36" s="101">
        <v>0.0</v>
      </c>
      <c r="Y36" s="101">
        <v>0.0</v>
      </c>
      <c r="Z36" s="101">
        <v>0.0</v>
      </c>
      <c r="AA36" s="101">
        <v>0.0</v>
      </c>
      <c r="AB36" s="101">
        <v>0.0</v>
      </c>
      <c r="AT36" s="145" t="s">
        <v>254</v>
      </c>
    </row>
    <row r="37" ht="15.75" customHeight="1">
      <c r="A37" s="101">
        <v>13.0</v>
      </c>
      <c r="B37" s="101">
        <v>5.0</v>
      </c>
      <c r="C37" s="146" t="s">
        <v>236</v>
      </c>
      <c r="D37" s="146" t="s">
        <v>231</v>
      </c>
      <c r="E37" s="101">
        <v>8.0</v>
      </c>
      <c r="F37" s="101">
        <v>180.0</v>
      </c>
      <c r="G37" s="102">
        <f t="shared" si="2"/>
        <v>13</v>
      </c>
      <c r="H37" s="174">
        <v>0.0</v>
      </c>
      <c r="I37" s="101">
        <v>0.0</v>
      </c>
      <c r="J37" s="101">
        <v>0.0</v>
      </c>
      <c r="K37" s="101">
        <v>0.0</v>
      </c>
      <c r="L37" s="101">
        <v>0.0</v>
      </c>
      <c r="M37" s="101">
        <v>0.0</v>
      </c>
      <c r="N37" s="101">
        <v>0.0</v>
      </c>
      <c r="O37" s="101">
        <v>0.0</v>
      </c>
      <c r="P37" s="101">
        <v>0.0</v>
      </c>
      <c r="Q37" s="101">
        <v>0.0</v>
      </c>
      <c r="R37" s="101">
        <v>0.0</v>
      </c>
      <c r="S37" s="101">
        <v>0.0</v>
      </c>
      <c r="T37" s="101">
        <v>0.0</v>
      </c>
      <c r="U37" s="101">
        <v>0.0</v>
      </c>
      <c r="V37" s="101">
        <v>0.0</v>
      </c>
      <c r="W37" s="101">
        <v>0.0</v>
      </c>
      <c r="X37" s="101">
        <v>0.0</v>
      </c>
      <c r="Y37" s="101">
        <v>0.0</v>
      </c>
      <c r="Z37" s="101">
        <v>0.0</v>
      </c>
      <c r="AA37" s="101">
        <v>0.0</v>
      </c>
      <c r="AB37" s="101">
        <v>0.0</v>
      </c>
    </row>
    <row r="38" ht="15.75" customHeight="1">
      <c r="A38" s="101">
        <v>14.0</v>
      </c>
      <c r="B38" s="101">
        <v>5.0</v>
      </c>
      <c r="C38" s="146" t="s">
        <v>236</v>
      </c>
      <c r="D38" s="146" t="s">
        <v>232</v>
      </c>
      <c r="E38" s="101">
        <v>8.0</v>
      </c>
      <c r="F38" s="101">
        <v>250.0</v>
      </c>
      <c r="G38" s="102">
        <f t="shared" si="2"/>
        <v>14</v>
      </c>
      <c r="H38" s="174">
        <v>0.0</v>
      </c>
      <c r="I38" s="101">
        <v>0.0</v>
      </c>
      <c r="J38" s="101">
        <v>0.0</v>
      </c>
      <c r="K38" s="101">
        <v>0.0</v>
      </c>
      <c r="L38" s="101">
        <v>0.0</v>
      </c>
      <c r="M38" s="101">
        <v>0.0</v>
      </c>
      <c r="N38" s="101">
        <v>0.0</v>
      </c>
      <c r="O38" s="101">
        <v>0.0</v>
      </c>
      <c r="P38" s="101">
        <v>0.0</v>
      </c>
      <c r="Q38" s="101">
        <v>0.0</v>
      </c>
      <c r="R38" s="101">
        <v>0.0</v>
      </c>
      <c r="S38" s="101">
        <v>0.0</v>
      </c>
      <c r="T38" s="101">
        <v>0.0</v>
      </c>
      <c r="U38" s="101">
        <v>0.0</v>
      </c>
      <c r="V38" s="101">
        <v>0.0</v>
      </c>
      <c r="W38" s="101">
        <v>0.0</v>
      </c>
      <c r="X38" s="101">
        <v>0.0</v>
      </c>
      <c r="Y38" s="101">
        <v>0.0</v>
      </c>
      <c r="Z38" s="101">
        <v>0.0</v>
      </c>
      <c r="AA38" s="101">
        <v>0.0</v>
      </c>
      <c r="AB38" s="101">
        <v>0.0</v>
      </c>
    </row>
    <row r="39" ht="15.75" customHeight="1">
      <c r="A39" s="101">
        <v>15.0</v>
      </c>
      <c r="B39" s="101">
        <v>5.0</v>
      </c>
      <c r="C39" s="146" t="s">
        <v>236</v>
      </c>
      <c r="D39" s="146" t="s">
        <v>233</v>
      </c>
      <c r="E39" s="101">
        <v>8.0</v>
      </c>
      <c r="F39" s="101">
        <v>300.0</v>
      </c>
      <c r="G39" s="102">
        <f t="shared" si="2"/>
        <v>15</v>
      </c>
      <c r="H39" s="174">
        <v>0.0</v>
      </c>
      <c r="I39" s="101">
        <v>0.0</v>
      </c>
      <c r="J39" s="101">
        <v>0.0</v>
      </c>
      <c r="K39" s="101">
        <v>1.0</v>
      </c>
      <c r="L39" s="101">
        <v>0.0</v>
      </c>
      <c r="M39" s="101">
        <v>0.0</v>
      </c>
      <c r="N39" s="101">
        <v>0.0</v>
      </c>
      <c r="O39" s="101">
        <v>0.0</v>
      </c>
      <c r="P39" s="101">
        <v>0.0</v>
      </c>
      <c r="Q39" s="101">
        <v>0.0</v>
      </c>
      <c r="R39" s="101">
        <v>0.0</v>
      </c>
      <c r="S39" s="101">
        <v>0.0</v>
      </c>
      <c r="T39" s="101">
        <v>0.0</v>
      </c>
      <c r="U39" s="101">
        <v>0.0</v>
      </c>
      <c r="V39" s="101">
        <v>0.0</v>
      </c>
      <c r="W39" s="101">
        <v>0.0</v>
      </c>
      <c r="X39" s="101">
        <v>0.0</v>
      </c>
      <c r="Y39" s="101">
        <v>0.0</v>
      </c>
      <c r="Z39" s="101">
        <v>0.0</v>
      </c>
      <c r="AA39" s="101">
        <v>0.0</v>
      </c>
      <c r="AB39" s="101">
        <v>0.0</v>
      </c>
    </row>
    <row r="40" ht="15.75" customHeight="1">
      <c r="A40" s="101">
        <v>16.0</v>
      </c>
      <c r="B40" s="101">
        <v>6.0</v>
      </c>
      <c r="C40" s="146" t="s">
        <v>237</v>
      </c>
      <c r="D40" s="146" t="s">
        <v>231</v>
      </c>
      <c r="E40" s="101">
        <v>10.0</v>
      </c>
      <c r="F40" s="101">
        <v>180.0</v>
      </c>
      <c r="G40" s="102">
        <f t="shared" si="2"/>
        <v>16</v>
      </c>
      <c r="H40" s="174">
        <v>0.0</v>
      </c>
      <c r="I40" s="101">
        <v>0.0</v>
      </c>
      <c r="J40" s="101">
        <v>0.0</v>
      </c>
      <c r="K40" s="101">
        <v>0.0</v>
      </c>
      <c r="L40" s="101">
        <v>0.0</v>
      </c>
      <c r="M40" s="101">
        <v>0.0</v>
      </c>
      <c r="N40" s="101">
        <v>0.0</v>
      </c>
      <c r="O40" s="101">
        <v>0.0</v>
      </c>
      <c r="P40" s="101">
        <v>0.0</v>
      </c>
      <c r="Q40" s="101">
        <v>0.0</v>
      </c>
      <c r="R40" s="101">
        <v>0.0</v>
      </c>
      <c r="S40" s="101">
        <v>0.0</v>
      </c>
      <c r="T40" s="101">
        <v>0.0</v>
      </c>
      <c r="U40" s="101">
        <v>0.0</v>
      </c>
      <c r="V40" s="101">
        <v>0.0</v>
      </c>
      <c r="W40" s="101">
        <v>0.0</v>
      </c>
      <c r="X40" s="101">
        <v>0.0</v>
      </c>
      <c r="Y40" s="101">
        <v>0.0</v>
      </c>
      <c r="Z40" s="101">
        <v>0.0</v>
      </c>
      <c r="AA40" s="101">
        <v>0.0</v>
      </c>
      <c r="AB40" s="101">
        <v>0.0</v>
      </c>
    </row>
    <row r="41" ht="15.75" customHeight="1">
      <c r="A41" s="101">
        <v>17.0</v>
      </c>
      <c r="B41" s="101">
        <v>6.0</v>
      </c>
      <c r="C41" s="146" t="s">
        <v>237</v>
      </c>
      <c r="D41" s="146" t="s">
        <v>232</v>
      </c>
      <c r="E41" s="101">
        <v>10.0</v>
      </c>
      <c r="F41" s="101">
        <v>260.0</v>
      </c>
      <c r="G41" s="102">
        <f t="shared" si="2"/>
        <v>17</v>
      </c>
      <c r="H41" s="174">
        <v>0.0</v>
      </c>
      <c r="I41" s="101">
        <v>0.0</v>
      </c>
      <c r="J41" s="101">
        <v>0.0</v>
      </c>
      <c r="K41" s="101">
        <v>0.0</v>
      </c>
      <c r="L41" s="101">
        <v>0.0</v>
      </c>
      <c r="M41" s="101">
        <v>0.0</v>
      </c>
      <c r="N41" s="101">
        <v>0.0</v>
      </c>
      <c r="O41" s="101">
        <v>0.0</v>
      </c>
      <c r="P41" s="101">
        <v>0.0</v>
      </c>
      <c r="Q41" s="101">
        <v>0.0</v>
      </c>
      <c r="R41" s="101">
        <v>0.0</v>
      </c>
      <c r="S41" s="101">
        <v>0.0</v>
      </c>
      <c r="T41" s="101">
        <v>0.0</v>
      </c>
      <c r="U41" s="101">
        <v>0.0</v>
      </c>
      <c r="V41" s="101">
        <v>0.0</v>
      </c>
      <c r="W41" s="101">
        <v>0.0</v>
      </c>
      <c r="X41" s="101">
        <v>0.0</v>
      </c>
      <c r="Y41" s="101">
        <v>0.0</v>
      </c>
      <c r="Z41" s="101">
        <v>0.0</v>
      </c>
      <c r="AA41" s="101">
        <v>0.0</v>
      </c>
      <c r="AB41" s="101">
        <v>0.0</v>
      </c>
    </row>
    <row r="42" ht="15.75" customHeight="1">
      <c r="A42" s="101">
        <v>18.0</v>
      </c>
      <c r="B42" s="101">
        <v>6.0</v>
      </c>
      <c r="C42" s="146" t="s">
        <v>237</v>
      </c>
      <c r="D42" s="146" t="s">
        <v>233</v>
      </c>
      <c r="E42" s="101">
        <v>10.0</v>
      </c>
      <c r="F42" s="101">
        <v>300.0</v>
      </c>
      <c r="G42" s="102">
        <f t="shared" si="2"/>
        <v>18</v>
      </c>
      <c r="H42" s="174">
        <v>0.0</v>
      </c>
      <c r="I42" s="101">
        <v>0.0</v>
      </c>
      <c r="J42" s="101">
        <v>0.0</v>
      </c>
      <c r="K42" s="101">
        <v>0.0</v>
      </c>
      <c r="L42" s="101">
        <v>0.0</v>
      </c>
      <c r="M42" s="101">
        <v>0.0</v>
      </c>
      <c r="N42" s="101">
        <v>0.0</v>
      </c>
      <c r="O42" s="101">
        <v>0.0</v>
      </c>
      <c r="P42" s="101">
        <v>0.0</v>
      </c>
      <c r="Q42" s="101">
        <v>30.0</v>
      </c>
      <c r="R42" s="101">
        <v>0.0</v>
      </c>
      <c r="S42" s="101">
        <v>15.0</v>
      </c>
      <c r="T42" s="101">
        <v>0.0</v>
      </c>
      <c r="U42" s="101">
        <v>0.0</v>
      </c>
      <c r="V42" s="101">
        <v>0.0</v>
      </c>
      <c r="W42" s="101">
        <v>0.0</v>
      </c>
      <c r="X42" s="101">
        <v>0.0</v>
      </c>
      <c r="Y42" s="101">
        <v>0.0</v>
      </c>
      <c r="Z42" s="101">
        <v>0.0</v>
      </c>
      <c r="AA42" s="101">
        <v>0.0</v>
      </c>
      <c r="AB42" s="101">
        <v>0.0</v>
      </c>
    </row>
    <row r="43" ht="15.75" customHeight="1">
      <c r="A43" s="101">
        <v>19.0</v>
      </c>
      <c r="B43" s="101">
        <v>7.0</v>
      </c>
      <c r="C43" s="146" t="s">
        <v>238</v>
      </c>
      <c r="D43" s="146" t="s">
        <v>239</v>
      </c>
      <c r="E43" s="101">
        <v>13.0</v>
      </c>
      <c r="F43" s="101">
        <v>300.0</v>
      </c>
      <c r="G43" s="102">
        <f t="shared" si="2"/>
        <v>19</v>
      </c>
      <c r="H43" s="174">
        <v>0.0</v>
      </c>
      <c r="I43" s="101">
        <v>0.0</v>
      </c>
      <c r="J43" s="101">
        <v>0.0</v>
      </c>
      <c r="K43" s="101">
        <v>0.0</v>
      </c>
      <c r="L43" s="101">
        <v>0.0</v>
      </c>
      <c r="M43" s="101">
        <v>0.0</v>
      </c>
      <c r="N43" s="101">
        <v>0.0</v>
      </c>
      <c r="O43" s="101">
        <v>0.0</v>
      </c>
      <c r="P43" s="101">
        <v>0.0</v>
      </c>
      <c r="Q43" s="101">
        <v>0.0</v>
      </c>
      <c r="R43" s="101">
        <v>0.0</v>
      </c>
      <c r="S43" s="101">
        <v>0.0</v>
      </c>
      <c r="T43" s="101">
        <v>0.0</v>
      </c>
      <c r="U43" s="101">
        <v>0.0</v>
      </c>
      <c r="V43" s="101">
        <v>0.0</v>
      </c>
      <c r="W43" s="101">
        <v>0.0</v>
      </c>
      <c r="X43" s="101">
        <v>0.0</v>
      </c>
      <c r="Y43" s="101">
        <v>0.0</v>
      </c>
      <c r="Z43" s="101">
        <v>0.0</v>
      </c>
      <c r="AA43" s="101">
        <v>0.0</v>
      </c>
      <c r="AB43" s="101">
        <v>0.0</v>
      </c>
    </row>
    <row r="44" ht="15.75" customHeight="1">
      <c r="A44" s="101">
        <v>20.0</v>
      </c>
      <c r="B44" s="101">
        <v>7.0</v>
      </c>
      <c r="C44" s="146" t="s">
        <v>238</v>
      </c>
      <c r="D44" s="146" t="s">
        <v>240</v>
      </c>
      <c r="E44" s="101">
        <v>13.0</v>
      </c>
      <c r="F44" s="101">
        <v>375.0</v>
      </c>
      <c r="G44" s="102">
        <f t="shared" si="2"/>
        <v>20</v>
      </c>
      <c r="H44" s="174">
        <v>0.0</v>
      </c>
      <c r="I44" s="101">
        <v>0.0</v>
      </c>
      <c r="J44" s="101">
        <v>0.0</v>
      </c>
      <c r="K44" s="101">
        <v>0.0</v>
      </c>
      <c r="L44" s="101">
        <v>0.0</v>
      </c>
      <c r="M44" s="101">
        <v>0.0</v>
      </c>
      <c r="N44" s="101">
        <v>0.0</v>
      </c>
      <c r="O44" s="101">
        <v>0.0</v>
      </c>
      <c r="P44" s="101">
        <v>0.0</v>
      </c>
      <c r="Q44" s="101">
        <v>0.0</v>
      </c>
      <c r="R44" s="101">
        <v>0.0</v>
      </c>
      <c r="S44" s="101">
        <v>0.0</v>
      </c>
      <c r="T44" s="101">
        <v>0.0</v>
      </c>
      <c r="U44" s="101">
        <v>0.0</v>
      </c>
      <c r="V44" s="101">
        <v>0.0</v>
      </c>
      <c r="W44" s="101">
        <v>0.0</v>
      </c>
      <c r="X44" s="101">
        <v>0.0</v>
      </c>
      <c r="Y44" s="101">
        <v>0.0</v>
      </c>
      <c r="Z44" s="101">
        <v>0.0</v>
      </c>
      <c r="AA44" s="101">
        <v>0.0</v>
      </c>
      <c r="AB44" s="101">
        <v>0.0</v>
      </c>
    </row>
    <row r="45" ht="15.75" customHeight="1">
      <c r="A45" s="101">
        <v>21.0</v>
      </c>
      <c r="B45" s="101">
        <v>7.0</v>
      </c>
      <c r="C45" s="146" t="s">
        <v>238</v>
      </c>
      <c r="D45" s="146" t="s">
        <v>241</v>
      </c>
      <c r="E45" s="101">
        <v>13.0</v>
      </c>
      <c r="F45" s="101">
        <v>410.0</v>
      </c>
      <c r="G45" s="102">
        <f t="shared" si="2"/>
        <v>21</v>
      </c>
      <c r="H45" s="174">
        <v>25.0</v>
      </c>
      <c r="I45" s="101">
        <v>0.0</v>
      </c>
      <c r="J45" s="101">
        <v>0.0</v>
      </c>
      <c r="K45" s="101">
        <v>0.0</v>
      </c>
      <c r="L45" s="101">
        <v>0.0</v>
      </c>
      <c r="M45" s="101">
        <v>0.0</v>
      </c>
      <c r="N45" s="101">
        <v>0.0</v>
      </c>
      <c r="O45" s="101">
        <v>0.0</v>
      </c>
      <c r="P45" s="101">
        <v>0.0</v>
      </c>
      <c r="Q45" s="101">
        <v>0.0</v>
      </c>
      <c r="R45" s="101">
        <v>0.0</v>
      </c>
      <c r="S45" s="101">
        <v>0.0</v>
      </c>
      <c r="T45" s="101">
        <v>0.0</v>
      </c>
      <c r="U45" s="101">
        <v>0.0</v>
      </c>
      <c r="V45" s="101">
        <v>0.0</v>
      </c>
      <c r="W45" s="101">
        <v>0.0</v>
      </c>
      <c r="X45" s="101">
        <v>0.0</v>
      </c>
      <c r="Y45" s="101">
        <v>0.0</v>
      </c>
      <c r="Z45" s="101">
        <v>0.0</v>
      </c>
      <c r="AA45" s="101">
        <v>0.0</v>
      </c>
      <c r="AB45" s="101">
        <v>0.0</v>
      </c>
    </row>
    <row r="46" ht="15.75" customHeight="1">
      <c r="A46" s="101">
        <v>22.0</v>
      </c>
      <c r="B46" s="101">
        <v>8.0</v>
      </c>
      <c r="C46" s="146" t="s">
        <v>242</v>
      </c>
      <c r="D46" s="146" t="s">
        <v>239</v>
      </c>
      <c r="E46" s="101">
        <v>16.0</v>
      </c>
      <c r="F46" s="101">
        <v>385.0</v>
      </c>
      <c r="G46" s="102">
        <f t="shared" si="2"/>
        <v>22</v>
      </c>
      <c r="H46" s="174">
        <v>0.0</v>
      </c>
      <c r="I46" s="101">
        <v>0.0</v>
      </c>
      <c r="J46" s="101">
        <v>0.0</v>
      </c>
      <c r="K46" s="101">
        <v>0.0</v>
      </c>
      <c r="L46" s="101">
        <v>0.0</v>
      </c>
      <c r="M46" s="101">
        <v>0.0</v>
      </c>
      <c r="N46" s="101">
        <v>0.0</v>
      </c>
      <c r="O46" s="101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1">
        <v>0.0</v>
      </c>
      <c r="V46" s="101">
        <v>0.0</v>
      </c>
      <c r="W46" s="101">
        <v>0.0</v>
      </c>
      <c r="X46" s="101">
        <v>0.0</v>
      </c>
      <c r="Y46" s="101">
        <v>0.0</v>
      </c>
      <c r="Z46" s="101">
        <v>0.0</v>
      </c>
      <c r="AA46" s="101">
        <v>0.0</v>
      </c>
      <c r="AB46" s="101">
        <v>0.0</v>
      </c>
    </row>
    <row r="47" ht="15.75" customHeight="1">
      <c r="A47" s="101">
        <v>23.0</v>
      </c>
      <c r="B47" s="101">
        <v>8.0</v>
      </c>
      <c r="C47" s="146" t="s">
        <v>242</v>
      </c>
      <c r="D47" s="146" t="s">
        <v>240</v>
      </c>
      <c r="E47" s="101">
        <v>16.0</v>
      </c>
      <c r="F47" s="101">
        <v>475.0</v>
      </c>
      <c r="G47" s="102">
        <f t="shared" si="2"/>
        <v>23</v>
      </c>
      <c r="H47" s="174">
        <v>0.0</v>
      </c>
      <c r="I47" s="101">
        <v>0.0</v>
      </c>
      <c r="J47" s="101">
        <v>0.0</v>
      </c>
      <c r="K47" s="101">
        <v>0.0</v>
      </c>
      <c r="L47" s="101">
        <v>0.0</v>
      </c>
      <c r="M47" s="101">
        <v>0.0</v>
      </c>
      <c r="N47" s="101">
        <v>0.0</v>
      </c>
      <c r="O47" s="101">
        <v>0.0</v>
      </c>
      <c r="P47" s="101">
        <v>0.0</v>
      </c>
      <c r="Q47" s="101">
        <v>0.0</v>
      </c>
      <c r="R47" s="101">
        <v>0.0</v>
      </c>
      <c r="S47" s="101">
        <v>0.0</v>
      </c>
      <c r="T47" s="101">
        <v>0.0</v>
      </c>
      <c r="U47" s="101">
        <v>0.0</v>
      </c>
      <c r="V47" s="101">
        <v>0.0</v>
      </c>
      <c r="W47" s="101">
        <v>0.0</v>
      </c>
      <c r="X47" s="101">
        <v>0.0</v>
      </c>
      <c r="Y47" s="101">
        <v>0.0</v>
      </c>
      <c r="Z47" s="101">
        <v>0.0</v>
      </c>
      <c r="AA47" s="101">
        <v>0.0</v>
      </c>
      <c r="AB47" s="101">
        <v>0.0</v>
      </c>
    </row>
    <row r="48" ht="15.75" customHeight="1">
      <c r="A48" s="101">
        <v>24.0</v>
      </c>
      <c r="B48" s="101">
        <v>8.0</v>
      </c>
      <c r="C48" s="146" t="s">
        <v>242</v>
      </c>
      <c r="D48" s="146" t="s">
        <v>241</v>
      </c>
      <c r="E48" s="101">
        <v>16.0</v>
      </c>
      <c r="F48" s="101">
        <v>500.0</v>
      </c>
      <c r="G48" s="102">
        <f t="shared" si="2"/>
        <v>24</v>
      </c>
      <c r="H48" s="174">
        <v>0.0</v>
      </c>
      <c r="I48" s="101">
        <v>0.0</v>
      </c>
      <c r="J48" s="101">
        <v>0.0</v>
      </c>
      <c r="K48" s="101">
        <v>0.0</v>
      </c>
      <c r="L48" s="101">
        <v>0.0</v>
      </c>
      <c r="M48" s="101">
        <v>0.0</v>
      </c>
      <c r="N48" s="101">
        <v>0.0</v>
      </c>
      <c r="O48" s="101">
        <v>0.0</v>
      </c>
      <c r="P48" s="101">
        <v>0.0</v>
      </c>
      <c r="Q48" s="101">
        <v>60.0</v>
      </c>
      <c r="R48" s="101">
        <v>0.0</v>
      </c>
      <c r="S48" s="101">
        <v>0.0</v>
      </c>
      <c r="T48" s="101">
        <v>15.0</v>
      </c>
      <c r="U48" s="101">
        <v>0.0</v>
      </c>
      <c r="V48" s="101">
        <v>0.0</v>
      </c>
      <c r="W48" s="101">
        <v>0.0</v>
      </c>
      <c r="X48" s="101">
        <v>0.0</v>
      </c>
      <c r="Y48" s="101">
        <v>0.0</v>
      </c>
      <c r="Z48" s="101">
        <v>0.0</v>
      </c>
      <c r="AA48" s="101">
        <v>0.0</v>
      </c>
      <c r="AB48" s="101">
        <v>0.0</v>
      </c>
    </row>
    <row r="49" ht="15.75" customHeight="1">
      <c r="A49" s="101">
        <v>25.0</v>
      </c>
      <c r="B49" s="101">
        <v>9.0</v>
      </c>
      <c r="C49" s="146" t="s">
        <v>243</v>
      </c>
      <c r="D49" s="146" t="s">
        <v>239</v>
      </c>
      <c r="E49" s="101">
        <v>20.0</v>
      </c>
      <c r="F49" s="101">
        <v>400.0</v>
      </c>
      <c r="G49" s="102">
        <f t="shared" si="2"/>
        <v>25</v>
      </c>
      <c r="H49" s="174">
        <v>0.0</v>
      </c>
      <c r="I49" s="101">
        <v>0.0</v>
      </c>
      <c r="J49" s="101">
        <v>0.0</v>
      </c>
      <c r="K49" s="101">
        <v>0.0</v>
      </c>
      <c r="L49" s="101">
        <v>0.0</v>
      </c>
      <c r="M49" s="101">
        <v>0.0</v>
      </c>
      <c r="N49" s="101">
        <v>0.0</v>
      </c>
      <c r="O49" s="101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1">
        <v>0.0</v>
      </c>
      <c r="V49" s="101">
        <v>0.0</v>
      </c>
      <c r="W49" s="101">
        <v>0.0</v>
      </c>
      <c r="X49" s="101">
        <v>0.0</v>
      </c>
      <c r="Y49" s="101">
        <v>0.0</v>
      </c>
      <c r="Z49" s="101">
        <v>0.0</v>
      </c>
      <c r="AA49" s="101">
        <v>0.0</v>
      </c>
      <c r="AB49" s="101">
        <v>0.0</v>
      </c>
    </row>
    <row r="50" ht="15.75" customHeight="1">
      <c r="A50" s="101">
        <v>26.0</v>
      </c>
      <c r="B50" s="101">
        <v>9.0</v>
      </c>
      <c r="C50" s="146" t="s">
        <v>243</v>
      </c>
      <c r="D50" s="146" t="s">
        <v>240</v>
      </c>
      <c r="E50" s="101">
        <v>20.0</v>
      </c>
      <c r="F50" s="101">
        <v>480.0</v>
      </c>
      <c r="G50" s="102">
        <f t="shared" si="2"/>
        <v>26</v>
      </c>
      <c r="H50" s="174">
        <v>0.0</v>
      </c>
      <c r="I50" s="101">
        <v>0.0</v>
      </c>
      <c r="J50" s="101">
        <v>0.0</v>
      </c>
      <c r="K50" s="101">
        <v>0.0</v>
      </c>
      <c r="L50" s="101">
        <v>0.0</v>
      </c>
      <c r="M50" s="101">
        <v>0.0</v>
      </c>
      <c r="N50" s="101">
        <v>0.0</v>
      </c>
      <c r="O50" s="101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  <c r="W50" s="101">
        <v>0.0</v>
      </c>
      <c r="X50" s="101">
        <v>0.0</v>
      </c>
      <c r="Y50" s="101">
        <v>0.0</v>
      </c>
      <c r="Z50" s="101">
        <v>0.0</v>
      </c>
      <c r="AA50" s="101">
        <v>0.0</v>
      </c>
      <c r="AB50" s="101">
        <v>0.0</v>
      </c>
    </row>
    <row r="51" ht="15.75" customHeight="1">
      <c r="A51" s="101">
        <v>27.0</v>
      </c>
      <c r="B51" s="101">
        <v>9.0</v>
      </c>
      <c r="C51" s="146" t="s">
        <v>243</v>
      </c>
      <c r="D51" s="146" t="s">
        <v>241</v>
      </c>
      <c r="E51" s="101">
        <v>20.0</v>
      </c>
      <c r="F51" s="101">
        <v>520.0</v>
      </c>
      <c r="G51" s="102">
        <f t="shared" si="2"/>
        <v>27</v>
      </c>
      <c r="H51" s="174">
        <v>0.0</v>
      </c>
      <c r="I51" s="101">
        <v>0.0</v>
      </c>
      <c r="J51" s="101">
        <v>0.0</v>
      </c>
      <c r="K51" s="101">
        <v>0.0</v>
      </c>
      <c r="L51" s="101">
        <v>0.0</v>
      </c>
      <c r="M51" s="101">
        <v>0.0</v>
      </c>
      <c r="N51" s="101">
        <v>0.0</v>
      </c>
      <c r="O51" s="101">
        <v>1.0</v>
      </c>
      <c r="P51" s="101">
        <v>0.0</v>
      </c>
      <c r="Q51" s="101">
        <v>0.0</v>
      </c>
      <c r="R51" s="101">
        <v>0.0</v>
      </c>
      <c r="S51" s="101">
        <v>0.0</v>
      </c>
      <c r="T51" s="101">
        <v>0.0</v>
      </c>
      <c r="U51" s="101">
        <v>0.0</v>
      </c>
      <c r="V51" s="101">
        <v>0.0</v>
      </c>
      <c r="W51" s="101">
        <v>0.0</v>
      </c>
      <c r="X51" s="101">
        <v>0.0</v>
      </c>
      <c r="Y51" s="101">
        <v>0.0</v>
      </c>
      <c r="Z51" s="101">
        <v>0.0</v>
      </c>
      <c r="AA51" s="101">
        <v>0.0</v>
      </c>
      <c r="AB51" s="101">
        <v>0.0</v>
      </c>
    </row>
    <row r="52" ht="15.75" customHeight="1">
      <c r="A52" s="101">
        <v>28.0</v>
      </c>
      <c r="B52" s="101">
        <v>10.0</v>
      </c>
      <c r="C52" s="146" t="s">
        <v>244</v>
      </c>
      <c r="D52" s="146" t="s">
        <v>245</v>
      </c>
      <c r="E52" s="101">
        <v>25.0</v>
      </c>
      <c r="F52" s="101">
        <v>600.0</v>
      </c>
      <c r="G52" s="102">
        <f t="shared" si="2"/>
        <v>28</v>
      </c>
      <c r="H52" s="174">
        <v>0.0</v>
      </c>
      <c r="I52" s="101">
        <v>0.0</v>
      </c>
      <c r="J52" s="101">
        <v>0.0</v>
      </c>
      <c r="K52" s="101">
        <v>0.0</v>
      </c>
      <c r="L52" s="101">
        <v>0.0</v>
      </c>
      <c r="M52" s="101">
        <v>0.0</v>
      </c>
      <c r="N52" s="101">
        <v>0.0</v>
      </c>
      <c r="O52" s="101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1">
        <v>0.0</v>
      </c>
      <c r="V52" s="101">
        <v>0.0</v>
      </c>
      <c r="W52" s="101">
        <v>0.0</v>
      </c>
      <c r="X52" s="101">
        <v>0.0</v>
      </c>
      <c r="Y52" s="101">
        <v>0.0</v>
      </c>
      <c r="Z52" s="101">
        <v>0.0</v>
      </c>
      <c r="AA52" s="101">
        <v>0.0</v>
      </c>
      <c r="AB52" s="101">
        <v>0.0</v>
      </c>
    </row>
    <row r="53" ht="15.75" customHeight="1">
      <c r="A53" s="101">
        <v>29.0</v>
      </c>
      <c r="B53" s="101">
        <v>10.0</v>
      </c>
      <c r="C53" s="146" t="s">
        <v>244</v>
      </c>
      <c r="D53" s="146" t="s">
        <v>246</v>
      </c>
      <c r="E53" s="101">
        <v>25.0</v>
      </c>
      <c r="F53" s="101">
        <v>600.0</v>
      </c>
      <c r="G53" s="102">
        <f t="shared" si="2"/>
        <v>29</v>
      </c>
      <c r="H53" s="174">
        <v>0.0</v>
      </c>
      <c r="I53" s="101">
        <v>0.0</v>
      </c>
      <c r="J53" s="101">
        <v>0.0</v>
      </c>
      <c r="K53" s="101">
        <v>0.0</v>
      </c>
      <c r="L53" s="101">
        <v>0.0</v>
      </c>
      <c r="M53" s="101">
        <v>0.0</v>
      </c>
      <c r="N53" s="101">
        <v>0.0</v>
      </c>
      <c r="O53" s="101">
        <v>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1">
        <v>0.0</v>
      </c>
      <c r="V53" s="101">
        <v>0.0</v>
      </c>
      <c r="W53" s="101">
        <v>0.0</v>
      </c>
      <c r="X53" s="101">
        <v>0.0</v>
      </c>
      <c r="Y53" s="101">
        <v>0.0</v>
      </c>
      <c r="Z53" s="101">
        <v>0.0</v>
      </c>
      <c r="AA53" s="101">
        <v>0.0</v>
      </c>
      <c r="AB53" s="101">
        <v>0.0</v>
      </c>
    </row>
    <row r="54" ht="15.75" customHeight="1">
      <c r="A54" s="101">
        <v>30.0</v>
      </c>
      <c r="B54" s="101">
        <v>10.0</v>
      </c>
      <c r="C54" s="146" t="s">
        <v>244</v>
      </c>
      <c r="D54" s="146" t="s">
        <v>247</v>
      </c>
      <c r="E54" s="101">
        <v>25.0</v>
      </c>
      <c r="F54" s="101">
        <v>600.0</v>
      </c>
      <c r="G54" s="102">
        <f t="shared" si="2"/>
        <v>30</v>
      </c>
      <c r="H54" s="174">
        <v>50.0</v>
      </c>
      <c r="I54" s="101">
        <v>0.0</v>
      </c>
      <c r="J54" s="101">
        <v>0.0</v>
      </c>
      <c r="K54" s="101">
        <v>0.0</v>
      </c>
      <c r="L54" s="101">
        <v>0.0</v>
      </c>
      <c r="M54" s="101">
        <v>1.0</v>
      </c>
      <c r="N54" s="101">
        <v>0.0</v>
      </c>
      <c r="O54" s="101">
        <v>0.0</v>
      </c>
      <c r="P54" s="101">
        <v>0.0</v>
      </c>
      <c r="Q54" s="101">
        <v>120.0</v>
      </c>
      <c r="R54" s="101">
        <v>0.0</v>
      </c>
      <c r="S54" s="101">
        <v>0.0</v>
      </c>
      <c r="T54" s="101">
        <v>0.0</v>
      </c>
      <c r="U54" s="101">
        <v>0.0</v>
      </c>
      <c r="V54" s="101">
        <v>0.0</v>
      </c>
      <c r="W54" s="101">
        <v>0.0</v>
      </c>
      <c r="X54" s="101">
        <v>0.0</v>
      </c>
      <c r="Y54" s="101">
        <v>0.0</v>
      </c>
      <c r="Z54" s="101">
        <v>0.0</v>
      </c>
      <c r="AA54" s="101">
        <v>0.0</v>
      </c>
      <c r="AB54" s="101">
        <v>0.0</v>
      </c>
    </row>
    <row r="55" ht="15.75" customHeight="1"/>
    <row r="56" ht="19.5" customHeight="1">
      <c r="A56" s="91" t="s">
        <v>248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</row>
    <row r="57" ht="90.0" customHeight="1">
      <c r="A57" s="96" t="s">
        <v>249</v>
      </c>
      <c r="B57" s="96" t="s">
        <v>250</v>
      </c>
      <c r="H57" s="173" t="s">
        <v>19</v>
      </c>
      <c r="I57" s="99" t="s">
        <v>5</v>
      </c>
      <c r="J57" s="99" t="s">
        <v>77</v>
      </c>
      <c r="K57" s="99" t="s">
        <v>6</v>
      </c>
      <c r="L57" s="99" t="s">
        <v>7</v>
      </c>
      <c r="M57" s="99" t="s">
        <v>8</v>
      </c>
      <c r="N57" s="99" t="s">
        <v>9</v>
      </c>
      <c r="O57" s="99" t="s">
        <v>10</v>
      </c>
      <c r="P57" s="99" t="s">
        <v>11</v>
      </c>
      <c r="Q57" s="99" t="s">
        <v>12</v>
      </c>
      <c r="R57" s="99" t="s">
        <v>13</v>
      </c>
      <c r="S57" s="99" t="s">
        <v>14</v>
      </c>
      <c r="T57" s="99" t="s">
        <v>15</v>
      </c>
      <c r="U57" s="99" t="s">
        <v>92</v>
      </c>
      <c r="V57" s="99" t="s">
        <v>78</v>
      </c>
      <c r="W57" s="99" t="s">
        <v>79</v>
      </c>
      <c r="X57" s="99" t="s">
        <v>80</v>
      </c>
      <c r="Y57" s="99" t="s">
        <v>81</v>
      </c>
      <c r="Z57" s="99" t="s">
        <v>82</v>
      </c>
      <c r="AA57" s="99" t="s">
        <v>83</v>
      </c>
      <c r="AB57" s="99" t="s">
        <v>84</v>
      </c>
    </row>
    <row r="58" ht="15.75" customHeight="1">
      <c r="A58" s="101">
        <v>1.0</v>
      </c>
      <c r="B58" s="101">
        <v>840.0</v>
      </c>
      <c r="H58" s="174">
        <v>0.0</v>
      </c>
      <c r="I58" s="101">
        <v>0.0</v>
      </c>
      <c r="J58" s="101">
        <v>0.0</v>
      </c>
      <c r="K58" s="101">
        <v>0.0</v>
      </c>
      <c r="L58" s="101">
        <v>0.0</v>
      </c>
      <c r="M58" s="101">
        <v>1.0</v>
      </c>
      <c r="N58" s="101">
        <v>0.0</v>
      </c>
      <c r="O58" s="101">
        <v>0.0</v>
      </c>
      <c r="P58" s="101">
        <v>0.0</v>
      </c>
      <c r="Q58" s="101">
        <v>0.0</v>
      </c>
      <c r="R58" s="101">
        <v>0.0</v>
      </c>
      <c r="S58" s="101">
        <v>0.0</v>
      </c>
      <c r="T58" s="101">
        <v>0.0</v>
      </c>
      <c r="U58" s="101">
        <v>0.0</v>
      </c>
      <c r="V58" s="101">
        <v>0.0</v>
      </c>
      <c r="W58" s="101">
        <v>0.0</v>
      </c>
      <c r="X58" s="101">
        <v>0.0</v>
      </c>
      <c r="Y58" s="101">
        <v>0.0</v>
      </c>
      <c r="Z58" s="101">
        <v>0.0</v>
      </c>
      <c r="AA58" s="101">
        <v>0.0</v>
      </c>
      <c r="AB58" s="101">
        <v>0.0</v>
      </c>
    </row>
    <row r="59" ht="15.75" customHeight="1">
      <c r="A59" s="101">
        <v>2.0</v>
      </c>
      <c r="B59" s="101">
        <v>840.0</v>
      </c>
      <c r="C59" s="155"/>
      <c r="D59" s="155"/>
      <c r="E59" s="155"/>
      <c r="F59" s="155"/>
      <c r="G59" s="155"/>
      <c r="H59" s="174">
        <v>0.0</v>
      </c>
      <c r="I59" s="101">
        <v>0.0</v>
      </c>
      <c r="J59" s="101">
        <v>0.0</v>
      </c>
      <c r="K59" s="101">
        <v>2.0</v>
      </c>
      <c r="L59" s="101">
        <v>0.0</v>
      </c>
      <c r="M59" s="101">
        <v>0.0</v>
      </c>
      <c r="N59" s="101">
        <v>0.0</v>
      </c>
      <c r="O59" s="101">
        <v>0.0</v>
      </c>
      <c r="P59" s="101">
        <v>0.0</v>
      </c>
      <c r="Q59" s="101">
        <v>0.0</v>
      </c>
      <c r="R59" s="101">
        <v>0.0</v>
      </c>
      <c r="S59" s="101">
        <v>0.0</v>
      </c>
      <c r="T59" s="101">
        <v>0.0</v>
      </c>
      <c r="U59" s="101">
        <v>0.0</v>
      </c>
      <c r="V59" s="101">
        <v>0.0</v>
      </c>
      <c r="W59" s="101">
        <v>0.0</v>
      </c>
      <c r="X59" s="101">
        <v>0.0</v>
      </c>
      <c r="Y59" s="101">
        <v>0.0</v>
      </c>
      <c r="Z59" s="101">
        <v>0.0</v>
      </c>
      <c r="AA59" s="101">
        <v>0.0</v>
      </c>
      <c r="AB59" s="101">
        <v>0.0</v>
      </c>
    </row>
    <row r="60" ht="15.75" customHeight="1">
      <c r="A60" s="101">
        <v>3.0</v>
      </c>
      <c r="B60" s="101">
        <v>830.0</v>
      </c>
      <c r="H60" s="174">
        <v>0.0</v>
      </c>
      <c r="I60" s="101">
        <v>0.0</v>
      </c>
      <c r="J60" s="101">
        <v>0.0</v>
      </c>
      <c r="K60" s="101">
        <v>0.0</v>
      </c>
      <c r="L60" s="101">
        <v>1.0</v>
      </c>
      <c r="M60" s="101">
        <v>0.0</v>
      </c>
      <c r="N60" s="101">
        <v>0.0</v>
      </c>
      <c r="O60" s="101">
        <v>0.0</v>
      </c>
      <c r="P60" s="101">
        <v>0.0</v>
      </c>
      <c r="Q60" s="101">
        <v>0.0</v>
      </c>
      <c r="R60" s="101">
        <v>0.0</v>
      </c>
      <c r="S60" s="101">
        <v>0.0</v>
      </c>
      <c r="T60" s="101">
        <v>0.0</v>
      </c>
      <c r="U60" s="101">
        <v>0.0</v>
      </c>
      <c r="V60" s="101">
        <v>0.0</v>
      </c>
      <c r="W60" s="101">
        <v>0.0</v>
      </c>
      <c r="X60" s="101">
        <v>0.0</v>
      </c>
      <c r="Y60" s="101">
        <v>0.0</v>
      </c>
      <c r="Z60" s="101">
        <v>0.0</v>
      </c>
      <c r="AA60" s="101">
        <v>0.0</v>
      </c>
      <c r="AB60" s="101">
        <v>0.0</v>
      </c>
    </row>
    <row r="61" ht="15.75" customHeight="1">
      <c r="A61" s="101">
        <v>4.0</v>
      </c>
      <c r="B61" s="101">
        <v>800.0</v>
      </c>
      <c r="C61" s="155"/>
      <c r="D61" s="155"/>
      <c r="E61" s="155"/>
      <c r="F61" s="155"/>
      <c r="G61" s="155"/>
      <c r="H61" s="174">
        <v>25.0</v>
      </c>
      <c r="I61" s="101">
        <v>0.0</v>
      </c>
      <c r="J61" s="101">
        <v>0.0</v>
      </c>
      <c r="K61" s="101">
        <v>0.0</v>
      </c>
      <c r="L61" s="101">
        <v>0.0</v>
      </c>
      <c r="M61" s="101">
        <v>0.0</v>
      </c>
      <c r="N61" s="101">
        <v>0.0</v>
      </c>
      <c r="O61" s="101">
        <v>0.0</v>
      </c>
      <c r="P61" s="101">
        <v>0.0</v>
      </c>
      <c r="Q61" s="101">
        <v>0.0</v>
      </c>
      <c r="R61" s="101">
        <v>0.0</v>
      </c>
      <c r="S61" s="101">
        <v>0.0</v>
      </c>
      <c r="T61" s="101">
        <v>0.0</v>
      </c>
      <c r="U61" s="101">
        <v>0.0</v>
      </c>
      <c r="V61" s="101">
        <v>0.0</v>
      </c>
      <c r="W61" s="101">
        <v>0.0</v>
      </c>
      <c r="X61" s="101">
        <v>0.0</v>
      </c>
      <c r="Y61" s="101">
        <v>0.0</v>
      </c>
      <c r="Z61" s="101">
        <v>0.0</v>
      </c>
      <c r="AA61" s="101">
        <v>0.0</v>
      </c>
      <c r="AB61" s="101">
        <v>0.0</v>
      </c>
    </row>
    <row r="62" ht="15.75" customHeight="1">
      <c r="A62" s="101">
        <v>5.0</v>
      </c>
      <c r="B62" s="101">
        <v>810.0</v>
      </c>
      <c r="H62" s="174">
        <v>0.0</v>
      </c>
      <c r="I62" s="101">
        <v>0.0</v>
      </c>
      <c r="J62" s="101">
        <v>0.0</v>
      </c>
      <c r="K62" s="101">
        <v>1.0</v>
      </c>
      <c r="L62" s="101">
        <v>0.0</v>
      </c>
      <c r="M62" s="101">
        <v>0.0</v>
      </c>
      <c r="N62" s="101">
        <v>0.0</v>
      </c>
      <c r="O62" s="101">
        <v>0.0</v>
      </c>
      <c r="P62" s="101">
        <v>0.0</v>
      </c>
      <c r="Q62" s="101">
        <v>0.0</v>
      </c>
      <c r="R62" s="101">
        <v>0.0</v>
      </c>
      <c r="S62" s="101">
        <v>0.0</v>
      </c>
      <c r="T62" s="101">
        <v>0.0</v>
      </c>
      <c r="U62" s="101">
        <v>0.0</v>
      </c>
      <c r="V62" s="101">
        <v>0.0</v>
      </c>
      <c r="W62" s="101">
        <v>0.0</v>
      </c>
      <c r="X62" s="101">
        <v>0.0</v>
      </c>
      <c r="Y62" s="101">
        <v>0.0</v>
      </c>
      <c r="Z62" s="101">
        <v>0.0</v>
      </c>
      <c r="AA62" s="101">
        <v>0.0</v>
      </c>
      <c r="AB62" s="101">
        <v>0.0</v>
      </c>
    </row>
    <row r="63" ht="15.75" customHeight="1">
      <c r="A63" s="101">
        <v>6.0</v>
      </c>
      <c r="B63" s="101">
        <v>880.0</v>
      </c>
      <c r="C63" s="155"/>
      <c r="D63" s="155"/>
      <c r="E63" s="155"/>
      <c r="F63" s="155"/>
      <c r="G63" s="155"/>
      <c r="H63" s="174">
        <v>0.0</v>
      </c>
      <c r="I63" s="101">
        <v>0.0</v>
      </c>
      <c r="J63" s="101">
        <v>0.0</v>
      </c>
      <c r="K63" s="101">
        <v>0.0</v>
      </c>
      <c r="L63" s="101">
        <v>2.0</v>
      </c>
      <c r="M63" s="101">
        <v>0.0</v>
      </c>
      <c r="N63" s="101">
        <v>0.0</v>
      </c>
      <c r="O63" s="101">
        <v>0.0</v>
      </c>
      <c r="P63" s="101">
        <v>0.0</v>
      </c>
      <c r="Q63" s="101">
        <v>0.0</v>
      </c>
      <c r="R63" s="101">
        <v>0.0</v>
      </c>
      <c r="S63" s="101">
        <v>0.0</v>
      </c>
      <c r="T63" s="101">
        <v>0.0</v>
      </c>
      <c r="U63" s="101">
        <v>0.0</v>
      </c>
      <c r="V63" s="101">
        <v>0.0</v>
      </c>
      <c r="W63" s="101">
        <v>0.0</v>
      </c>
      <c r="X63" s="101">
        <v>0.0</v>
      </c>
      <c r="Y63" s="101">
        <v>0.0</v>
      </c>
      <c r="Z63" s="101">
        <v>0.0</v>
      </c>
      <c r="AA63" s="101">
        <v>0.0</v>
      </c>
      <c r="AB63" s="101">
        <v>0.0</v>
      </c>
    </row>
    <row r="64" ht="15.75" customHeight="1">
      <c r="A64" s="101">
        <v>7.0</v>
      </c>
      <c r="B64" s="101">
        <v>840.0</v>
      </c>
      <c r="H64" s="174">
        <v>0.0</v>
      </c>
      <c r="I64" s="101">
        <v>0.0</v>
      </c>
      <c r="J64" s="101">
        <v>0.0</v>
      </c>
      <c r="K64" s="101">
        <v>0.0</v>
      </c>
      <c r="L64" s="101">
        <v>0.0</v>
      </c>
      <c r="M64" s="101">
        <v>1.0</v>
      </c>
      <c r="N64" s="101">
        <v>0.0</v>
      </c>
      <c r="O64" s="101">
        <v>0.0</v>
      </c>
      <c r="P64" s="101">
        <v>0.0</v>
      </c>
      <c r="Q64" s="101">
        <v>0.0</v>
      </c>
      <c r="R64" s="101">
        <v>0.0</v>
      </c>
      <c r="S64" s="101">
        <v>0.0</v>
      </c>
      <c r="T64" s="101">
        <v>0.0</v>
      </c>
      <c r="U64" s="101">
        <v>0.0</v>
      </c>
      <c r="V64" s="101">
        <v>0.0</v>
      </c>
      <c r="W64" s="101">
        <v>0.0</v>
      </c>
      <c r="X64" s="101">
        <v>0.0</v>
      </c>
      <c r="Y64" s="101">
        <v>0.0</v>
      </c>
      <c r="Z64" s="101">
        <v>0.0</v>
      </c>
      <c r="AA64" s="101">
        <v>0.0</v>
      </c>
      <c r="AB64" s="101">
        <v>0.0</v>
      </c>
    </row>
    <row r="65" ht="15.75" customHeight="1">
      <c r="A65" s="101">
        <v>8.0</v>
      </c>
      <c r="B65" s="101">
        <v>880.0</v>
      </c>
      <c r="C65" s="155"/>
      <c r="D65" s="155"/>
      <c r="E65" s="155"/>
      <c r="F65" s="155"/>
      <c r="G65" s="155"/>
      <c r="H65" s="174">
        <v>0.0</v>
      </c>
      <c r="I65" s="101">
        <v>0.0</v>
      </c>
      <c r="J65" s="101">
        <v>0.0</v>
      </c>
      <c r="K65" s="101">
        <v>3.0</v>
      </c>
      <c r="L65" s="101">
        <v>0.0</v>
      </c>
      <c r="M65" s="101">
        <v>0.0</v>
      </c>
      <c r="N65" s="101">
        <v>0.0</v>
      </c>
      <c r="O65" s="101">
        <v>0.0</v>
      </c>
      <c r="P65" s="101">
        <v>0.0</v>
      </c>
      <c r="Q65" s="101">
        <v>0.0</v>
      </c>
      <c r="R65" s="101">
        <v>0.0</v>
      </c>
      <c r="S65" s="101">
        <v>0.0</v>
      </c>
      <c r="T65" s="101">
        <v>0.0</v>
      </c>
      <c r="U65" s="101">
        <v>0.0</v>
      </c>
      <c r="V65" s="101">
        <v>0.0</v>
      </c>
      <c r="W65" s="101">
        <v>0.0</v>
      </c>
      <c r="X65" s="101">
        <v>0.0</v>
      </c>
      <c r="Y65" s="101">
        <v>0.0</v>
      </c>
      <c r="Z65" s="101">
        <v>0.0</v>
      </c>
      <c r="AA65" s="101">
        <v>0.0</v>
      </c>
      <c r="AB65" s="101">
        <v>0.0</v>
      </c>
    </row>
    <row r="66" ht="15.75" customHeight="1">
      <c r="A66" s="101">
        <v>9.0</v>
      </c>
      <c r="B66" s="101">
        <v>840.0</v>
      </c>
      <c r="H66" s="174">
        <v>0.0</v>
      </c>
      <c r="I66" s="101">
        <v>0.0</v>
      </c>
      <c r="J66" s="101">
        <v>0.0</v>
      </c>
      <c r="K66" s="101">
        <v>0.0</v>
      </c>
      <c r="L66" s="101">
        <v>0.0</v>
      </c>
      <c r="M66" s="101">
        <v>1.0</v>
      </c>
      <c r="N66" s="101">
        <v>0.0</v>
      </c>
      <c r="O66" s="101">
        <v>0.0</v>
      </c>
      <c r="P66" s="101">
        <v>0.0</v>
      </c>
      <c r="Q66" s="101">
        <v>0.0</v>
      </c>
      <c r="R66" s="101">
        <v>0.0</v>
      </c>
      <c r="S66" s="101">
        <v>0.0</v>
      </c>
      <c r="T66" s="101">
        <v>0.0</v>
      </c>
      <c r="U66" s="101">
        <v>0.0</v>
      </c>
      <c r="V66" s="101">
        <v>0.0</v>
      </c>
      <c r="W66" s="101">
        <v>0.0</v>
      </c>
      <c r="X66" s="101">
        <v>0.0</v>
      </c>
      <c r="Y66" s="101">
        <v>0.0</v>
      </c>
      <c r="Z66" s="101">
        <v>0.0</v>
      </c>
      <c r="AA66" s="101">
        <v>0.0</v>
      </c>
      <c r="AB66" s="101">
        <v>0.0</v>
      </c>
    </row>
    <row r="67" ht="15.75" customHeight="1">
      <c r="A67" s="101">
        <v>10.0</v>
      </c>
      <c r="B67" s="101">
        <v>930.0</v>
      </c>
      <c r="C67" s="155"/>
      <c r="D67" s="155"/>
      <c r="E67" s="155"/>
      <c r="F67" s="155"/>
      <c r="G67" s="155"/>
      <c r="H67" s="174">
        <v>0.0</v>
      </c>
      <c r="I67" s="101">
        <v>0.0</v>
      </c>
      <c r="J67" s="101">
        <v>0.0</v>
      </c>
      <c r="K67" s="101">
        <v>0.0</v>
      </c>
      <c r="L67" s="101">
        <v>3.0</v>
      </c>
      <c r="M67" s="101">
        <v>0.0</v>
      </c>
      <c r="N67" s="101">
        <v>0.0</v>
      </c>
      <c r="O67" s="101">
        <v>0.0</v>
      </c>
      <c r="P67" s="101">
        <v>0.0</v>
      </c>
      <c r="Q67" s="101">
        <v>0.0</v>
      </c>
      <c r="R67" s="101">
        <v>0.0</v>
      </c>
      <c r="S67" s="101">
        <v>0.0</v>
      </c>
      <c r="T67" s="101">
        <v>0.0</v>
      </c>
      <c r="U67" s="101">
        <v>0.0</v>
      </c>
      <c r="V67" s="101">
        <v>0.0</v>
      </c>
      <c r="W67" s="101">
        <v>0.0</v>
      </c>
      <c r="X67" s="101">
        <v>0.0</v>
      </c>
      <c r="Y67" s="101">
        <v>0.0</v>
      </c>
      <c r="Z67" s="101">
        <v>0.0</v>
      </c>
      <c r="AA67" s="101">
        <v>0.0</v>
      </c>
      <c r="AB67" s="101">
        <v>0.0</v>
      </c>
    </row>
    <row r="68" ht="15.75" customHeight="1">
      <c r="A68" s="101">
        <v>11.0</v>
      </c>
      <c r="B68" s="101">
        <v>980.0</v>
      </c>
      <c r="H68" s="174">
        <v>0.0</v>
      </c>
      <c r="I68" s="101">
        <v>0.0</v>
      </c>
      <c r="J68" s="101">
        <v>0.0</v>
      </c>
      <c r="K68" s="101">
        <v>0.0</v>
      </c>
      <c r="L68" s="101">
        <v>0.0</v>
      </c>
      <c r="M68" s="101">
        <v>3.0</v>
      </c>
      <c r="N68" s="101">
        <v>0.0</v>
      </c>
      <c r="O68" s="101">
        <v>0.0</v>
      </c>
      <c r="P68" s="101">
        <v>0.0</v>
      </c>
      <c r="Q68" s="101">
        <v>0.0</v>
      </c>
      <c r="R68" s="101">
        <v>0.0</v>
      </c>
      <c r="S68" s="101">
        <v>0.0</v>
      </c>
      <c r="T68" s="101">
        <v>0.0</v>
      </c>
      <c r="U68" s="101">
        <v>0.0</v>
      </c>
      <c r="V68" s="101">
        <v>0.0</v>
      </c>
      <c r="W68" s="101">
        <v>0.0</v>
      </c>
      <c r="X68" s="101">
        <v>0.0</v>
      </c>
      <c r="Y68" s="101">
        <v>0.0</v>
      </c>
      <c r="Z68" s="101">
        <v>0.0</v>
      </c>
      <c r="AA68" s="101">
        <v>0.0</v>
      </c>
      <c r="AB68" s="101">
        <v>0.0</v>
      </c>
    </row>
    <row r="69" ht="15.75" customHeight="1">
      <c r="A69" s="101">
        <v>12.0</v>
      </c>
      <c r="B69" s="101">
        <v>840.0</v>
      </c>
      <c r="C69" s="155"/>
      <c r="D69" s="155"/>
      <c r="E69" s="155"/>
      <c r="F69" s="155"/>
      <c r="G69" s="155"/>
      <c r="H69" s="174">
        <v>0.0</v>
      </c>
      <c r="I69" s="101">
        <v>0.0</v>
      </c>
      <c r="J69" s="101">
        <v>0.0</v>
      </c>
      <c r="K69" s="101">
        <v>2.0</v>
      </c>
      <c r="L69" s="101">
        <v>0.0</v>
      </c>
      <c r="M69" s="101">
        <v>0.0</v>
      </c>
      <c r="N69" s="101">
        <v>0.0</v>
      </c>
      <c r="O69" s="101">
        <v>0.0</v>
      </c>
      <c r="P69" s="101">
        <v>0.0</v>
      </c>
      <c r="Q69" s="101">
        <v>0.0</v>
      </c>
      <c r="R69" s="101">
        <v>0.0</v>
      </c>
      <c r="S69" s="101">
        <v>0.0</v>
      </c>
      <c r="T69" s="101">
        <v>0.0</v>
      </c>
      <c r="U69" s="101">
        <v>0.0</v>
      </c>
      <c r="V69" s="101">
        <v>0.0</v>
      </c>
      <c r="W69" s="101">
        <v>0.0</v>
      </c>
      <c r="X69" s="101">
        <v>0.0</v>
      </c>
      <c r="Y69" s="101">
        <v>0.0</v>
      </c>
      <c r="Z69" s="101">
        <v>0.0</v>
      </c>
      <c r="AA69" s="101">
        <v>0.0</v>
      </c>
      <c r="AB69" s="101">
        <v>0.0</v>
      </c>
    </row>
    <row r="70" ht="15.75" customHeight="1">
      <c r="A70" s="101">
        <v>13.0</v>
      </c>
      <c r="B70" s="101">
        <v>1110.0</v>
      </c>
      <c r="H70" s="174">
        <v>0.0</v>
      </c>
      <c r="I70" s="101">
        <v>0.0</v>
      </c>
      <c r="J70" s="101">
        <v>0.0</v>
      </c>
      <c r="K70" s="101">
        <v>0.0</v>
      </c>
      <c r="L70" s="101">
        <v>0.0</v>
      </c>
      <c r="M70" s="101">
        <v>5.0</v>
      </c>
      <c r="N70" s="101">
        <v>0.0</v>
      </c>
      <c r="O70" s="101">
        <v>0.0</v>
      </c>
      <c r="P70" s="101">
        <v>0.0</v>
      </c>
      <c r="Q70" s="101">
        <v>0.0</v>
      </c>
      <c r="R70" s="101">
        <v>0.0</v>
      </c>
      <c r="S70" s="101">
        <v>0.0</v>
      </c>
      <c r="T70" s="101">
        <v>0.0</v>
      </c>
      <c r="U70" s="101">
        <v>0.0</v>
      </c>
      <c r="V70" s="101">
        <v>0.0</v>
      </c>
      <c r="W70" s="101">
        <v>0.0</v>
      </c>
      <c r="X70" s="101">
        <v>0.0</v>
      </c>
      <c r="Y70" s="101">
        <v>0.0</v>
      </c>
      <c r="Z70" s="101">
        <v>0.0</v>
      </c>
      <c r="AA70" s="101">
        <v>0.0</v>
      </c>
      <c r="AB70" s="101">
        <v>0.0</v>
      </c>
    </row>
    <row r="71" ht="15.75" customHeight="1">
      <c r="A71" s="101">
        <v>14.0</v>
      </c>
      <c r="B71" s="101">
        <v>830.0</v>
      </c>
      <c r="C71" s="155"/>
      <c r="D71" s="155"/>
      <c r="E71" s="155"/>
      <c r="F71" s="155"/>
      <c r="G71" s="155"/>
      <c r="H71" s="174">
        <v>50.0</v>
      </c>
      <c r="I71" s="101">
        <v>0.0</v>
      </c>
      <c r="J71" s="101">
        <v>0.0</v>
      </c>
      <c r="K71" s="101">
        <v>0.0</v>
      </c>
      <c r="L71" s="101">
        <v>0.0</v>
      </c>
      <c r="M71" s="101">
        <v>0.0</v>
      </c>
      <c r="N71" s="101">
        <v>0.0</v>
      </c>
      <c r="O71" s="101">
        <v>0.0</v>
      </c>
      <c r="P71" s="101">
        <v>0.0</v>
      </c>
      <c r="Q71" s="101">
        <v>0.0</v>
      </c>
      <c r="R71" s="101">
        <v>0.0</v>
      </c>
      <c r="S71" s="101">
        <v>0.0</v>
      </c>
      <c r="T71" s="101">
        <v>0.0</v>
      </c>
      <c r="U71" s="101">
        <v>0.0</v>
      </c>
      <c r="V71" s="101">
        <v>0.0</v>
      </c>
      <c r="W71" s="101">
        <v>0.0</v>
      </c>
      <c r="X71" s="101">
        <v>0.0</v>
      </c>
      <c r="Y71" s="101">
        <v>0.0</v>
      </c>
      <c r="Z71" s="101">
        <v>0.0</v>
      </c>
      <c r="AA71" s="101">
        <v>0.0</v>
      </c>
      <c r="AB71" s="101">
        <v>0.0</v>
      </c>
    </row>
    <row r="72" ht="15.75" customHeight="1">
      <c r="A72" s="101">
        <v>15.0</v>
      </c>
      <c r="B72" s="101">
        <v>880.0</v>
      </c>
      <c r="H72" s="174">
        <v>0.0</v>
      </c>
      <c r="I72" s="101">
        <v>0.0</v>
      </c>
      <c r="J72" s="101">
        <v>0.0</v>
      </c>
      <c r="K72" s="101">
        <v>0.0</v>
      </c>
      <c r="L72" s="101">
        <v>2.0</v>
      </c>
      <c r="M72" s="101">
        <v>0.0</v>
      </c>
      <c r="N72" s="101">
        <v>0.0</v>
      </c>
      <c r="O72" s="101">
        <v>0.0</v>
      </c>
      <c r="P72" s="101">
        <v>0.0</v>
      </c>
      <c r="Q72" s="101">
        <v>0.0</v>
      </c>
      <c r="R72" s="101">
        <v>0.0</v>
      </c>
      <c r="S72" s="101">
        <v>0.0</v>
      </c>
      <c r="T72" s="101">
        <v>0.0</v>
      </c>
      <c r="U72" s="101">
        <v>0.0</v>
      </c>
      <c r="V72" s="101">
        <v>0.0</v>
      </c>
      <c r="W72" s="101">
        <v>0.0</v>
      </c>
      <c r="X72" s="101">
        <v>0.0</v>
      </c>
      <c r="Y72" s="101">
        <v>0.0</v>
      </c>
      <c r="Z72" s="101">
        <v>0.0</v>
      </c>
      <c r="AA72" s="101">
        <v>0.0</v>
      </c>
      <c r="AB72" s="101">
        <v>0.0</v>
      </c>
    </row>
    <row r="73" ht="15.75" customHeight="1"/>
    <row r="74" ht="19.5" customHeight="1">
      <c r="A74" s="91" t="s">
        <v>251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</row>
    <row r="75" ht="90.0" customHeight="1">
      <c r="A75" s="96" t="s">
        <v>249</v>
      </c>
      <c r="B75" s="96" t="s">
        <v>250</v>
      </c>
      <c r="H75" s="173" t="s">
        <v>19</v>
      </c>
      <c r="I75" s="99" t="s">
        <v>5</v>
      </c>
      <c r="J75" s="99" t="s">
        <v>77</v>
      </c>
      <c r="K75" s="99" t="s">
        <v>6</v>
      </c>
      <c r="L75" s="99" t="s">
        <v>7</v>
      </c>
      <c r="M75" s="99" t="s">
        <v>8</v>
      </c>
      <c r="N75" s="99" t="s">
        <v>9</v>
      </c>
      <c r="O75" s="99" t="s">
        <v>10</v>
      </c>
      <c r="P75" s="99" t="s">
        <v>11</v>
      </c>
      <c r="Q75" s="99" t="s">
        <v>12</v>
      </c>
      <c r="R75" s="99" t="s">
        <v>13</v>
      </c>
      <c r="S75" s="99" t="s">
        <v>14</v>
      </c>
      <c r="T75" s="99" t="s">
        <v>15</v>
      </c>
      <c r="U75" s="99" t="s">
        <v>92</v>
      </c>
      <c r="V75" s="99" t="s">
        <v>78</v>
      </c>
      <c r="W75" s="99" t="s">
        <v>79</v>
      </c>
      <c r="X75" s="99" t="s">
        <v>80</v>
      </c>
      <c r="Y75" s="99" t="s">
        <v>81</v>
      </c>
      <c r="Z75" s="99" t="s">
        <v>82</v>
      </c>
      <c r="AA75" s="99" t="s">
        <v>83</v>
      </c>
      <c r="AB75" s="99" t="s">
        <v>84</v>
      </c>
    </row>
    <row r="76" ht="15.75" customHeight="1">
      <c r="A76" s="101">
        <v>1.0</v>
      </c>
      <c r="B76" s="101">
        <v>830.0</v>
      </c>
      <c r="H76" s="174">
        <v>0.0</v>
      </c>
      <c r="I76" s="101">
        <v>0.0</v>
      </c>
      <c r="J76" s="101">
        <v>0.0</v>
      </c>
      <c r="K76" s="101">
        <v>0.0</v>
      </c>
      <c r="L76" s="101">
        <v>0.0</v>
      </c>
      <c r="M76" s="101">
        <v>0.0</v>
      </c>
      <c r="N76" s="101">
        <v>1.0</v>
      </c>
      <c r="O76" s="101">
        <v>0.0</v>
      </c>
      <c r="P76" s="101">
        <v>0.0</v>
      </c>
      <c r="Q76" s="101">
        <v>0.0</v>
      </c>
      <c r="R76" s="101">
        <v>0.0</v>
      </c>
      <c r="S76" s="101">
        <v>0.0</v>
      </c>
      <c r="T76" s="101">
        <v>0.0</v>
      </c>
      <c r="U76" s="101">
        <v>0.0</v>
      </c>
      <c r="V76" s="101">
        <v>0.0</v>
      </c>
      <c r="W76" s="101">
        <v>0.0</v>
      </c>
      <c r="X76" s="101">
        <v>0.0</v>
      </c>
      <c r="Y76" s="101">
        <v>0.0</v>
      </c>
      <c r="Z76" s="101">
        <v>0.0</v>
      </c>
      <c r="AA76" s="101">
        <v>0.0</v>
      </c>
      <c r="AB76" s="101">
        <v>0.0</v>
      </c>
    </row>
    <row r="77" ht="15.75" customHeight="1">
      <c r="A77" s="101">
        <v>2.0</v>
      </c>
      <c r="B77" s="101">
        <v>800.0</v>
      </c>
      <c r="C77" s="155"/>
      <c r="D77" s="155"/>
      <c r="E77" s="155"/>
      <c r="F77" s="155"/>
      <c r="G77" s="155"/>
      <c r="H77" s="174">
        <v>25.0</v>
      </c>
      <c r="I77" s="101">
        <v>0.0</v>
      </c>
      <c r="J77" s="101">
        <v>0.0</v>
      </c>
      <c r="K77" s="101">
        <v>0.0</v>
      </c>
      <c r="L77" s="101">
        <v>0.0</v>
      </c>
      <c r="M77" s="101">
        <v>0.0</v>
      </c>
      <c r="N77" s="101">
        <v>0.0</v>
      </c>
      <c r="O77" s="101">
        <v>0.0</v>
      </c>
      <c r="P77" s="101">
        <v>0.0</v>
      </c>
      <c r="Q77" s="101">
        <v>0.0</v>
      </c>
      <c r="R77" s="101">
        <v>0.0</v>
      </c>
      <c r="S77" s="101">
        <v>0.0</v>
      </c>
      <c r="T77" s="101">
        <v>0.0</v>
      </c>
      <c r="U77" s="101">
        <v>0.0</v>
      </c>
      <c r="V77" s="101">
        <v>0.0</v>
      </c>
      <c r="W77" s="101">
        <v>0.0</v>
      </c>
      <c r="X77" s="101">
        <v>0.0</v>
      </c>
      <c r="Y77" s="101">
        <v>0.0</v>
      </c>
      <c r="Z77" s="101">
        <v>0.0</v>
      </c>
      <c r="AA77" s="101">
        <v>0.0</v>
      </c>
      <c r="AB77" s="101">
        <v>0.0</v>
      </c>
    </row>
    <row r="78" ht="15.75" customHeight="1">
      <c r="A78" s="101">
        <v>3.0</v>
      </c>
      <c r="B78" s="101">
        <v>910.0</v>
      </c>
      <c r="H78" s="174">
        <v>0.0</v>
      </c>
      <c r="I78" s="101">
        <v>0.0</v>
      </c>
      <c r="J78" s="101">
        <v>0.0</v>
      </c>
      <c r="K78" s="101">
        <v>0.0</v>
      </c>
      <c r="L78" s="101">
        <v>0.0</v>
      </c>
      <c r="M78" s="101">
        <v>0.0</v>
      </c>
      <c r="N78" s="101">
        <v>0.0</v>
      </c>
      <c r="O78" s="101">
        <v>2.0</v>
      </c>
      <c r="P78" s="101">
        <v>0.0</v>
      </c>
      <c r="Q78" s="101">
        <v>0.0</v>
      </c>
      <c r="R78" s="101">
        <v>0.0</v>
      </c>
      <c r="S78" s="101">
        <v>0.0</v>
      </c>
      <c r="T78" s="101">
        <v>0.0</v>
      </c>
      <c r="U78" s="101">
        <v>0.0</v>
      </c>
      <c r="V78" s="101">
        <v>0.0</v>
      </c>
      <c r="W78" s="101">
        <v>0.0</v>
      </c>
      <c r="X78" s="101">
        <v>0.0</v>
      </c>
      <c r="Y78" s="101">
        <v>0.0</v>
      </c>
      <c r="Z78" s="101">
        <v>0.0</v>
      </c>
      <c r="AA78" s="101">
        <v>0.0</v>
      </c>
      <c r="AB78" s="101">
        <v>0.0</v>
      </c>
    </row>
    <row r="79" ht="15.75" customHeight="1">
      <c r="A79" s="101">
        <v>4.0</v>
      </c>
      <c r="B79" s="101">
        <v>940.0</v>
      </c>
      <c r="C79" s="155"/>
      <c r="D79" s="155"/>
      <c r="E79" s="155"/>
      <c r="F79" s="155"/>
      <c r="G79" s="155"/>
      <c r="H79" s="174">
        <v>0.0</v>
      </c>
      <c r="I79" s="101">
        <v>0.0</v>
      </c>
      <c r="J79" s="101">
        <v>0.0</v>
      </c>
      <c r="K79" s="101">
        <v>0.0</v>
      </c>
      <c r="L79" s="101">
        <v>0.0</v>
      </c>
      <c r="M79" s="101">
        <v>0.0</v>
      </c>
      <c r="N79" s="101">
        <v>0.0</v>
      </c>
      <c r="O79" s="101">
        <v>0.0</v>
      </c>
      <c r="P79" s="101">
        <v>1.0</v>
      </c>
      <c r="Q79" s="101">
        <v>0.0</v>
      </c>
      <c r="R79" s="101">
        <v>0.0</v>
      </c>
      <c r="S79" s="101">
        <v>0.0</v>
      </c>
      <c r="T79" s="101">
        <v>0.0</v>
      </c>
      <c r="U79" s="101">
        <v>0.0</v>
      </c>
      <c r="V79" s="101">
        <v>0.0</v>
      </c>
      <c r="W79" s="101">
        <v>0.0</v>
      </c>
      <c r="X79" s="101">
        <v>0.0</v>
      </c>
      <c r="Y79" s="101">
        <v>0.0</v>
      </c>
      <c r="Z79" s="101">
        <v>0.0</v>
      </c>
      <c r="AA79" s="101">
        <v>0.0</v>
      </c>
      <c r="AB79" s="101">
        <v>0.0</v>
      </c>
    </row>
    <row r="80" ht="15.75" customHeight="1">
      <c r="A80" s="101">
        <v>5.0</v>
      </c>
      <c r="B80" s="101">
        <v>910.0</v>
      </c>
      <c r="H80" s="174">
        <v>0.0</v>
      </c>
      <c r="I80" s="101">
        <v>0.0</v>
      </c>
      <c r="J80" s="101">
        <v>0.0</v>
      </c>
      <c r="K80" s="101">
        <v>0.0</v>
      </c>
      <c r="L80" s="101">
        <v>0.0</v>
      </c>
      <c r="M80" s="101">
        <v>0.0</v>
      </c>
      <c r="N80" s="101">
        <v>0.0</v>
      </c>
      <c r="O80" s="101">
        <v>2.0</v>
      </c>
      <c r="P80" s="101">
        <v>0.0</v>
      </c>
      <c r="Q80" s="101">
        <v>0.0</v>
      </c>
      <c r="R80" s="101">
        <v>0.0</v>
      </c>
      <c r="S80" s="101">
        <v>0.0</v>
      </c>
      <c r="T80" s="101">
        <v>0.0</v>
      </c>
      <c r="U80" s="101">
        <v>0.0</v>
      </c>
      <c r="V80" s="101">
        <v>0.0</v>
      </c>
      <c r="W80" s="101">
        <v>0.0</v>
      </c>
      <c r="X80" s="101">
        <v>0.0</v>
      </c>
      <c r="Y80" s="101">
        <v>0.0</v>
      </c>
      <c r="Z80" s="101">
        <v>0.0</v>
      </c>
      <c r="AA80" s="101">
        <v>0.0</v>
      </c>
      <c r="AB80" s="101">
        <v>0.0</v>
      </c>
    </row>
    <row r="81" ht="15.75" customHeight="1">
      <c r="A81" s="101">
        <v>6.0</v>
      </c>
      <c r="B81" s="101">
        <v>880.0</v>
      </c>
      <c r="C81" s="155"/>
      <c r="D81" s="155"/>
      <c r="E81" s="155"/>
      <c r="F81" s="155"/>
      <c r="G81" s="155"/>
      <c r="H81" s="174">
        <v>0.0</v>
      </c>
      <c r="I81" s="101">
        <v>0.0</v>
      </c>
      <c r="J81" s="101">
        <v>0.0</v>
      </c>
      <c r="K81" s="101">
        <v>0.0</v>
      </c>
      <c r="L81" s="101">
        <v>0.0</v>
      </c>
      <c r="M81" s="101">
        <v>0.0</v>
      </c>
      <c r="N81" s="101">
        <v>2.0</v>
      </c>
      <c r="O81" s="101">
        <v>0.0</v>
      </c>
      <c r="P81" s="101">
        <v>0.0</v>
      </c>
      <c r="Q81" s="101">
        <v>0.0</v>
      </c>
      <c r="R81" s="101">
        <v>0.0</v>
      </c>
      <c r="S81" s="101">
        <v>0.0</v>
      </c>
      <c r="T81" s="101">
        <v>0.0</v>
      </c>
      <c r="U81" s="101">
        <v>0.0</v>
      </c>
      <c r="V81" s="101">
        <v>0.0</v>
      </c>
      <c r="W81" s="101">
        <v>0.0</v>
      </c>
      <c r="X81" s="101">
        <v>0.0</v>
      </c>
      <c r="Y81" s="101">
        <v>0.0</v>
      </c>
      <c r="Z81" s="101">
        <v>0.0</v>
      </c>
      <c r="AA81" s="101">
        <v>0.0</v>
      </c>
      <c r="AB81" s="101">
        <v>0.0</v>
      </c>
    </row>
    <row r="82" ht="15.75" customHeight="1">
      <c r="A82" s="101">
        <v>7.0</v>
      </c>
      <c r="B82" s="101">
        <v>940.0</v>
      </c>
      <c r="H82" s="174">
        <v>0.0</v>
      </c>
      <c r="I82" s="101">
        <v>0.0</v>
      </c>
      <c r="J82" s="101">
        <v>0.0</v>
      </c>
      <c r="K82" s="101">
        <v>0.0</v>
      </c>
      <c r="L82" s="101">
        <v>0.0</v>
      </c>
      <c r="M82" s="101">
        <v>0.0</v>
      </c>
      <c r="N82" s="101">
        <v>0.0</v>
      </c>
      <c r="O82" s="101">
        <v>0.0</v>
      </c>
      <c r="P82" s="101">
        <v>1.0</v>
      </c>
      <c r="Q82" s="101">
        <v>0.0</v>
      </c>
      <c r="R82" s="101">
        <v>0.0</v>
      </c>
      <c r="S82" s="101">
        <v>0.0</v>
      </c>
      <c r="T82" s="101">
        <v>0.0</v>
      </c>
      <c r="U82" s="101">
        <v>0.0</v>
      </c>
      <c r="V82" s="101">
        <v>0.0</v>
      </c>
      <c r="W82" s="101">
        <v>0.0</v>
      </c>
      <c r="X82" s="101">
        <v>0.0</v>
      </c>
      <c r="Y82" s="101">
        <v>0.0</v>
      </c>
      <c r="Z82" s="101">
        <v>0.0</v>
      </c>
      <c r="AA82" s="101">
        <v>0.0</v>
      </c>
      <c r="AB82" s="101">
        <v>0.0</v>
      </c>
    </row>
    <row r="83" ht="15.75" customHeight="1">
      <c r="A83" s="101">
        <v>8.0</v>
      </c>
      <c r="B83" s="101">
        <v>980.0</v>
      </c>
      <c r="C83" s="155"/>
      <c r="D83" s="155"/>
      <c r="E83" s="155"/>
      <c r="F83" s="155"/>
      <c r="G83" s="155"/>
      <c r="H83" s="174">
        <v>0.0</v>
      </c>
      <c r="I83" s="101">
        <v>0.0</v>
      </c>
      <c r="J83" s="101">
        <v>0.0</v>
      </c>
      <c r="K83" s="101">
        <v>0.0</v>
      </c>
      <c r="L83" s="101">
        <v>0.0</v>
      </c>
      <c r="M83" s="101">
        <v>0.0</v>
      </c>
      <c r="N83" s="101">
        <v>0.0</v>
      </c>
      <c r="O83" s="101">
        <v>3.0</v>
      </c>
      <c r="P83" s="101">
        <v>0.0</v>
      </c>
      <c r="Q83" s="101">
        <v>0.0</v>
      </c>
      <c r="R83" s="101">
        <v>0.0</v>
      </c>
      <c r="S83" s="101">
        <v>0.0</v>
      </c>
      <c r="T83" s="101">
        <v>0.0</v>
      </c>
      <c r="U83" s="101">
        <v>0.0</v>
      </c>
      <c r="V83" s="101">
        <v>0.0</v>
      </c>
      <c r="W83" s="101">
        <v>0.0</v>
      </c>
      <c r="X83" s="101">
        <v>0.0</v>
      </c>
      <c r="Y83" s="101">
        <v>0.0</v>
      </c>
      <c r="Z83" s="101">
        <v>0.0</v>
      </c>
      <c r="AA83" s="101">
        <v>0.0</v>
      </c>
      <c r="AB83" s="101">
        <v>0.0</v>
      </c>
    </row>
    <row r="84" ht="15.75" customHeight="1">
      <c r="A84" s="101">
        <v>9.0</v>
      </c>
      <c r="B84" s="101">
        <v>830.0</v>
      </c>
      <c r="H84" s="174">
        <v>0.0</v>
      </c>
      <c r="I84" s="101">
        <v>0.0</v>
      </c>
      <c r="J84" s="101">
        <v>0.0</v>
      </c>
      <c r="K84" s="101">
        <v>0.0</v>
      </c>
      <c r="L84" s="101">
        <v>0.0</v>
      </c>
      <c r="M84" s="101">
        <v>0.0</v>
      </c>
      <c r="N84" s="101">
        <v>1.0</v>
      </c>
      <c r="O84" s="101">
        <v>0.0</v>
      </c>
      <c r="P84" s="101">
        <v>0.0</v>
      </c>
      <c r="Q84" s="101">
        <v>0.0</v>
      </c>
      <c r="R84" s="101">
        <v>0.0</v>
      </c>
      <c r="S84" s="101">
        <v>0.0</v>
      </c>
      <c r="T84" s="101">
        <v>0.0</v>
      </c>
      <c r="U84" s="101">
        <v>0.0</v>
      </c>
      <c r="V84" s="101">
        <v>0.0</v>
      </c>
      <c r="W84" s="101">
        <v>0.0</v>
      </c>
      <c r="X84" s="101">
        <v>0.0</v>
      </c>
      <c r="Y84" s="101">
        <v>0.0</v>
      </c>
      <c r="Z84" s="101">
        <v>0.0</v>
      </c>
      <c r="AA84" s="101">
        <v>0.0</v>
      </c>
      <c r="AB84" s="101">
        <v>0.0</v>
      </c>
    </row>
    <row r="85" ht="15.75" customHeight="1">
      <c r="A85" s="101">
        <v>10.0</v>
      </c>
      <c r="B85" s="101">
        <v>810.0</v>
      </c>
      <c r="C85" s="155"/>
      <c r="D85" s="155"/>
      <c r="E85" s="155"/>
      <c r="F85" s="155"/>
      <c r="G85" s="155"/>
      <c r="H85" s="174">
        <v>35.0</v>
      </c>
      <c r="I85" s="101">
        <v>0.0</v>
      </c>
      <c r="J85" s="101">
        <v>0.0</v>
      </c>
      <c r="K85" s="101">
        <v>0.0</v>
      </c>
      <c r="L85" s="101">
        <v>0.0</v>
      </c>
      <c r="M85" s="101">
        <v>0.0</v>
      </c>
      <c r="N85" s="101">
        <v>0.0</v>
      </c>
      <c r="O85" s="101">
        <v>0.0</v>
      </c>
      <c r="P85" s="101">
        <v>0.0</v>
      </c>
      <c r="Q85" s="101">
        <v>0.0</v>
      </c>
      <c r="R85" s="101">
        <v>0.0</v>
      </c>
      <c r="S85" s="101">
        <v>0.0</v>
      </c>
      <c r="T85" s="101">
        <v>0.0</v>
      </c>
      <c r="U85" s="101">
        <v>0.0</v>
      </c>
      <c r="V85" s="101">
        <v>0.0</v>
      </c>
      <c r="W85" s="101">
        <v>0.0</v>
      </c>
      <c r="X85" s="101">
        <v>0.0</v>
      </c>
      <c r="Y85" s="101">
        <v>0.0</v>
      </c>
      <c r="Z85" s="101">
        <v>0.0</v>
      </c>
      <c r="AA85" s="101">
        <v>0.0</v>
      </c>
      <c r="AB85" s="101">
        <v>0.0</v>
      </c>
    </row>
    <row r="86" ht="15.75" customHeight="1">
      <c r="A86" s="101">
        <v>11.0</v>
      </c>
      <c r="B86" s="101">
        <v>1110.0</v>
      </c>
      <c r="H86" s="174">
        <v>0.0</v>
      </c>
      <c r="I86" s="101">
        <v>0.0</v>
      </c>
      <c r="J86" s="101">
        <v>0.0</v>
      </c>
      <c r="K86" s="101">
        <v>0.0</v>
      </c>
      <c r="L86" s="101">
        <v>0.0</v>
      </c>
      <c r="M86" s="101">
        <v>0.0</v>
      </c>
      <c r="N86" s="101">
        <v>0.0</v>
      </c>
      <c r="O86" s="101">
        <v>0.0</v>
      </c>
      <c r="P86" s="101">
        <v>2.0</v>
      </c>
      <c r="Q86" s="101">
        <v>0.0</v>
      </c>
      <c r="R86" s="101">
        <v>0.0</v>
      </c>
      <c r="S86" s="101">
        <v>0.0</v>
      </c>
      <c r="T86" s="101">
        <v>0.0</v>
      </c>
      <c r="U86" s="101">
        <v>0.0</v>
      </c>
      <c r="V86" s="101">
        <v>0.0</v>
      </c>
      <c r="W86" s="101">
        <v>0.0</v>
      </c>
      <c r="X86" s="101">
        <v>0.0</v>
      </c>
      <c r="Y86" s="101">
        <v>0.0</v>
      </c>
      <c r="Z86" s="101">
        <v>0.0</v>
      </c>
      <c r="AA86" s="101">
        <v>0.0</v>
      </c>
      <c r="AB86" s="101">
        <v>0.0</v>
      </c>
    </row>
    <row r="87" ht="15.75" customHeight="1">
      <c r="A87" s="101">
        <v>12.0</v>
      </c>
      <c r="B87" s="101">
        <v>880.0</v>
      </c>
      <c r="C87" s="155"/>
      <c r="D87" s="155"/>
      <c r="E87" s="155"/>
      <c r="F87" s="155"/>
      <c r="G87" s="155"/>
      <c r="H87" s="174">
        <v>0.0</v>
      </c>
      <c r="I87" s="101">
        <v>0.0</v>
      </c>
      <c r="J87" s="101">
        <v>0.0</v>
      </c>
      <c r="K87" s="101">
        <v>0.0</v>
      </c>
      <c r="L87" s="101">
        <v>0.0</v>
      </c>
      <c r="M87" s="101">
        <v>0.0</v>
      </c>
      <c r="N87" s="101">
        <v>2.0</v>
      </c>
      <c r="O87" s="101">
        <v>0.0</v>
      </c>
      <c r="P87" s="101">
        <v>0.0</v>
      </c>
      <c r="Q87" s="101">
        <v>0.0</v>
      </c>
      <c r="R87" s="101">
        <v>0.0</v>
      </c>
      <c r="S87" s="101">
        <v>0.0</v>
      </c>
      <c r="T87" s="101">
        <v>0.0</v>
      </c>
      <c r="U87" s="101">
        <v>0.0</v>
      </c>
      <c r="V87" s="101">
        <v>0.0</v>
      </c>
      <c r="W87" s="101">
        <v>0.0</v>
      </c>
      <c r="X87" s="101">
        <v>0.0</v>
      </c>
      <c r="Y87" s="101">
        <v>0.0</v>
      </c>
      <c r="Z87" s="101">
        <v>0.0</v>
      </c>
      <c r="AA87" s="101">
        <v>0.0</v>
      </c>
      <c r="AB87" s="101">
        <v>0.0</v>
      </c>
    </row>
    <row r="88" ht="15.75" customHeight="1">
      <c r="A88" s="101">
        <v>13.0</v>
      </c>
      <c r="B88" s="101">
        <v>910.0</v>
      </c>
      <c r="H88" s="174">
        <v>0.0</v>
      </c>
      <c r="I88" s="101">
        <v>0.0</v>
      </c>
      <c r="J88" s="101">
        <v>0.0</v>
      </c>
      <c r="K88" s="101">
        <v>0.0</v>
      </c>
      <c r="L88" s="101">
        <v>0.0</v>
      </c>
      <c r="M88" s="101">
        <v>0.0</v>
      </c>
      <c r="N88" s="101">
        <v>0.0</v>
      </c>
      <c r="O88" s="101">
        <v>2.0</v>
      </c>
      <c r="P88" s="101">
        <v>0.0</v>
      </c>
      <c r="Q88" s="101">
        <v>0.0</v>
      </c>
      <c r="R88" s="101">
        <v>0.0</v>
      </c>
      <c r="S88" s="101">
        <v>0.0</v>
      </c>
      <c r="T88" s="101">
        <v>0.0</v>
      </c>
      <c r="U88" s="101">
        <v>0.0</v>
      </c>
      <c r="V88" s="101">
        <v>0.0</v>
      </c>
      <c r="W88" s="101">
        <v>0.0</v>
      </c>
      <c r="X88" s="101">
        <v>0.0</v>
      </c>
      <c r="Y88" s="101">
        <v>0.0</v>
      </c>
      <c r="Z88" s="101">
        <v>0.0</v>
      </c>
      <c r="AA88" s="101">
        <v>0.0</v>
      </c>
      <c r="AB88" s="101">
        <v>0.0</v>
      </c>
    </row>
    <row r="89" ht="15.75" customHeight="1">
      <c r="A89" s="101">
        <v>14.0</v>
      </c>
      <c r="B89" s="101">
        <v>1110.0</v>
      </c>
      <c r="C89" s="155"/>
      <c r="D89" s="155"/>
      <c r="E89" s="155"/>
      <c r="F89" s="155"/>
      <c r="G89" s="155"/>
      <c r="H89" s="174">
        <v>0.0</v>
      </c>
      <c r="I89" s="101">
        <v>0.0</v>
      </c>
      <c r="J89" s="101">
        <v>0.0</v>
      </c>
      <c r="K89" s="101">
        <v>0.0</v>
      </c>
      <c r="L89" s="101">
        <v>0.0</v>
      </c>
      <c r="M89" s="101">
        <v>0.0</v>
      </c>
      <c r="N89" s="101">
        <v>0.0</v>
      </c>
      <c r="O89" s="101">
        <v>0.0</v>
      </c>
      <c r="P89" s="101">
        <v>2.0</v>
      </c>
      <c r="Q89" s="101">
        <v>0.0</v>
      </c>
      <c r="R89" s="101">
        <v>0.0</v>
      </c>
      <c r="S89" s="101">
        <v>0.0</v>
      </c>
      <c r="T89" s="101">
        <v>0.0</v>
      </c>
      <c r="U89" s="101">
        <v>0.0</v>
      </c>
      <c r="V89" s="101">
        <v>0.0</v>
      </c>
      <c r="W89" s="101">
        <v>0.0</v>
      </c>
      <c r="X89" s="101">
        <v>0.0</v>
      </c>
      <c r="Y89" s="101">
        <v>0.0</v>
      </c>
      <c r="Z89" s="101">
        <v>0.0</v>
      </c>
      <c r="AA89" s="101">
        <v>0.0</v>
      </c>
      <c r="AB89" s="101">
        <v>0.0</v>
      </c>
    </row>
    <row r="90" ht="15.75" customHeight="1">
      <c r="A90" s="101">
        <v>15.0</v>
      </c>
      <c r="B90" s="101">
        <v>840.0</v>
      </c>
      <c r="H90" s="174">
        <v>0.0</v>
      </c>
      <c r="I90" s="101">
        <v>0.0</v>
      </c>
      <c r="J90" s="101">
        <v>0.0</v>
      </c>
      <c r="K90" s="101">
        <v>0.0</v>
      </c>
      <c r="L90" s="101">
        <v>0.0</v>
      </c>
      <c r="M90" s="101">
        <v>0.0</v>
      </c>
      <c r="N90" s="101">
        <v>0.0</v>
      </c>
      <c r="O90" s="101">
        <v>1.0</v>
      </c>
      <c r="P90" s="101">
        <v>0.0</v>
      </c>
      <c r="Q90" s="101">
        <v>0.0</v>
      </c>
      <c r="R90" s="101">
        <v>0.0</v>
      </c>
      <c r="S90" s="101">
        <v>0.0</v>
      </c>
      <c r="T90" s="101">
        <v>0.0</v>
      </c>
      <c r="U90" s="101">
        <v>0.0</v>
      </c>
      <c r="V90" s="101">
        <v>0.0</v>
      </c>
      <c r="W90" s="101">
        <v>0.0</v>
      </c>
      <c r="X90" s="101">
        <v>0.0</v>
      </c>
      <c r="Y90" s="101">
        <v>0.0</v>
      </c>
      <c r="Z90" s="101">
        <v>0.0</v>
      </c>
      <c r="AA90" s="101">
        <v>0.0</v>
      </c>
      <c r="AB90" s="101">
        <v>0.0</v>
      </c>
    </row>
    <row r="91" ht="15.75" customHeight="1"/>
    <row r="92" ht="19.5" customHeight="1">
      <c r="A92" s="91" t="s">
        <v>252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</row>
    <row r="93" ht="90.0" customHeight="1">
      <c r="A93" s="96" t="s">
        <v>249</v>
      </c>
      <c r="B93" s="96" t="s">
        <v>250</v>
      </c>
      <c r="H93" s="173" t="s">
        <v>19</v>
      </c>
      <c r="I93" s="99" t="s">
        <v>5</v>
      </c>
      <c r="J93" s="99" t="s">
        <v>77</v>
      </c>
      <c r="K93" s="99" t="s">
        <v>6</v>
      </c>
      <c r="L93" s="99" t="s">
        <v>7</v>
      </c>
      <c r="M93" s="99" t="s">
        <v>8</v>
      </c>
      <c r="N93" s="99" t="s">
        <v>9</v>
      </c>
      <c r="O93" s="99" t="s">
        <v>10</v>
      </c>
      <c r="P93" s="99" t="s">
        <v>11</v>
      </c>
      <c r="Q93" s="99" t="s">
        <v>12</v>
      </c>
      <c r="R93" s="99" t="s">
        <v>13</v>
      </c>
      <c r="S93" s="99" t="s">
        <v>14</v>
      </c>
      <c r="T93" s="99" t="s">
        <v>15</v>
      </c>
      <c r="U93" s="99" t="s">
        <v>92</v>
      </c>
      <c r="V93" s="99" t="s">
        <v>78</v>
      </c>
      <c r="W93" s="99" t="s">
        <v>79</v>
      </c>
      <c r="X93" s="99" t="s">
        <v>80</v>
      </c>
      <c r="Y93" s="99" t="s">
        <v>81</v>
      </c>
      <c r="Z93" s="99" t="s">
        <v>82</v>
      </c>
      <c r="AA93" s="99" t="s">
        <v>83</v>
      </c>
      <c r="AB93" s="99" t="s">
        <v>84</v>
      </c>
    </row>
    <row r="94" ht="15.75" customHeight="1">
      <c r="A94" s="101">
        <v>1.0</v>
      </c>
      <c r="B94" s="101">
        <v>940.0</v>
      </c>
      <c r="H94" s="174">
        <v>0.0</v>
      </c>
      <c r="I94" s="101">
        <v>0.0</v>
      </c>
      <c r="J94" s="101">
        <v>0.0</v>
      </c>
      <c r="K94" s="101">
        <v>0.0</v>
      </c>
      <c r="L94" s="101">
        <v>0.0</v>
      </c>
      <c r="M94" s="101">
        <v>0.0</v>
      </c>
      <c r="N94" s="101">
        <v>0.0</v>
      </c>
      <c r="O94" s="101">
        <v>0.0</v>
      </c>
      <c r="P94" s="101">
        <v>0.0</v>
      </c>
      <c r="Q94" s="101">
        <v>0.0</v>
      </c>
      <c r="R94" s="101">
        <v>0.0</v>
      </c>
      <c r="S94" s="101">
        <v>10.0</v>
      </c>
      <c r="T94" s="101">
        <v>0.0</v>
      </c>
      <c r="U94" s="101">
        <v>0.0</v>
      </c>
      <c r="V94" s="101">
        <v>0.0</v>
      </c>
      <c r="W94" s="101">
        <v>0.0</v>
      </c>
      <c r="X94" s="101">
        <v>0.0</v>
      </c>
      <c r="Y94" s="101">
        <v>0.0</v>
      </c>
      <c r="Z94" s="101">
        <v>0.0</v>
      </c>
      <c r="AA94" s="101">
        <v>0.0</v>
      </c>
      <c r="AB94" s="101">
        <v>0.0</v>
      </c>
    </row>
    <row r="95" ht="15.75" customHeight="1">
      <c r="A95" s="101">
        <v>2.0</v>
      </c>
      <c r="B95" s="101">
        <v>950.0</v>
      </c>
      <c r="C95" s="155"/>
      <c r="D95" s="155"/>
      <c r="E95" s="155"/>
      <c r="F95" s="155"/>
      <c r="G95" s="155"/>
      <c r="H95" s="174">
        <v>0.0</v>
      </c>
      <c r="I95" s="101">
        <v>0.0</v>
      </c>
      <c r="J95" s="101">
        <v>0.0</v>
      </c>
      <c r="K95" s="101">
        <v>0.0</v>
      </c>
      <c r="L95" s="101">
        <v>0.0</v>
      </c>
      <c r="M95" s="101">
        <v>0.0</v>
      </c>
      <c r="N95" s="101">
        <v>0.0</v>
      </c>
      <c r="O95" s="101">
        <v>0.0</v>
      </c>
      <c r="P95" s="101">
        <v>0.0</v>
      </c>
      <c r="Q95" s="101">
        <v>0.0</v>
      </c>
      <c r="R95" s="101">
        <v>0.0</v>
      </c>
      <c r="S95" s="101">
        <v>0.0</v>
      </c>
      <c r="T95" s="101">
        <v>10.0</v>
      </c>
      <c r="U95" s="101">
        <v>0.0</v>
      </c>
      <c r="V95" s="101">
        <v>0.0</v>
      </c>
      <c r="W95" s="101">
        <v>0.0</v>
      </c>
      <c r="X95" s="101">
        <v>0.0</v>
      </c>
      <c r="Y95" s="101">
        <v>0.0</v>
      </c>
      <c r="Z95" s="101">
        <v>0.0</v>
      </c>
      <c r="AA95" s="101">
        <v>0.0</v>
      </c>
      <c r="AB95" s="101">
        <v>0.0</v>
      </c>
    </row>
    <row r="96" ht="15.75" customHeight="1">
      <c r="A96" s="101">
        <v>3.0</v>
      </c>
      <c r="B96" s="101">
        <v>840.0</v>
      </c>
      <c r="H96" s="174">
        <v>0.0</v>
      </c>
      <c r="I96" s="101">
        <v>0.0</v>
      </c>
      <c r="J96" s="101">
        <v>0.0</v>
      </c>
      <c r="K96" s="101">
        <v>0.0</v>
      </c>
      <c r="L96" s="101">
        <v>0.0</v>
      </c>
      <c r="M96" s="101">
        <v>0.0</v>
      </c>
      <c r="N96" s="101">
        <v>0.0</v>
      </c>
      <c r="O96" s="101">
        <v>0.0</v>
      </c>
      <c r="P96" s="101">
        <v>0.0</v>
      </c>
      <c r="Q96" s="101">
        <v>15.0</v>
      </c>
      <c r="R96" s="101">
        <v>0.0</v>
      </c>
      <c r="S96" s="101">
        <v>0.0</v>
      </c>
      <c r="T96" s="101">
        <v>0.0</v>
      </c>
      <c r="U96" s="101">
        <v>0.0</v>
      </c>
      <c r="V96" s="101">
        <v>0.0</v>
      </c>
      <c r="W96" s="101">
        <v>0.0</v>
      </c>
      <c r="X96" s="101">
        <v>0.0</v>
      </c>
      <c r="Y96" s="101">
        <v>0.0</v>
      </c>
      <c r="Z96" s="101">
        <v>0.0</v>
      </c>
      <c r="AA96" s="101">
        <v>0.0</v>
      </c>
      <c r="AB96" s="101">
        <v>0.0</v>
      </c>
    </row>
    <row r="97" ht="15.75" customHeight="1">
      <c r="A97" s="101">
        <v>4.0</v>
      </c>
      <c r="B97" s="101">
        <v>940.0</v>
      </c>
      <c r="C97" s="155"/>
      <c r="D97" s="155"/>
      <c r="E97" s="155"/>
      <c r="F97" s="155"/>
      <c r="G97" s="155"/>
      <c r="H97" s="174">
        <v>0.0</v>
      </c>
      <c r="I97" s="101">
        <v>0.0</v>
      </c>
      <c r="J97" s="101">
        <v>0.0</v>
      </c>
      <c r="K97" s="101">
        <v>0.0</v>
      </c>
      <c r="L97" s="101">
        <v>0.0</v>
      </c>
      <c r="M97" s="101">
        <v>0.0</v>
      </c>
      <c r="N97" s="101">
        <v>0.0</v>
      </c>
      <c r="O97" s="101">
        <v>0.0</v>
      </c>
      <c r="P97" s="101">
        <v>0.0</v>
      </c>
      <c r="Q97" s="101">
        <v>0.0</v>
      </c>
      <c r="R97" s="101">
        <v>10.0</v>
      </c>
      <c r="S97" s="101">
        <v>0.0</v>
      </c>
      <c r="T97" s="101">
        <v>0.0</v>
      </c>
      <c r="U97" s="101">
        <v>0.0</v>
      </c>
      <c r="V97" s="101">
        <v>0.0</v>
      </c>
      <c r="W97" s="101">
        <v>0.0</v>
      </c>
      <c r="X97" s="101">
        <v>0.0</v>
      </c>
      <c r="Y97" s="101">
        <v>0.0</v>
      </c>
      <c r="Z97" s="101">
        <v>0.0</v>
      </c>
      <c r="AA97" s="101">
        <v>0.0</v>
      </c>
      <c r="AB97" s="101">
        <v>0.0</v>
      </c>
    </row>
    <row r="98" ht="15.75" customHeight="1">
      <c r="A98" s="101">
        <v>5.0</v>
      </c>
      <c r="B98" s="101">
        <v>900.0</v>
      </c>
      <c r="H98" s="174">
        <v>0.0</v>
      </c>
      <c r="I98" s="101">
        <v>0.0</v>
      </c>
      <c r="J98" s="101">
        <v>0.0</v>
      </c>
      <c r="K98" s="101">
        <v>0.0</v>
      </c>
      <c r="L98" s="101">
        <v>0.0</v>
      </c>
      <c r="M98" s="101">
        <v>0.0</v>
      </c>
      <c r="N98" s="101">
        <v>0.0</v>
      </c>
      <c r="O98" s="101">
        <v>0.0</v>
      </c>
      <c r="P98" s="101">
        <v>0.0</v>
      </c>
      <c r="Q98" s="101">
        <v>30.0</v>
      </c>
      <c r="R98" s="101">
        <v>0.0</v>
      </c>
      <c r="S98" s="101">
        <v>0.0</v>
      </c>
      <c r="T98" s="101">
        <v>0.0</v>
      </c>
      <c r="U98" s="101">
        <v>0.0</v>
      </c>
      <c r="V98" s="101">
        <v>0.0</v>
      </c>
      <c r="W98" s="101">
        <v>0.0</v>
      </c>
      <c r="X98" s="101">
        <v>0.0</v>
      </c>
      <c r="Y98" s="101">
        <v>0.0</v>
      </c>
      <c r="Z98" s="101">
        <v>0.0</v>
      </c>
      <c r="AA98" s="101">
        <v>0.0</v>
      </c>
      <c r="AB98" s="101">
        <v>0.0</v>
      </c>
    </row>
    <row r="99" ht="15.75" customHeight="1">
      <c r="A99" s="101">
        <v>6.0</v>
      </c>
      <c r="B99" s="101">
        <v>810.0</v>
      </c>
      <c r="C99" s="155"/>
      <c r="D99" s="155"/>
      <c r="E99" s="155"/>
      <c r="F99" s="155"/>
      <c r="G99" s="155"/>
      <c r="H99" s="174">
        <v>30.0</v>
      </c>
      <c r="I99" s="101">
        <v>0.0</v>
      </c>
      <c r="J99" s="101">
        <v>0.0</v>
      </c>
      <c r="K99" s="101">
        <v>0.0</v>
      </c>
      <c r="L99" s="101">
        <v>0.0</v>
      </c>
      <c r="M99" s="101">
        <v>0.0</v>
      </c>
      <c r="N99" s="101">
        <v>0.0</v>
      </c>
      <c r="O99" s="101">
        <v>0.0</v>
      </c>
      <c r="P99" s="101">
        <v>0.0</v>
      </c>
      <c r="Q99" s="101">
        <v>0.0</v>
      </c>
      <c r="R99" s="101">
        <v>0.0</v>
      </c>
      <c r="S99" s="101">
        <v>0.0</v>
      </c>
      <c r="T99" s="101">
        <v>0.0</v>
      </c>
      <c r="U99" s="101">
        <v>0.0</v>
      </c>
      <c r="V99" s="101">
        <v>0.0</v>
      </c>
      <c r="W99" s="101">
        <v>0.0</v>
      </c>
      <c r="X99" s="101">
        <v>0.0</v>
      </c>
      <c r="Y99" s="101">
        <v>0.0</v>
      </c>
      <c r="Z99" s="101">
        <v>0.0</v>
      </c>
      <c r="AA99" s="101">
        <v>0.0</v>
      </c>
      <c r="AB99" s="101">
        <v>0.0</v>
      </c>
    </row>
    <row r="100" ht="15.75" customHeight="1">
      <c r="A100" s="101">
        <v>7.0</v>
      </c>
      <c r="B100" s="101">
        <v>990.0</v>
      </c>
      <c r="H100" s="174">
        <v>0.0</v>
      </c>
      <c r="I100" s="101">
        <v>0.0</v>
      </c>
      <c r="J100" s="101">
        <v>0.0</v>
      </c>
      <c r="K100" s="101">
        <v>0.0</v>
      </c>
      <c r="L100" s="101">
        <v>0.0</v>
      </c>
      <c r="M100" s="101">
        <v>0.0</v>
      </c>
      <c r="N100" s="101">
        <v>0.0</v>
      </c>
      <c r="O100" s="101">
        <v>0.0</v>
      </c>
      <c r="P100" s="101">
        <v>0.0</v>
      </c>
      <c r="Q100" s="101">
        <v>0.0</v>
      </c>
      <c r="R100" s="101">
        <v>0.0</v>
      </c>
      <c r="S100" s="101">
        <v>15.0</v>
      </c>
      <c r="T100" s="101">
        <v>0.0</v>
      </c>
      <c r="U100" s="101">
        <v>0.0</v>
      </c>
      <c r="V100" s="101">
        <v>0.0</v>
      </c>
      <c r="W100" s="101">
        <v>0.0</v>
      </c>
      <c r="X100" s="101">
        <v>0.0</v>
      </c>
      <c r="Y100" s="101">
        <v>0.0</v>
      </c>
      <c r="Z100" s="101">
        <v>0.0</v>
      </c>
      <c r="AA100" s="101">
        <v>0.0</v>
      </c>
      <c r="AB100" s="101">
        <v>0.0</v>
      </c>
    </row>
    <row r="101" ht="15.75" customHeight="1">
      <c r="A101" s="101">
        <v>8.0</v>
      </c>
      <c r="B101" s="101">
        <v>980.0</v>
      </c>
      <c r="C101" s="155"/>
      <c r="D101" s="155"/>
      <c r="E101" s="155"/>
      <c r="F101" s="155"/>
      <c r="G101" s="155"/>
      <c r="H101" s="174">
        <v>0.0</v>
      </c>
      <c r="I101" s="101">
        <v>0.0</v>
      </c>
      <c r="J101" s="101">
        <v>0.0</v>
      </c>
      <c r="K101" s="101">
        <v>0.0</v>
      </c>
      <c r="L101" s="101">
        <v>0.0</v>
      </c>
      <c r="M101" s="101">
        <v>0.0</v>
      </c>
      <c r="N101" s="101">
        <v>0.0</v>
      </c>
      <c r="O101" s="101">
        <v>0.0</v>
      </c>
      <c r="P101" s="101">
        <v>0.0</v>
      </c>
      <c r="Q101" s="101">
        <v>0.0</v>
      </c>
      <c r="R101" s="101">
        <v>15.0</v>
      </c>
      <c r="S101" s="101">
        <v>0.0</v>
      </c>
      <c r="T101" s="101">
        <v>0.0</v>
      </c>
      <c r="U101" s="101">
        <v>0.0</v>
      </c>
      <c r="V101" s="101">
        <v>0.0</v>
      </c>
      <c r="W101" s="101">
        <v>0.0</v>
      </c>
      <c r="X101" s="101">
        <v>0.0</v>
      </c>
      <c r="Y101" s="101">
        <v>0.0</v>
      </c>
      <c r="Z101" s="101">
        <v>0.0</v>
      </c>
      <c r="AA101" s="101">
        <v>0.0</v>
      </c>
      <c r="AB101" s="101">
        <v>0.0</v>
      </c>
    </row>
    <row r="102" ht="15.75" customHeight="1">
      <c r="A102" s="101">
        <v>9.0</v>
      </c>
      <c r="B102" s="101">
        <v>900.0</v>
      </c>
      <c r="H102" s="174">
        <v>0.0</v>
      </c>
      <c r="I102" s="101">
        <v>0.0</v>
      </c>
      <c r="J102" s="101">
        <v>0.0</v>
      </c>
      <c r="K102" s="101">
        <v>0.0</v>
      </c>
      <c r="L102" s="101">
        <v>0.0</v>
      </c>
      <c r="M102" s="101">
        <v>0.0</v>
      </c>
      <c r="N102" s="101">
        <v>0.0</v>
      </c>
      <c r="O102" s="101">
        <v>0.0</v>
      </c>
      <c r="P102" s="101">
        <v>0.0</v>
      </c>
      <c r="Q102" s="101">
        <v>30.0</v>
      </c>
      <c r="R102" s="101">
        <v>0.0</v>
      </c>
      <c r="S102" s="101">
        <v>0.0</v>
      </c>
      <c r="T102" s="101">
        <v>0.0</v>
      </c>
      <c r="U102" s="101">
        <v>0.0</v>
      </c>
      <c r="V102" s="101">
        <v>0.0</v>
      </c>
      <c r="W102" s="101">
        <v>0.0</v>
      </c>
      <c r="X102" s="101">
        <v>0.0</v>
      </c>
      <c r="Y102" s="101">
        <v>0.0</v>
      </c>
      <c r="Z102" s="101">
        <v>0.0</v>
      </c>
      <c r="AA102" s="101">
        <v>0.0</v>
      </c>
      <c r="AB102" s="101">
        <v>0.0</v>
      </c>
    </row>
    <row r="103" ht="15.75" customHeight="1">
      <c r="A103" s="101">
        <v>10.0</v>
      </c>
      <c r="B103" s="101">
        <v>950.0</v>
      </c>
      <c r="C103" s="155"/>
      <c r="D103" s="155"/>
      <c r="E103" s="155"/>
      <c r="F103" s="155"/>
      <c r="G103" s="155"/>
      <c r="H103" s="174">
        <v>0.0</v>
      </c>
      <c r="I103" s="101">
        <v>0.0</v>
      </c>
      <c r="J103" s="101">
        <v>0.0</v>
      </c>
      <c r="K103" s="101">
        <v>0.0</v>
      </c>
      <c r="L103" s="101">
        <v>0.0</v>
      </c>
      <c r="M103" s="101">
        <v>0.0</v>
      </c>
      <c r="N103" s="101">
        <v>0.0</v>
      </c>
      <c r="O103" s="101">
        <v>0.0</v>
      </c>
      <c r="P103" s="101">
        <v>0.0</v>
      </c>
      <c r="Q103" s="101">
        <v>0.0</v>
      </c>
      <c r="R103" s="101">
        <v>0.0</v>
      </c>
      <c r="S103" s="101">
        <v>0.0</v>
      </c>
      <c r="T103" s="101">
        <v>10.0</v>
      </c>
      <c r="U103" s="101">
        <v>0.0</v>
      </c>
      <c r="V103" s="101">
        <v>0.0</v>
      </c>
      <c r="W103" s="101">
        <v>0.0</v>
      </c>
      <c r="X103" s="101">
        <v>0.0</v>
      </c>
      <c r="Y103" s="101">
        <v>0.0</v>
      </c>
      <c r="Z103" s="101">
        <v>0.0</v>
      </c>
      <c r="AA103" s="101">
        <v>0.0</v>
      </c>
      <c r="AB103" s="101">
        <v>0.0</v>
      </c>
    </row>
    <row r="104" ht="15.75" customHeight="1">
      <c r="A104" s="101">
        <v>11.0</v>
      </c>
      <c r="B104" s="101">
        <v>990.0</v>
      </c>
      <c r="H104" s="174">
        <v>0.0</v>
      </c>
      <c r="I104" s="101">
        <v>0.0</v>
      </c>
      <c r="J104" s="101">
        <v>0.0</v>
      </c>
      <c r="K104" s="101">
        <v>0.0</v>
      </c>
      <c r="L104" s="101">
        <v>0.0</v>
      </c>
      <c r="M104" s="101">
        <v>0.0</v>
      </c>
      <c r="N104" s="101">
        <v>0.0</v>
      </c>
      <c r="O104" s="101">
        <v>0.0</v>
      </c>
      <c r="P104" s="101">
        <v>0.0</v>
      </c>
      <c r="Q104" s="101">
        <v>0.0</v>
      </c>
      <c r="R104" s="101">
        <v>0.0</v>
      </c>
      <c r="S104" s="101">
        <v>15.0</v>
      </c>
      <c r="T104" s="101">
        <v>0.0</v>
      </c>
      <c r="U104" s="101">
        <v>0.0</v>
      </c>
      <c r="V104" s="101">
        <v>0.0</v>
      </c>
      <c r="W104" s="101">
        <v>0.0</v>
      </c>
      <c r="X104" s="101">
        <v>0.0</v>
      </c>
      <c r="Y104" s="101">
        <v>0.0</v>
      </c>
      <c r="Z104" s="101">
        <v>0.0</v>
      </c>
      <c r="AA104" s="101">
        <v>0.0</v>
      </c>
      <c r="AB104" s="101">
        <v>0.0</v>
      </c>
    </row>
    <row r="105" ht="15.75" customHeight="1">
      <c r="A105" s="101">
        <v>12.0</v>
      </c>
      <c r="B105" s="101">
        <v>830.0</v>
      </c>
      <c r="C105" s="155"/>
      <c r="D105" s="155"/>
      <c r="E105" s="155"/>
      <c r="F105" s="155"/>
      <c r="G105" s="155"/>
      <c r="H105" s="174">
        <v>50.0</v>
      </c>
      <c r="I105" s="101">
        <v>0.0</v>
      </c>
      <c r="J105" s="101">
        <v>0.0</v>
      </c>
      <c r="K105" s="101">
        <v>0.0</v>
      </c>
      <c r="L105" s="101">
        <v>0.0</v>
      </c>
      <c r="M105" s="101">
        <v>0.0</v>
      </c>
      <c r="N105" s="101">
        <v>0.0</v>
      </c>
      <c r="O105" s="101">
        <v>0.0</v>
      </c>
      <c r="P105" s="101">
        <v>0.0</v>
      </c>
      <c r="Q105" s="101">
        <v>0.0</v>
      </c>
      <c r="R105" s="101">
        <v>0.0</v>
      </c>
      <c r="S105" s="101">
        <v>0.0</v>
      </c>
      <c r="T105" s="101">
        <v>0.0</v>
      </c>
      <c r="U105" s="101">
        <v>0.0</v>
      </c>
      <c r="V105" s="101">
        <v>0.0</v>
      </c>
      <c r="W105" s="101">
        <v>0.0</v>
      </c>
      <c r="X105" s="101">
        <v>0.0</v>
      </c>
      <c r="Y105" s="101">
        <v>0.0</v>
      </c>
      <c r="Z105" s="101">
        <v>0.0</v>
      </c>
      <c r="AA105" s="101">
        <v>0.0</v>
      </c>
      <c r="AB105" s="101">
        <v>0.0</v>
      </c>
    </row>
    <row r="106" ht="15.75" customHeight="1">
      <c r="A106" s="101">
        <v>13.0</v>
      </c>
      <c r="B106" s="101">
        <v>940.0</v>
      </c>
      <c r="H106" s="174">
        <v>0.0</v>
      </c>
      <c r="I106" s="101">
        <v>0.0</v>
      </c>
      <c r="J106" s="101">
        <v>0.0</v>
      </c>
      <c r="K106" s="101">
        <v>0.0</v>
      </c>
      <c r="L106" s="101">
        <v>0.0</v>
      </c>
      <c r="M106" s="101">
        <v>0.0</v>
      </c>
      <c r="N106" s="101">
        <v>0.0</v>
      </c>
      <c r="O106" s="101">
        <v>0.0</v>
      </c>
      <c r="P106" s="101">
        <v>0.0</v>
      </c>
      <c r="Q106" s="101">
        <v>0.0</v>
      </c>
      <c r="R106" s="101">
        <v>10.0</v>
      </c>
      <c r="S106" s="101">
        <v>0.0</v>
      </c>
      <c r="T106" s="101">
        <v>0.0</v>
      </c>
      <c r="U106" s="101">
        <v>0.0</v>
      </c>
      <c r="V106" s="101">
        <v>0.0</v>
      </c>
      <c r="W106" s="101">
        <v>0.0</v>
      </c>
      <c r="X106" s="101">
        <v>0.0</v>
      </c>
      <c r="Y106" s="101">
        <v>0.0</v>
      </c>
      <c r="Z106" s="101">
        <v>0.0</v>
      </c>
      <c r="AA106" s="101">
        <v>0.0</v>
      </c>
      <c r="AB106" s="101">
        <v>0.0</v>
      </c>
    </row>
    <row r="107" ht="15.75" customHeight="1">
      <c r="A107" s="101">
        <v>14.0</v>
      </c>
      <c r="B107" s="101">
        <v>1040.0</v>
      </c>
      <c r="C107" s="155"/>
      <c r="D107" s="155"/>
      <c r="E107" s="155"/>
      <c r="F107" s="155"/>
      <c r="G107" s="155"/>
      <c r="H107" s="174">
        <v>0.0</v>
      </c>
      <c r="I107" s="101">
        <v>0.0</v>
      </c>
      <c r="J107" s="101">
        <v>0.0</v>
      </c>
      <c r="K107" s="101">
        <v>0.0</v>
      </c>
      <c r="L107" s="101">
        <v>0.0</v>
      </c>
      <c r="M107" s="101">
        <v>0.0</v>
      </c>
      <c r="N107" s="101">
        <v>0.0</v>
      </c>
      <c r="O107" s="101">
        <v>0.0</v>
      </c>
      <c r="P107" s="101">
        <v>0.0</v>
      </c>
      <c r="Q107" s="101">
        <v>0.0</v>
      </c>
      <c r="R107" s="101">
        <v>0.0</v>
      </c>
      <c r="S107" s="101">
        <v>0.0</v>
      </c>
      <c r="T107" s="101">
        <v>15.0</v>
      </c>
      <c r="U107" s="101">
        <v>0.0</v>
      </c>
      <c r="V107" s="101">
        <v>0.0</v>
      </c>
      <c r="W107" s="101">
        <v>0.0</v>
      </c>
      <c r="X107" s="101">
        <v>0.0</v>
      </c>
      <c r="Y107" s="101">
        <v>0.0</v>
      </c>
      <c r="Z107" s="101">
        <v>0.0</v>
      </c>
      <c r="AA107" s="101">
        <v>0.0</v>
      </c>
      <c r="AB107" s="101">
        <v>0.0</v>
      </c>
    </row>
    <row r="108" ht="15.75" customHeight="1">
      <c r="A108" s="101">
        <v>15.0</v>
      </c>
      <c r="B108" s="101">
        <v>1030.0</v>
      </c>
      <c r="H108" s="174">
        <v>0.0</v>
      </c>
      <c r="I108" s="101">
        <v>0.0</v>
      </c>
      <c r="J108" s="101">
        <v>0.0</v>
      </c>
      <c r="K108" s="101">
        <v>0.0</v>
      </c>
      <c r="L108" s="101">
        <v>0.0</v>
      </c>
      <c r="M108" s="101">
        <v>0.0</v>
      </c>
      <c r="N108" s="101">
        <v>0.0</v>
      </c>
      <c r="O108" s="101">
        <v>0.0</v>
      </c>
      <c r="P108" s="101">
        <v>0.0</v>
      </c>
      <c r="Q108" s="101">
        <v>60.0</v>
      </c>
      <c r="R108" s="101">
        <v>0.0</v>
      </c>
      <c r="S108" s="101">
        <v>0.0</v>
      </c>
      <c r="T108" s="101">
        <v>0.0</v>
      </c>
      <c r="U108" s="101">
        <v>0.0</v>
      </c>
      <c r="V108" s="101">
        <v>0.0</v>
      </c>
      <c r="W108" s="101">
        <v>0.0</v>
      </c>
      <c r="X108" s="101">
        <v>0.0</v>
      </c>
      <c r="Y108" s="101">
        <v>0.0</v>
      </c>
      <c r="Z108" s="101">
        <v>0.0</v>
      </c>
      <c r="AA108" s="101">
        <v>0.0</v>
      </c>
      <c r="AB108" s="101">
        <v>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</sheetData>
  <conditionalFormatting sqref="H25:AB54">
    <cfRule type="cellIs" dxfId="1" priority="1" operator="greaterThan">
      <formula>0</formula>
    </cfRule>
  </conditionalFormatting>
  <conditionalFormatting sqref="A25:AB54">
    <cfRule type="expression" dxfId="2" priority="2">
      <formula>MOD(INT((ROW()-13)/3),2)=0</formula>
    </cfRule>
  </conditionalFormatting>
  <conditionalFormatting sqref="C58:AB72">
    <cfRule type="cellIs" dxfId="1" priority="3" operator="greaterThan">
      <formula>0</formula>
    </cfRule>
  </conditionalFormatting>
  <conditionalFormatting sqref="A58:AB72">
    <cfRule type="expression" dxfId="2" priority="4">
      <formula>ISEVEN($A58)</formula>
    </cfRule>
  </conditionalFormatting>
  <conditionalFormatting sqref="C76:AB90">
    <cfRule type="cellIs" dxfId="1" priority="5" operator="greaterThan">
      <formula>0</formula>
    </cfRule>
  </conditionalFormatting>
  <conditionalFormatting sqref="A76:AB90">
    <cfRule type="expression" dxfId="2" priority="6">
      <formula>ISEVEN($A76)</formula>
    </cfRule>
  </conditionalFormatting>
  <conditionalFormatting sqref="C94:AB108">
    <cfRule type="cellIs" dxfId="1" priority="7" operator="greaterThan">
      <formula>0</formula>
    </cfRule>
  </conditionalFormatting>
  <conditionalFormatting sqref="A94:AB108">
    <cfRule type="expression" dxfId="2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1" t="s">
        <v>44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</row>
    <row r="3">
      <c r="A3" s="125" t="s">
        <v>255</v>
      </c>
      <c r="B3" s="126">
        <v>5.0</v>
      </c>
    </row>
    <row r="4">
      <c r="A4" s="125" t="s">
        <v>256</v>
      </c>
      <c r="B4" s="126">
        <v>1.0</v>
      </c>
    </row>
    <row r="5">
      <c r="A5" s="125" t="s">
        <v>257</v>
      </c>
      <c r="B5" s="126">
        <v>1.0</v>
      </c>
    </row>
    <row r="6">
      <c r="A6" s="125" t="s">
        <v>258</v>
      </c>
      <c r="B6" s="133">
        <v>27.0</v>
      </c>
    </row>
    <row r="7">
      <c r="A7" s="125" t="s">
        <v>164</v>
      </c>
      <c r="B7" s="133">
        <v>1.0</v>
      </c>
    </row>
    <row r="9" ht="19.5" customHeight="1">
      <c r="A9" s="92" t="s">
        <v>90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</row>
    <row r="10" ht="90.0" customHeight="1">
      <c r="A10" s="97" t="s">
        <v>191</v>
      </c>
      <c r="B10" s="173" t="s">
        <v>19</v>
      </c>
      <c r="C10" s="99" t="s">
        <v>5</v>
      </c>
      <c r="D10" s="99" t="s">
        <v>77</v>
      </c>
      <c r="E10" s="99" t="s">
        <v>6</v>
      </c>
      <c r="F10" s="99" t="s">
        <v>7</v>
      </c>
      <c r="G10" s="99" t="s">
        <v>8</v>
      </c>
      <c r="H10" s="99" t="s">
        <v>9</v>
      </c>
      <c r="I10" s="99" t="s">
        <v>10</v>
      </c>
      <c r="J10" s="99" t="s">
        <v>11</v>
      </c>
      <c r="K10" s="99" t="s">
        <v>12</v>
      </c>
      <c r="L10" s="99" t="s">
        <v>13</v>
      </c>
      <c r="M10" s="99" t="s">
        <v>14</v>
      </c>
      <c r="N10" s="99" t="s">
        <v>15</v>
      </c>
      <c r="O10" s="99" t="s">
        <v>92</v>
      </c>
      <c r="P10" s="99" t="s">
        <v>78</v>
      </c>
      <c r="Q10" s="99" t="s">
        <v>79</v>
      </c>
      <c r="R10" s="99" t="s">
        <v>80</v>
      </c>
      <c r="S10" s="99" t="s">
        <v>81</v>
      </c>
      <c r="T10" s="99" t="s">
        <v>82</v>
      </c>
      <c r="U10" s="99" t="s">
        <v>83</v>
      </c>
      <c r="V10" s="99" t="s">
        <v>84</v>
      </c>
    </row>
    <row r="11">
      <c r="A11" s="102">
        <v>1.0</v>
      </c>
      <c r="B11" s="174">
        <v>0.0</v>
      </c>
      <c r="C11" s="101">
        <v>20.0</v>
      </c>
      <c r="D11" s="101">
        <v>0.0</v>
      </c>
      <c r="E11" s="101">
        <v>1.0</v>
      </c>
      <c r="F11" s="101">
        <v>1.0</v>
      </c>
      <c r="G11" s="101">
        <v>1.0</v>
      </c>
      <c r="H11" s="101">
        <v>1.0</v>
      </c>
      <c r="I11" s="101">
        <v>0.0</v>
      </c>
      <c r="J11" s="101">
        <v>0.0</v>
      </c>
      <c r="K11" s="101">
        <v>0.0</v>
      </c>
      <c r="L11" s="101">
        <v>0.0</v>
      </c>
      <c r="M11" s="101">
        <v>0.0</v>
      </c>
      <c r="N11" s="101">
        <v>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1">
        <v>0.0</v>
      </c>
      <c r="V11" s="101">
        <v>0.0</v>
      </c>
    </row>
    <row r="12">
      <c r="A12" s="102">
        <v>2.0</v>
      </c>
      <c r="B12" s="174">
        <v>0.0</v>
      </c>
      <c r="C12" s="101">
        <v>0.0</v>
      </c>
      <c r="D12" s="101">
        <v>0.0</v>
      </c>
      <c r="E12" s="101">
        <v>0.0</v>
      </c>
      <c r="F12" s="101">
        <v>0.0</v>
      </c>
      <c r="G12" s="101">
        <v>0.0</v>
      </c>
      <c r="H12" s="101">
        <v>0.0</v>
      </c>
      <c r="I12" s="101">
        <v>0.0</v>
      </c>
      <c r="J12" s="101">
        <v>0.0</v>
      </c>
      <c r="K12" s="101">
        <v>0.0</v>
      </c>
      <c r="L12" s="101">
        <v>0.0</v>
      </c>
      <c r="M12" s="101">
        <v>0.0</v>
      </c>
      <c r="N12" s="101">
        <v>0.0</v>
      </c>
      <c r="O12" s="101">
        <v>0.0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</row>
    <row r="13">
      <c r="A13" s="102">
        <v>3.0</v>
      </c>
      <c r="B13" s="174">
        <v>0.0</v>
      </c>
      <c r="C13" s="101">
        <v>0.0</v>
      </c>
      <c r="D13" s="101">
        <v>0.0</v>
      </c>
      <c r="E13" s="101">
        <v>0.0</v>
      </c>
      <c r="F13" s="101">
        <v>0.0</v>
      </c>
      <c r="G13" s="101">
        <v>0.0</v>
      </c>
      <c r="H13" s="101">
        <v>0.0</v>
      </c>
      <c r="I13" s="101">
        <v>0.0</v>
      </c>
      <c r="J13" s="101">
        <v>0.0</v>
      </c>
      <c r="K13" s="101">
        <v>0.0</v>
      </c>
      <c r="L13" s="101">
        <v>0.0</v>
      </c>
      <c r="M13" s="101">
        <v>0.0</v>
      </c>
      <c r="N13" s="101">
        <v>0.0</v>
      </c>
      <c r="O13" s="101">
        <v>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</row>
    <row r="14">
      <c r="A14" s="102">
        <v>4.0</v>
      </c>
      <c r="B14" s="174">
        <v>0.0</v>
      </c>
      <c r="C14" s="101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0.0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</row>
    <row r="15">
      <c r="A15" s="102">
        <v>5.0</v>
      </c>
      <c r="B15" s="174">
        <v>0.0</v>
      </c>
      <c r="C15" s="101">
        <v>0.0</v>
      </c>
      <c r="D15" s="101">
        <v>0.0</v>
      </c>
      <c r="E15" s="101">
        <v>0.0</v>
      </c>
      <c r="F15" s="101">
        <v>0.0</v>
      </c>
      <c r="G15" s="101">
        <v>0.0</v>
      </c>
      <c r="H15" s="101">
        <v>0.0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1" priority="1" operator="greaterThan">
      <formula>0</formula>
    </cfRule>
  </conditionalFormatting>
  <conditionalFormatting sqref="A11:V15">
    <cfRule type="expression" dxfId="2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0.88"/>
  </cols>
  <sheetData>
    <row r="1" ht="21.75" customHeight="1">
      <c r="A1" s="1" t="s">
        <v>44</v>
      </c>
      <c r="AH1" s="130" t="s">
        <v>259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AH2" s="131" t="s">
        <v>134</v>
      </c>
      <c r="AI2" s="132" t="s">
        <v>170</v>
      </c>
    </row>
    <row r="3">
      <c r="A3" s="125" t="s">
        <v>255</v>
      </c>
      <c r="B3" s="126">
        <v>5.0</v>
      </c>
      <c r="AH3" s="131" t="s">
        <v>136</v>
      </c>
      <c r="AI3" s="132" t="s">
        <v>137</v>
      </c>
    </row>
    <row r="4">
      <c r="A4" s="125" t="s">
        <v>256</v>
      </c>
      <c r="B4" s="126">
        <v>1.0</v>
      </c>
    </row>
    <row r="5">
      <c r="A5" s="125" t="s">
        <v>257</v>
      </c>
      <c r="B5" s="126">
        <v>1.0</v>
      </c>
      <c r="AH5" s="134" t="s">
        <v>260</v>
      </c>
      <c r="AI5" s="134" t="s">
        <v>261</v>
      </c>
      <c r="AJ5" s="134" t="s">
        <v>140</v>
      </c>
      <c r="AK5" s="134" t="s">
        <v>262</v>
      </c>
      <c r="AL5" s="134" t="s">
        <v>142</v>
      </c>
      <c r="AM5" s="134" t="s">
        <v>263</v>
      </c>
      <c r="AN5" s="134" t="s">
        <v>144</v>
      </c>
      <c r="AO5" s="134" t="s">
        <v>264</v>
      </c>
      <c r="AP5" s="134" t="s">
        <v>146</v>
      </c>
      <c r="AQ5" s="134" t="s">
        <v>265</v>
      </c>
      <c r="AR5" s="134" t="s">
        <v>148</v>
      </c>
    </row>
    <row r="6">
      <c r="A6" s="125" t="s">
        <v>258</v>
      </c>
      <c r="B6" s="133">
        <v>27.0</v>
      </c>
      <c r="AH6" s="176" t="s">
        <v>44</v>
      </c>
      <c r="AI6" s="136">
        <f t="array" ref="AI6"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>3</v>
      </c>
      <c r="AJ6" s="137" t="str">
        <f t="array" ref="AJ6">LET(p,AI6,IF(p="n/a","n/a",IF(p&gt;5,"— (below ladder)",LET(s,INDEX($B$11:$V$15,p,0),b,TEXTJOIN(", ",TRUE,IF(s&gt;0,$B$10:$V$10&amp;": "&amp;ROUND(s,2),"")),IF(b="","{} (rank pays nothing)","{"&amp;b&amp;"}")))))</f>
        <v>{} (rank pays nothing)</v>
      </c>
      <c r="AK6" s="136">
        <f t="array" ref="AK6"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>2</v>
      </c>
      <c r="AL6" s="137" t="str">
        <f t="array" ref="AL6">LET(p,AK6,IF(p="n/a","n/a",IF(p&gt;5,"— (below ladder)",LET(s,INDEX($B$11:$V$15,p,0),b,TEXTJOIN(", ",TRUE,IF(s&gt;0,$B$10:$V$10&amp;": "&amp;ROUND(s,2),"")),IF(b="","{} (rank pays nothing)","{"&amp;b&amp;"}")))))</f>
        <v>{} (rank pays nothing)</v>
      </c>
      <c r="AM6" s="136">
        <f t="array" ref="AM6"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>2</v>
      </c>
      <c r="AN6" s="137" t="str">
        <f t="array" ref="AN6">LET(p,AM6,IF(p="n/a","n/a",IF(p&gt;5,"— (below ladder)",LET(s,INDEX($B$11:$V$15,p,0),b,TEXTJOIN(", ",TRUE,IF(s&gt;0,$B$10:$V$10&amp;": "&amp;ROUND(s,2),"")),IF(b="","{} (rank pays nothing)","{"&amp;b&amp;"}")))))</f>
        <v>{} (rank pays nothing)</v>
      </c>
      <c r="AO6" s="136">
        <f t="array" ref="AO6"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>1</v>
      </c>
      <c r="AP6" s="137" t="str">
        <f t="array" ref="AP6">LET(p,AO6,IF(p="n/a","n/a",IF(p&gt;5,"— (below ladder)",LET(s,INDEX($B$11:$V$15,p,0),b,TEXTJOIN(", ",TRUE,IF(s&gt;0,$B$10:$V$10&amp;": "&amp;ROUND(s,2),"")),IF(b="","{} (rank pays nothing)","{"&amp;b&amp;"}")))))</f>
        <v>{SPT: 20, Red: 1, Chuck: 1, Bomb: 1, Slingshot: 1}</v>
      </c>
      <c r="AQ6" s="136">
        <f t="array" ref="AQ6"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>1</v>
      </c>
      <c r="AR6" s="137" t="str">
        <f t="array" ref="AR6">LET(p,AQ6,IF(p="n/a","n/a",IF(p&gt;5,"— (below ladder)",LET(s,INDEX($B$11:$V$15,p,0),b,TEXTJOIN(", ",TRUE,IF(s&gt;0,$B$10:$V$10&amp;": "&amp;ROUND(s,2),"")),IF(b="","{} (rank pays nothing)","{"&amp;b&amp;"}")))))</f>
        <v>{SPT: 20, Red: 1, Chuck: 1, Bomb: 1, Slingshot: 1}</v>
      </c>
    </row>
    <row r="7">
      <c r="A7" s="125" t="s">
        <v>164</v>
      </c>
      <c r="B7" s="133">
        <v>1.0</v>
      </c>
    </row>
    <row r="8">
      <c r="AH8" s="145" t="s">
        <v>266</v>
      </c>
    </row>
    <row r="9" ht="19.5" customHeight="1">
      <c r="A9" s="92" t="s">
        <v>90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AH9" s="145" t="s">
        <v>267</v>
      </c>
    </row>
    <row r="10" ht="90.0" customHeight="1">
      <c r="A10" s="97" t="s">
        <v>191</v>
      </c>
      <c r="B10" s="173" t="s">
        <v>19</v>
      </c>
      <c r="C10" s="99" t="s">
        <v>5</v>
      </c>
      <c r="D10" s="99" t="s">
        <v>77</v>
      </c>
      <c r="E10" s="99" t="s">
        <v>6</v>
      </c>
      <c r="F10" s="99" t="s">
        <v>7</v>
      </c>
      <c r="G10" s="99" t="s">
        <v>8</v>
      </c>
      <c r="H10" s="99" t="s">
        <v>9</v>
      </c>
      <c r="I10" s="99" t="s">
        <v>10</v>
      </c>
      <c r="J10" s="99" t="s">
        <v>11</v>
      </c>
      <c r="K10" s="99" t="s">
        <v>12</v>
      </c>
      <c r="L10" s="99" t="s">
        <v>13</v>
      </c>
      <c r="M10" s="99" t="s">
        <v>14</v>
      </c>
      <c r="N10" s="99" t="s">
        <v>15</v>
      </c>
      <c r="O10" s="99" t="s">
        <v>92</v>
      </c>
      <c r="P10" s="99" t="s">
        <v>78</v>
      </c>
      <c r="Q10" s="99" t="s">
        <v>79</v>
      </c>
      <c r="R10" s="99" t="s">
        <v>80</v>
      </c>
      <c r="S10" s="99" t="s">
        <v>81</v>
      </c>
      <c r="T10" s="99" t="s">
        <v>82</v>
      </c>
      <c r="U10" s="99" t="s">
        <v>83</v>
      </c>
      <c r="V10" s="99" t="s">
        <v>84</v>
      </c>
      <c r="AH10" s="177" t="s">
        <v>268</v>
      </c>
    </row>
    <row r="11">
      <c r="A11" s="102">
        <v>1.0</v>
      </c>
      <c r="B11" s="174">
        <v>0.0</v>
      </c>
      <c r="C11" s="101">
        <v>20.0</v>
      </c>
      <c r="D11" s="101">
        <v>0.0</v>
      </c>
      <c r="E11" s="101">
        <v>1.0</v>
      </c>
      <c r="F11" s="101">
        <v>1.0</v>
      </c>
      <c r="G11" s="101">
        <v>1.0</v>
      </c>
      <c r="H11" s="101">
        <v>1.0</v>
      </c>
      <c r="I11" s="101">
        <v>0.0</v>
      </c>
      <c r="J11" s="101">
        <v>0.0</v>
      </c>
      <c r="K11" s="101">
        <v>0.0</v>
      </c>
      <c r="L11" s="101">
        <v>0.0</v>
      </c>
      <c r="M11" s="101">
        <v>0.0</v>
      </c>
      <c r="N11" s="101">
        <v>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1">
        <v>0.0</v>
      </c>
      <c r="V11" s="101">
        <v>0.0</v>
      </c>
    </row>
    <row r="12">
      <c r="A12" s="102">
        <v>2.0</v>
      </c>
      <c r="B12" s="174">
        <v>0.0</v>
      </c>
      <c r="C12" s="101">
        <v>0.0</v>
      </c>
      <c r="D12" s="101">
        <v>0.0</v>
      </c>
      <c r="E12" s="101">
        <v>0.0</v>
      </c>
      <c r="F12" s="101">
        <v>0.0</v>
      </c>
      <c r="G12" s="101">
        <v>0.0</v>
      </c>
      <c r="H12" s="101">
        <v>0.0</v>
      </c>
      <c r="I12" s="101">
        <v>0.0</v>
      </c>
      <c r="J12" s="101">
        <v>0.0</v>
      </c>
      <c r="K12" s="101">
        <v>0.0</v>
      </c>
      <c r="L12" s="101">
        <v>0.0</v>
      </c>
      <c r="M12" s="101">
        <v>0.0</v>
      </c>
      <c r="N12" s="101">
        <v>0.0</v>
      </c>
      <c r="O12" s="101">
        <v>0.0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</row>
    <row r="13">
      <c r="A13" s="102">
        <v>3.0</v>
      </c>
      <c r="B13" s="174">
        <v>0.0</v>
      </c>
      <c r="C13" s="101">
        <v>0.0</v>
      </c>
      <c r="D13" s="101">
        <v>0.0</v>
      </c>
      <c r="E13" s="101">
        <v>0.0</v>
      </c>
      <c r="F13" s="101">
        <v>0.0</v>
      </c>
      <c r="G13" s="101">
        <v>0.0</v>
      </c>
      <c r="H13" s="101">
        <v>0.0</v>
      </c>
      <c r="I13" s="101">
        <v>0.0</v>
      </c>
      <c r="J13" s="101">
        <v>0.0</v>
      </c>
      <c r="K13" s="101">
        <v>0.0</v>
      </c>
      <c r="L13" s="101">
        <v>0.0</v>
      </c>
      <c r="M13" s="101">
        <v>0.0</v>
      </c>
      <c r="N13" s="101">
        <v>0.0</v>
      </c>
      <c r="O13" s="101">
        <v>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</row>
    <row r="14">
      <c r="A14" s="102">
        <v>4.0</v>
      </c>
      <c r="B14" s="174">
        <v>0.0</v>
      </c>
      <c r="C14" s="101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0.0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</row>
    <row r="15">
      <c r="A15" s="102">
        <v>5.0</v>
      </c>
      <c r="B15" s="174">
        <v>0.0</v>
      </c>
      <c r="C15" s="101">
        <v>0.0</v>
      </c>
      <c r="D15" s="101">
        <v>0.0</v>
      </c>
      <c r="E15" s="101">
        <v>0.0</v>
      </c>
      <c r="F15" s="101">
        <v>0.0</v>
      </c>
      <c r="G15" s="101">
        <v>0.0</v>
      </c>
      <c r="H15" s="101">
        <v>0.0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1" priority="1" operator="greaterThan">
      <formula>0</formula>
    </cfRule>
  </conditionalFormatting>
  <conditionalFormatting sqref="A11:V15">
    <cfRule type="expression" dxfId="2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1" t="s">
        <v>269</v>
      </c>
    </row>
    <row r="3" ht="19.5" customHeight="1">
      <c r="A3" s="91" t="s">
        <v>270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</row>
    <row r="4">
      <c r="A4" s="125" t="s">
        <v>271</v>
      </c>
      <c r="B4" s="126">
        <v>10.0</v>
      </c>
    </row>
    <row r="5">
      <c r="A5" s="125" t="s">
        <v>272</v>
      </c>
      <c r="B5" s="126">
        <v>10.0</v>
      </c>
    </row>
    <row r="6">
      <c r="A6" s="125" t="s">
        <v>126</v>
      </c>
      <c r="B6" s="133">
        <v>1.0</v>
      </c>
    </row>
    <row r="8" ht="19.5" customHeight="1">
      <c r="A8" s="91" t="s">
        <v>273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</row>
    <row r="9" ht="90.0" customHeight="1">
      <c r="A9" s="97" t="s">
        <v>191</v>
      </c>
      <c r="B9" s="173" t="s">
        <v>19</v>
      </c>
      <c r="C9" s="99" t="s">
        <v>5</v>
      </c>
      <c r="D9" s="99" t="s">
        <v>77</v>
      </c>
      <c r="E9" s="99" t="s">
        <v>6</v>
      </c>
      <c r="F9" s="99" t="s">
        <v>7</v>
      </c>
      <c r="G9" s="99" t="s">
        <v>8</v>
      </c>
      <c r="H9" s="99" t="s">
        <v>9</v>
      </c>
      <c r="I9" s="99" t="s">
        <v>10</v>
      </c>
      <c r="J9" s="99" t="s">
        <v>11</v>
      </c>
      <c r="K9" s="99" t="s">
        <v>12</v>
      </c>
      <c r="L9" s="99" t="s">
        <v>13</v>
      </c>
      <c r="M9" s="99" t="s">
        <v>14</v>
      </c>
      <c r="N9" s="99" t="s">
        <v>15</v>
      </c>
      <c r="O9" s="99" t="s">
        <v>92</v>
      </c>
      <c r="P9" s="99" t="s">
        <v>78</v>
      </c>
      <c r="Q9" s="99" t="s">
        <v>79</v>
      </c>
      <c r="R9" s="99" t="s">
        <v>80</v>
      </c>
      <c r="S9" s="99" t="s">
        <v>81</v>
      </c>
      <c r="T9" s="99" t="s">
        <v>82</v>
      </c>
      <c r="U9" s="99" t="s">
        <v>83</v>
      </c>
      <c r="V9" s="99" t="s">
        <v>84</v>
      </c>
    </row>
    <row r="10">
      <c r="A10" s="102">
        <v>1.0</v>
      </c>
      <c r="B10" s="174">
        <v>200.0</v>
      </c>
      <c r="C10" s="101">
        <v>0.0</v>
      </c>
      <c r="D10" s="101">
        <v>0.0</v>
      </c>
      <c r="E10" s="101">
        <v>0.0</v>
      </c>
      <c r="F10" s="101">
        <v>0.0</v>
      </c>
      <c r="G10" s="101">
        <v>0.0</v>
      </c>
      <c r="H10" s="101">
        <v>0.0</v>
      </c>
      <c r="I10" s="101">
        <v>0.0</v>
      </c>
      <c r="J10" s="101">
        <v>1.0</v>
      </c>
      <c r="K10" s="101">
        <v>0.0</v>
      </c>
      <c r="L10" s="101">
        <v>0.0</v>
      </c>
      <c r="M10" s="101">
        <v>0.0</v>
      </c>
      <c r="N10" s="101">
        <v>0.0</v>
      </c>
      <c r="O10" s="101">
        <v>0.0</v>
      </c>
      <c r="P10" s="101">
        <v>0.0</v>
      </c>
      <c r="Q10" s="101">
        <v>0.0</v>
      </c>
      <c r="R10" s="101">
        <v>0.0</v>
      </c>
      <c r="S10" s="101">
        <v>0.0</v>
      </c>
      <c r="T10" s="101">
        <v>0.0</v>
      </c>
      <c r="U10" s="101">
        <v>0.0</v>
      </c>
      <c r="V10" s="101">
        <v>0.0</v>
      </c>
    </row>
    <row r="11">
      <c r="A11" s="102">
        <v>2.0</v>
      </c>
      <c r="B11" s="174">
        <v>100.0</v>
      </c>
      <c r="C11" s="101">
        <v>0.0</v>
      </c>
      <c r="D11" s="101">
        <v>0.0</v>
      </c>
      <c r="E11" s="101">
        <v>0.0</v>
      </c>
      <c r="F11" s="101">
        <v>0.0</v>
      </c>
      <c r="G11" s="101">
        <v>0.0</v>
      </c>
      <c r="H11" s="101">
        <v>0.0</v>
      </c>
      <c r="I11" s="101">
        <v>1.0</v>
      </c>
      <c r="J11" s="101">
        <v>0.0</v>
      </c>
      <c r="K11" s="101">
        <v>0.0</v>
      </c>
      <c r="L11" s="101">
        <v>0.0</v>
      </c>
      <c r="M11" s="101">
        <v>0.0</v>
      </c>
      <c r="N11" s="101">
        <v>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1">
        <v>0.0</v>
      </c>
      <c r="V11" s="101">
        <v>0.0</v>
      </c>
    </row>
    <row r="12">
      <c r="A12" s="102">
        <v>3.0</v>
      </c>
      <c r="B12" s="174">
        <v>50.0</v>
      </c>
      <c r="C12" s="101">
        <v>0.0</v>
      </c>
      <c r="D12" s="101">
        <v>0.0</v>
      </c>
      <c r="E12" s="101">
        <v>0.0</v>
      </c>
      <c r="F12" s="101">
        <v>0.0</v>
      </c>
      <c r="G12" s="101">
        <v>0.0</v>
      </c>
      <c r="H12" s="101">
        <v>0.0</v>
      </c>
      <c r="I12" s="101">
        <v>1.0</v>
      </c>
      <c r="J12" s="101">
        <v>0.0</v>
      </c>
      <c r="K12" s="101">
        <v>0.0</v>
      </c>
      <c r="L12" s="101">
        <v>0.0</v>
      </c>
      <c r="M12" s="101">
        <v>0.0</v>
      </c>
      <c r="N12" s="101">
        <v>0.0</v>
      </c>
      <c r="O12" s="101">
        <v>0.0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</row>
    <row r="13">
      <c r="A13" s="102">
        <v>4.0</v>
      </c>
      <c r="B13" s="174">
        <v>0.0</v>
      </c>
      <c r="C13" s="101">
        <v>0.0</v>
      </c>
      <c r="D13" s="101">
        <v>0.0</v>
      </c>
      <c r="E13" s="101">
        <v>0.0</v>
      </c>
      <c r="F13" s="101">
        <v>0.0</v>
      </c>
      <c r="G13" s="101">
        <v>0.0</v>
      </c>
      <c r="H13" s="101">
        <v>0.0</v>
      </c>
      <c r="I13" s="101">
        <v>1.0</v>
      </c>
      <c r="J13" s="101">
        <v>0.0</v>
      </c>
      <c r="K13" s="101">
        <v>0.0</v>
      </c>
      <c r="L13" s="101">
        <v>0.0</v>
      </c>
      <c r="M13" s="101">
        <v>0.0</v>
      </c>
      <c r="N13" s="101">
        <v>0.0</v>
      </c>
      <c r="O13" s="101">
        <v>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</row>
    <row r="14">
      <c r="A14" s="102">
        <v>5.0</v>
      </c>
      <c r="B14" s="174">
        <v>0.0</v>
      </c>
      <c r="C14" s="101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1.0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</row>
    <row r="15">
      <c r="A15" s="102">
        <v>6.0</v>
      </c>
      <c r="B15" s="174">
        <v>0.0</v>
      </c>
      <c r="C15" s="101">
        <v>0.0</v>
      </c>
      <c r="D15" s="101">
        <v>0.0</v>
      </c>
      <c r="E15" s="101">
        <v>0.0</v>
      </c>
      <c r="F15" s="101">
        <v>0.0</v>
      </c>
      <c r="G15" s="101">
        <v>0.0</v>
      </c>
      <c r="H15" s="101">
        <v>1.0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</row>
    <row r="16">
      <c r="A16" s="102">
        <v>7.0</v>
      </c>
      <c r="B16" s="174">
        <v>0.0</v>
      </c>
      <c r="C16" s="101">
        <v>0.0</v>
      </c>
      <c r="D16" s="101">
        <v>0.0</v>
      </c>
      <c r="E16" s="101">
        <v>0.0</v>
      </c>
      <c r="F16" s="101">
        <v>0.0</v>
      </c>
      <c r="G16" s="101">
        <v>0.0</v>
      </c>
      <c r="H16" s="101">
        <v>1.0</v>
      </c>
      <c r="I16" s="101">
        <v>0.0</v>
      </c>
      <c r="J16" s="101">
        <v>0.0</v>
      </c>
      <c r="K16" s="101">
        <v>0.0</v>
      </c>
      <c r="L16" s="101">
        <v>0.0</v>
      </c>
      <c r="M16" s="101">
        <v>0.0</v>
      </c>
      <c r="N16" s="101">
        <v>0.0</v>
      </c>
      <c r="O16" s="101">
        <v>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</row>
    <row r="17">
      <c r="A17" s="102">
        <v>8.0</v>
      </c>
      <c r="B17" s="174">
        <v>0.0</v>
      </c>
      <c r="C17" s="101">
        <v>0.0</v>
      </c>
      <c r="D17" s="101">
        <v>0.0</v>
      </c>
      <c r="E17" s="101">
        <v>0.0</v>
      </c>
      <c r="F17" s="101">
        <v>0.0</v>
      </c>
      <c r="G17" s="101">
        <v>0.0</v>
      </c>
      <c r="H17" s="101">
        <v>1.0</v>
      </c>
      <c r="I17" s="101">
        <v>0.0</v>
      </c>
      <c r="J17" s="101">
        <v>0.0</v>
      </c>
      <c r="K17" s="101">
        <v>0.0</v>
      </c>
      <c r="L17" s="101">
        <v>0.0</v>
      </c>
      <c r="M17" s="101">
        <v>0.0</v>
      </c>
      <c r="N17" s="101">
        <v>0.0</v>
      </c>
      <c r="O17" s="101">
        <v>0.0</v>
      </c>
      <c r="P17" s="101">
        <v>0.0</v>
      </c>
      <c r="Q17" s="101">
        <v>0.0</v>
      </c>
      <c r="R17" s="101">
        <v>0.0</v>
      </c>
      <c r="S17" s="101">
        <v>0.0</v>
      </c>
      <c r="T17" s="101">
        <v>0.0</v>
      </c>
      <c r="U17" s="101">
        <v>0.0</v>
      </c>
      <c r="V17" s="101">
        <v>0.0</v>
      </c>
    </row>
    <row r="18">
      <c r="A18" s="102">
        <v>9.0</v>
      </c>
      <c r="B18" s="174">
        <v>0.0</v>
      </c>
      <c r="C18" s="101">
        <v>0.0</v>
      </c>
      <c r="D18" s="101">
        <v>0.0</v>
      </c>
      <c r="E18" s="101">
        <v>0.0</v>
      </c>
      <c r="F18" s="101">
        <v>0.0</v>
      </c>
      <c r="G18" s="101">
        <v>0.0</v>
      </c>
      <c r="H18" s="101">
        <v>1.0</v>
      </c>
      <c r="I18" s="101">
        <v>0.0</v>
      </c>
      <c r="J18" s="101">
        <v>0.0</v>
      </c>
      <c r="K18" s="101">
        <v>0.0</v>
      </c>
      <c r="L18" s="101">
        <v>0.0</v>
      </c>
      <c r="M18" s="101">
        <v>0.0</v>
      </c>
      <c r="N18" s="101">
        <v>0.0</v>
      </c>
      <c r="O18" s="101">
        <v>0.0</v>
      </c>
      <c r="P18" s="101">
        <v>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</row>
    <row r="19">
      <c r="A19" s="102">
        <v>10.0</v>
      </c>
      <c r="B19" s="174">
        <v>0.0</v>
      </c>
      <c r="C19" s="101">
        <v>0.0</v>
      </c>
      <c r="D19" s="101">
        <v>0.0</v>
      </c>
      <c r="E19" s="101">
        <v>0.0</v>
      </c>
      <c r="F19" s="101">
        <v>0.0</v>
      </c>
      <c r="G19" s="101">
        <v>0.0</v>
      </c>
      <c r="H19" s="101">
        <v>1.0</v>
      </c>
      <c r="I19" s="101">
        <v>0.0</v>
      </c>
      <c r="J19" s="101">
        <v>0.0</v>
      </c>
      <c r="K19" s="101">
        <v>0.0</v>
      </c>
      <c r="L19" s="101">
        <v>0.0</v>
      </c>
      <c r="M19" s="101">
        <v>0.0</v>
      </c>
      <c r="N19" s="101">
        <v>0.0</v>
      </c>
      <c r="O19" s="101">
        <v>0.0</v>
      </c>
      <c r="P19" s="101">
        <v>0.0</v>
      </c>
      <c r="Q19" s="101">
        <v>0.0</v>
      </c>
      <c r="R19" s="101">
        <v>0.0</v>
      </c>
      <c r="S19" s="101">
        <v>0.0</v>
      </c>
      <c r="T19" s="101">
        <v>0.0</v>
      </c>
      <c r="U19" s="101">
        <v>0.0</v>
      </c>
      <c r="V19" s="101">
        <v>0.0</v>
      </c>
    </row>
    <row r="21" ht="19.5" customHeight="1">
      <c r="A21" s="91" t="s">
        <v>274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</row>
    <row r="22" ht="15.75" customHeight="1">
      <c r="A22" s="125" t="s">
        <v>271</v>
      </c>
      <c r="B22" s="126">
        <v>10.0</v>
      </c>
    </row>
    <row r="23" ht="15.75" customHeight="1">
      <c r="A23" s="125" t="s">
        <v>272</v>
      </c>
      <c r="B23" s="126">
        <v>10.0</v>
      </c>
    </row>
    <row r="24" ht="15.75" customHeight="1">
      <c r="A24" s="125" t="s">
        <v>126</v>
      </c>
      <c r="B24" s="133">
        <v>1.0</v>
      </c>
    </row>
    <row r="25" ht="15.75" customHeight="1"/>
    <row r="26" ht="19.5" customHeight="1">
      <c r="A26" s="91" t="s">
        <v>275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</row>
    <row r="27" ht="90.0" customHeight="1">
      <c r="A27" s="97" t="s">
        <v>191</v>
      </c>
      <c r="B27" s="173" t="s">
        <v>19</v>
      </c>
      <c r="C27" s="99" t="s">
        <v>5</v>
      </c>
      <c r="D27" s="99" t="s">
        <v>77</v>
      </c>
      <c r="E27" s="99" t="s">
        <v>6</v>
      </c>
      <c r="F27" s="99" t="s">
        <v>7</v>
      </c>
      <c r="G27" s="99" t="s">
        <v>8</v>
      </c>
      <c r="H27" s="99" t="s">
        <v>9</v>
      </c>
      <c r="I27" s="99" t="s">
        <v>10</v>
      </c>
      <c r="J27" s="99" t="s">
        <v>11</v>
      </c>
      <c r="K27" s="99" t="s">
        <v>12</v>
      </c>
      <c r="L27" s="99" t="s">
        <v>13</v>
      </c>
      <c r="M27" s="99" t="s">
        <v>14</v>
      </c>
      <c r="N27" s="99" t="s">
        <v>15</v>
      </c>
      <c r="O27" s="99" t="s">
        <v>92</v>
      </c>
      <c r="P27" s="99" t="s">
        <v>78</v>
      </c>
      <c r="Q27" s="99" t="s">
        <v>79</v>
      </c>
      <c r="R27" s="99" t="s">
        <v>80</v>
      </c>
      <c r="S27" s="99" t="s">
        <v>81</v>
      </c>
      <c r="T27" s="99" t="s">
        <v>82</v>
      </c>
      <c r="U27" s="99" t="s">
        <v>83</v>
      </c>
      <c r="V27" s="99" t="s">
        <v>84</v>
      </c>
    </row>
    <row r="28" ht="15.75" customHeight="1">
      <c r="A28" s="102">
        <v>1.0</v>
      </c>
      <c r="B28" s="174">
        <v>200.0</v>
      </c>
      <c r="C28" s="101">
        <v>0.0</v>
      </c>
      <c r="D28" s="101">
        <v>0.0</v>
      </c>
      <c r="E28" s="101">
        <v>0.0</v>
      </c>
      <c r="F28" s="101">
        <v>0.0</v>
      </c>
      <c r="G28" s="101">
        <v>0.0</v>
      </c>
      <c r="H28" s="101">
        <v>0.0</v>
      </c>
      <c r="I28" s="101">
        <v>0.0</v>
      </c>
      <c r="J28" s="101">
        <v>1.0</v>
      </c>
      <c r="K28" s="101">
        <v>0.0</v>
      </c>
      <c r="L28" s="101">
        <v>0.0</v>
      </c>
      <c r="M28" s="101">
        <v>0.0</v>
      </c>
      <c r="N28" s="101">
        <v>0.0</v>
      </c>
      <c r="O28" s="101">
        <v>0.0</v>
      </c>
      <c r="P28" s="101">
        <v>0.0</v>
      </c>
      <c r="Q28" s="101">
        <v>0.0</v>
      </c>
      <c r="R28" s="101">
        <v>0.0</v>
      </c>
      <c r="S28" s="101">
        <v>0.0</v>
      </c>
      <c r="T28" s="101">
        <v>0.0</v>
      </c>
      <c r="U28" s="101">
        <v>0.0</v>
      </c>
      <c r="V28" s="101">
        <v>0.0</v>
      </c>
    </row>
    <row r="29" ht="15.75" customHeight="1">
      <c r="A29" s="102">
        <v>2.0</v>
      </c>
      <c r="B29" s="174">
        <v>100.0</v>
      </c>
      <c r="C29" s="101">
        <v>0.0</v>
      </c>
      <c r="D29" s="101">
        <v>0.0</v>
      </c>
      <c r="E29" s="101">
        <v>0.0</v>
      </c>
      <c r="F29" s="101">
        <v>0.0</v>
      </c>
      <c r="G29" s="101">
        <v>0.0</v>
      </c>
      <c r="H29" s="101">
        <v>0.0</v>
      </c>
      <c r="I29" s="101">
        <v>1.0</v>
      </c>
      <c r="J29" s="101">
        <v>0.0</v>
      </c>
      <c r="K29" s="101">
        <v>0.0</v>
      </c>
      <c r="L29" s="101">
        <v>0.0</v>
      </c>
      <c r="M29" s="101">
        <v>0.0</v>
      </c>
      <c r="N29" s="101">
        <v>0.0</v>
      </c>
      <c r="O29" s="101">
        <v>0.0</v>
      </c>
      <c r="P29" s="101">
        <v>0.0</v>
      </c>
      <c r="Q29" s="101">
        <v>0.0</v>
      </c>
      <c r="R29" s="101">
        <v>0.0</v>
      </c>
      <c r="S29" s="101">
        <v>0.0</v>
      </c>
      <c r="T29" s="101">
        <v>0.0</v>
      </c>
      <c r="U29" s="101">
        <v>0.0</v>
      </c>
      <c r="V29" s="101">
        <v>0.0</v>
      </c>
    </row>
    <row r="30" ht="15.75" customHeight="1">
      <c r="A30" s="102">
        <v>3.0</v>
      </c>
      <c r="B30" s="174">
        <v>50.0</v>
      </c>
      <c r="C30" s="101">
        <v>0.0</v>
      </c>
      <c r="D30" s="101">
        <v>0.0</v>
      </c>
      <c r="E30" s="101">
        <v>0.0</v>
      </c>
      <c r="F30" s="101">
        <v>0.0</v>
      </c>
      <c r="G30" s="101">
        <v>0.0</v>
      </c>
      <c r="H30" s="101">
        <v>0.0</v>
      </c>
      <c r="I30" s="101">
        <v>1.0</v>
      </c>
      <c r="J30" s="101">
        <v>0.0</v>
      </c>
      <c r="K30" s="101">
        <v>0.0</v>
      </c>
      <c r="L30" s="101">
        <v>0.0</v>
      </c>
      <c r="M30" s="101">
        <v>0.0</v>
      </c>
      <c r="N30" s="101">
        <v>0.0</v>
      </c>
      <c r="O30" s="101">
        <v>0.0</v>
      </c>
      <c r="P30" s="101">
        <v>0.0</v>
      </c>
      <c r="Q30" s="101">
        <v>0.0</v>
      </c>
      <c r="R30" s="101">
        <v>0.0</v>
      </c>
      <c r="S30" s="101">
        <v>0.0</v>
      </c>
      <c r="T30" s="101">
        <v>0.0</v>
      </c>
      <c r="U30" s="101">
        <v>0.0</v>
      </c>
      <c r="V30" s="101">
        <v>0.0</v>
      </c>
    </row>
    <row r="31" ht="15.75" customHeight="1">
      <c r="A31" s="102">
        <v>4.0</v>
      </c>
      <c r="B31" s="174">
        <v>0.0</v>
      </c>
      <c r="C31" s="101">
        <v>0.0</v>
      </c>
      <c r="D31" s="101">
        <v>0.0</v>
      </c>
      <c r="E31" s="101">
        <v>0.0</v>
      </c>
      <c r="F31" s="101">
        <v>0.0</v>
      </c>
      <c r="G31" s="101">
        <v>0.0</v>
      </c>
      <c r="H31" s="101">
        <v>0.0</v>
      </c>
      <c r="I31" s="101">
        <v>1.0</v>
      </c>
      <c r="J31" s="101">
        <v>0.0</v>
      </c>
      <c r="K31" s="101">
        <v>0.0</v>
      </c>
      <c r="L31" s="101">
        <v>0.0</v>
      </c>
      <c r="M31" s="101">
        <v>0.0</v>
      </c>
      <c r="N31" s="101">
        <v>0.0</v>
      </c>
      <c r="O31" s="101">
        <v>0.0</v>
      </c>
      <c r="P31" s="101">
        <v>0.0</v>
      </c>
      <c r="Q31" s="101">
        <v>0.0</v>
      </c>
      <c r="R31" s="101">
        <v>0.0</v>
      </c>
      <c r="S31" s="101">
        <v>0.0</v>
      </c>
      <c r="T31" s="101">
        <v>0.0</v>
      </c>
      <c r="U31" s="101">
        <v>0.0</v>
      </c>
      <c r="V31" s="101">
        <v>0.0</v>
      </c>
    </row>
    <row r="32" ht="15.75" customHeight="1">
      <c r="A32" s="102">
        <v>5.0</v>
      </c>
      <c r="B32" s="174">
        <v>0.0</v>
      </c>
      <c r="C32" s="101">
        <v>0.0</v>
      </c>
      <c r="D32" s="101">
        <v>0.0</v>
      </c>
      <c r="E32" s="101">
        <v>0.0</v>
      </c>
      <c r="F32" s="101">
        <v>0.0</v>
      </c>
      <c r="G32" s="101">
        <v>0.0</v>
      </c>
      <c r="H32" s="101">
        <v>0.0</v>
      </c>
      <c r="I32" s="101">
        <v>1.0</v>
      </c>
      <c r="J32" s="101">
        <v>0.0</v>
      </c>
      <c r="K32" s="101">
        <v>0.0</v>
      </c>
      <c r="L32" s="101">
        <v>0.0</v>
      </c>
      <c r="M32" s="101">
        <v>0.0</v>
      </c>
      <c r="N32" s="101">
        <v>0.0</v>
      </c>
      <c r="O32" s="101">
        <v>0.0</v>
      </c>
      <c r="P32" s="101">
        <v>0.0</v>
      </c>
      <c r="Q32" s="101">
        <v>0.0</v>
      </c>
      <c r="R32" s="101">
        <v>0.0</v>
      </c>
      <c r="S32" s="101">
        <v>0.0</v>
      </c>
      <c r="T32" s="101">
        <v>0.0</v>
      </c>
      <c r="U32" s="101">
        <v>0.0</v>
      </c>
      <c r="V32" s="101">
        <v>0.0</v>
      </c>
    </row>
    <row r="33" ht="15.75" customHeight="1">
      <c r="A33" s="102">
        <v>6.0</v>
      </c>
      <c r="B33" s="174">
        <v>0.0</v>
      </c>
      <c r="C33" s="101">
        <v>0.0</v>
      </c>
      <c r="D33" s="101">
        <v>0.0</v>
      </c>
      <c r="E33" s="101">
        <v>0.0</v>
      </c>
      <c r="F33" s="101">
        <v>0.0</v>
      </c>
      <c r="G33" s="101">
        <v>0.0</v>
      </c>
      <c r="H33" s="101">
        <v>1.0</v>
      </c>
      <c r="I33" s="101">
        <v>0.0</v>
      </c>
      <c r="J33" s="101">
        <v>0.0</v>
      </c>
      <c r="K33" s="101">
        <v>0.0</v>
      </c>
      <c r="L33" s="101">
        <v>0.0</v>
      </c>
      <c r="M33" s="101">
        <v>0.0</v>
      </c>
      <c r="N33" s="101">
        <v>0.0</v>
      </c>
      <c r="O33" s="101">
        <v>0.0</v>
      </c>
      <c r="P33" s="101">
        <v>0.0</v>
      </c>
      <c r="Q33" s="101">
        <v>0.0</v>
      </c>
      <c r="R33" s="101">
        <v>0.0</v>
      </c>
      <c r="S33" s="101">
        <v>0.0</v>
      </c>
      <c r="T33" s="101">
        <v>0.0</v>
      </c>
      <c r="U33" s="101">
        <v>0.0</v>
      </c>
      <c r="V33" s="101">
        <v>0.0</v>
      </c>
    </row>
    <row r="34" ht="15.75" customHeight="1">
      <c r="A34" s="102">
        <v>7.0</v>
      </c>
      <c r="B34" s="174">
        <v>0.0</v>
      </c>
      <c r="C34" s="101">
        <v>0.0</v>
      </c>
      <c r="D34" s="101">
        <v>0.0</v>
      </c>
      <c r="E34" s="101">
        <v>0.0</v>
      </c>
      <c r="F34" s="101">
        <v>0.0</v>
      </c>
      <c r="G34" s="101">
        <v>0.0</v>
      </c>
      <c r="H34" s="101">
        <v>1.0</v>
      </c>
      <c r="I34" s="101">
        <v>0.0</v>
      </c>
      <c r="J34" s="101">
        <v>0.0</v>
      </c>
      <c r="K34" s="101">
        <v>0.0</v>
      </c>
      <c r="L34" s="101">
        <v>0.0</v>
      </c>
      <c r="M34" s="101">
        <v>0.0</v>
      </c>
      <c r="N34" s="101">
        <v>0.0</v>
      </c>
      <c r="O34" s="101">
        <v>0.0</v>
      </c>
      <c r="P34" s="101">
        <v>0.0</v>
      </c>
      <c r="Q34" s="101">
        <v>0.0</v>
      </c>
      <c r="R34" s="101">
        <v>0.0</v>
      </c>
      <c r="S34" s="101">
        <v>0.0</v>
      </c>
      <c r="T34" s="101">
        <v>0.0</v>
      </c>
      <c r="U34" s="101">
        <v>0.0</v>
      </c>
      <c r="V34" s="101">
        <v>0.0</v>
      </c>
    </row>
    <row r="35" ht="15.75" customHeight="1">
      <c r="A35" s="102">
        <v>8.0</v>
      </c>
      <c r="B35" s="174">
        <v>0.0</v>
      </c>
      <c r="C35" s="101">
        <v>0.0</v>
      </c>
      <c r="D35" s="101">
        <v>0.0</v>
      </c>
      <c r="E35" s="101">
        <v>0.0</v>
      </c>
      <c r="F35" s="101">
        <v>0.0</v>
      </c>
      <c r="G35" s="101">
        <v>0.0</v>
      </c>
      <c r="H35" s="101">
        <v>1.0</v>
      </c>
      <c r="I35" s="101">
        <v>0.0</v>
      </c>
      <c r="J35" s="101">
        <v>0.0</v>
      </c>
      <c r="K35" s="101">
        <v>0.0</v>
      </c>
      <c r="L35" s="101">
        <v>0.0</v>
      </c>
      <c r="M35" s="101">
        <v>0.0</v>
      </c>
      <c r="N35" s="101">
        <v>0.0</v>
      </c>
      <c r="O35" s="101">
        <v>0.0</v>
      </c>
      <c r="P35" s="101">
        <v>0.0</v>
      </c>
      <c r="Q35" s="101">
        <v>0.0</v>
      </c>
      <c r="R35" s="101">
        <v>0.0</v>
      </c>
      <c r="S35" s="101">
        <v>0.0</v>
      </c>
      <c r="T35" s="101">
        <v>0.0</v>
      </c>
      <c r="U35" s="101">
        <v>0.0</v>
      </c>
      <c r="V35" s="101">
        <v>0.0</v>
      </c>
    </row>
    <row r="36" ht="15.75" customHeight="1">
      <c r="A36" s="102">
        <v>9.0</v>
      </c>
      <c r="B36" s="174">
        <v>0.0</v>
      </c>
      <c r="C36" s="101">
        <v>0.0</v>
      </c>
      <c r="D36" s="101">
        <v>0.0</v>
      </c>
      <c r="E36" s="101">
        <v>0.0</v>
      </c>
      <c r="F36" s="101">
        <v>0.0</v>
      </c>
      <c r="G36" s="101">
        <v>0.0</v>
      </c>
      <c r="H36" s="101">
        <v>1.0</v>
      </c>
      <c r="I36" s="101">
        <v>0.0</v>
      </c>
      <c r="J36" s="101">
        <v>0.0</v>
      </c>
      <c r="K36" s="101">
        <v>0.0</v>
      </c>
      <c r="L36" s="101">
        <v>0.0</v>
      </c>
      <c r="M36" s="101">
        <v>0.0</v>
      </c>
      <c r="N36" s="101">
        <v>0.0</v>
      </c>
      <c r="O36" s="101">
        <v>0.0</v>
      </c>
      <c r="P36" s="101">
        <v>0.0</v>
      </c>
      <c r="Q36" s="101">
        <v>0.0</v>
      </c>
      <c r="R36" s="101">
        <v>0.0</v>
      </c>
      <c r="S36" s="101">
        <v>0.0</v>
      </c>
      <c r="T36" s="101">
        <v>0.0</v>
      </c>
      <c r="U36" s="101">
        <v>0.0</v>
      </c>
      <c r="V36" s="101">
        <v>0.0</v>
      </c>
    </row>
    <row r="37" ht="15.75" customHeight="1">
      <c r="A37" s="102">
        <v>10.0</v>
      </c>
      <c r="B37" s="174">
        <v>0.0</v>
      </c>
      <c r="C37" s="101">
        <v>0.0</v>
      </c>
      <c r="D37" s="101">
        <v>0.0</v>
      </c>
      <c r="E37" s="101">
        <v>0.0</v>
      </c>
      <c r="F37" s="101">
        <v>0.0</v>
      </c>
      <c r="G37" s="101">
        <v>0.0</v>
      </c>
      <c r="H37" s="101">
        <v>1.0</v>
      </c>
      <c r="I37" s="101">
        <v>0.0</v>
      </c>
      <c r="J37" s="101">
        <v>0.0</v>
      </c>
      <c r="K37" s="101">
        <v>0.0</v>
      </c>
      <c r="L37" s="101">
        <v>0.0</v>
      </c>
      <c r="M37" s="101">
        <v>0.0</v>
      </c>
      <c r="N37" s="101">
        <v>0.0</v>
      </c>
      <c r="O37" s="101">
        <v>0.0</v>
      </c>
      <c r="P37" s="101">
        <v>0.0</v>
      </c>
      <c r="Q37" s="101">
        <v>0.0</v>
      </c>
      <c r="R37" s="101">
        <v>0.0</v>
      </c>
      <c r="S37" s="101">
        <v>0.0</v>
      </c>
      <c r="T37" s="101">
        <v>0.0</v>
      </c>
      <c r="U37" s="101">
        <v>0.0</v>
      </c>
      <c r="V37" s="101">
        <v>0.0</v>
      </c>
    </row>
    <row r="38" ht="15.75" customHeight="1"/>
    <row r="39" ht="19.5" customHeight="1">
      <c r="A39" s="91" t="s">
        <v>276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</row>
    <row r="40" ht="15.75" customHeight="1">
      <c r="A40" s="125" t="s">
        <v>271</v>
      </c>
      <c r="B40" s="126">
        <v>10.0</v>
      </c>
    </row>
    <row r="41" ht="15.75" customHeight="1">
      <c r="A41" s="125" t="s">
        <v>272</v>
      </c>
      <c r="B41" s="126">
        <v>10.0</v>
      </c>
    </row>
    <row r="42" ht="15.75" customHeight="1">
      <c r="A42" s="125" t="s">
        <v>126</v>
      </c>
      <c r="B42" s="133">
        <v>1.0</v>
      </c>
    </row>
    <row r="43" ht="15.75" customHeight="1"/>
    <row r="44" ht="19.5" customHeight="1">
      <c r="A44" s="91" t="s">
        <v>277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</row>
    <row r="45" ht="90.0" customHeight="1">
      <c r="A45" s="97" t="s">
        <v>191</v>
      </c>
      <c r="B45" s="173" t="s">
        <v>19</v>
      </c>
      <c r="C45" s="99" t="s">
        <v>5</v>
      </c>
      <c r="D45" s="99" t="s">
        <v>77</v>
      </c>
      <c r="E45" s="99" t="s">
        <v>6</v>
      </c>
      <c r="F45" s="99" t="s">
        <v>7</v>
      </c>
      <c r="G45" s="99" t="s">
        <v>8</v>
      </c>
      <c r="H45" s="99" t="s">
        <v>9</v>
      </c>
      <c r="I45" s="99" t="s">
        <v>10</v>
      </c>
      <c r="J45" s="99" t="s">
        <v>11</v>
      </c>
      <c r="K45" s="99" t="s">
        <v>12</v>
      </c>
      <c r="L45" s="99" t="s">
        <v>13</v>
      </c>
      <c r="M45" s="99" t="s">
        <v>14</v>
      </c>
      <c r="N45" s="99" t="s">
        <v>15</v>
      </c>
      <c r="O45" s="99" t="s">
        <v>92</v>
      </c>
      <c r="P45" s="99" t="s">
        <v>78</v>
      </c>
      <c r="Q45" s="99" t="s">
        <v>79</v>
      </c>
      <c r="R45" s="99" t="s">
        <v>80</v>
      </c>
      <c r="S45" s="99" t="s">
        <v>81</v>
      </c>
      <c r="T45" s="99" t="s">
        <v>82</v>
      </c>
      <c r="U45" s="99" t="s">
        <v>83</v>
      </c>
      <c r="V45" s="99" t="s">
        <v>84</v>
      </c>
    </row>
    <row r="46" ht="15.75" customHeight="1">
      <c r="A46" s="102">
        <v>1.0</v>
      </c>
      <c r="B46" s="174">
        <v>200.0</v>
      </c>
      <c r="C46" s="101">
        <v>0.0</v>
      </c>
      <c r="D46" s="101">
        <v>0.0</v>
      </c>
      <c r="E46" s="101">
        <v>0.0</v>
      </c>
      <c r="F46" s="101">
        <v>0.0</v>
      </c>
      <c r="G46" s="101">
        <v>0.0</v>
      </c>
      <c r="H46" s="101">
        <v>0.0</v>
      </c>
      <c r="I46" s="101">
        <v>0.0</v>
      </c>
      <c r="J46" s="101">
        <v>1.0</v>
      </c>
      <c r="K46" s="101">
        <v>0.0</v>
      </c>
      <c r="L46" s="101">
        <v>0.0</v>
      </c>
      <c r="M46" s="101">
        <v>0.0</v>
      </c>
      <c r="N46" s="101">
        <v>0.0</v>
      </c>
      <c r="O46" s="101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1">
        <v>0.0</v>
      </c>
      <c r="V46" s="101">
        <v>0.0</v>
      </c>
    </row>
    <row r="47" ht="15.75" customHeight="1">
      <c r="A47" s="102">
        <v>2.0</v>
      </c>
      <c r="B47" s="174">
        <v>100.0</v>
      </c>
      <c r="C47" s="101">
        <v>0.0</v>
      </c>
      <c r="D47" s="101">
        <v>0.0</v>
      </c>
      <c r="E47" s="101">
        <v>0.0</v>
      </c>
      <c r="F47" s="101">
        <v>0.0</v>
      </c>
      <c r="G47" s="101">
        <v>0.0</v>
      </c>
      <c r="H47" s="101">
        <v>0.0</v>
      </c>
      <c r="I47" s="101">
        <v>1.0</v>
      </c>
      <c r="J47" s="101">
        <v>0.0</v>
      </c>
      <c r="K47" s="101">
        <v>0.0</v>
      </c>
      <c r="L47" s="101">
        <v>0.0</v>
      </c>
      <c r="M47" s="101">
        <v>0.0</v>
      </c>
      <c r="N47" s="101">
        <v>0.0</v>
      </c>
      <c r="O47" s="101">
        <v>0.0</v>
      </c>
      <c r="P47" s="101">
        <v>0.0</v>
      </c>
      <c r="Q47" s="101">
        <v>0.0</v>
      </c>
      <c r="R47" s="101">
        <v>0.0</v>
      </c>
      <c r="S47" s="101">
        <v>0.0</v>
      </c>
      <c r="T47" s="101">
        <v>0.0</v>
      </c>
      <c r="U47" s="101">
        <v>0.0</v>
      </c>
      <c r="V47" s="101">
        <v>0.0</v>
      </c>
    </row>
    <row r="48" ht="15.75" customHeight="1">
      <c r="A48" s="102">
        <v>3.0</v>
      </c>
      <c r="B48" s="174">
        <v>50.0</v>
      </c>
      <c r="C48" s="101">
        <v>0.0</v>
      </c>
      <c r="D48" s="101">
        <v>0.0</v>
      </c>
      <c r="E48" s="101">
        <v>0.0</v>
      </c>
      <c r="F48" s="101">
        <v>0.0</v>
      </c>
      <c r="G48" s="101">
        <v>0.0</v>
      </c>
      <c r="H48" s="101">
        <v>0.0</v>
      </c>
      <c r="I48" s="101">
        <v>1.0</v>
      </c>
      <c r="J48" s="101">
        <v>0.0</v>
      </c>
      <c r="K48" s="101">
        <v>0.0</v>
      </c>
      <c r="L48" s="101">
        <v>0.0</v>
      </c>
      <c r="M48" s="101">
        <v>0.0</v>
      </c>
      <c r="N48" s="101">
        <v>0.0</v>
      </c>
      <c r="O48" s="101">
        <v>0.0</v>
      </c>
      <c r="P48" s="101">
        <v>0.0</v>
      </c>
      <c r="Q48" s="101">
        <v>0.0</v>
      </c>
      <c r="R48" s="101">
        <v>0.0</v>
      </c>
      <c r="S48" s="101">
        <v>0.0</v>
      </c>
      <c r="T48" s="101">
        <v>0.0</v>
      </c>
      <c r="U48" s="101">
        <v>0.0</v>
      </c>
      <c r="V48" s="101">
        <v>0.0</v>
      </c>
    </row>
    <row r="49" ht="15.75" customHeight="1">
      <c r="A49" s="102">
        <v>4.0</v>
      </c>
      <c r="B49" s="174">
        <v>0.0</v>
      </c>
      <c r="C49" s="101">
        <v>0.0</v>
      </c>
      <c r="D49" s="101">
        <v>0.0</v>
      </c>
      <c r="E49" s="101">
        <v>0.0</v>
      </c>
      <c r="F49" s="101">
        <v>0.0</v>
      </c>
      <c r="G49" s="101">
        <v>0.0</v>
      </c>
      <c r="H49" s="101">
        <v>0.0</v>
      </c>
      <c r="I49" s="101">
        <v>1.0</v>
      </c>
      <c r="J49" s="101">
        <v>0.0</v>
      </c>
      <c r="K49" s="101">
        <v>0.0</v>
      </c>
      <c r="L49" s="101">
        <v>0.0</v>
      </c>
      <c r="M49" s="101">
        <v>0.0</v>
      </c>
      <c r="N49" s="101">
        <v>0.0</v>
      </c>
      <c r="O49" s="101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1">
        <v>0.0</v>
      </c>
      <c r="V49" s="101">
        <v>0.0</v>
      </c>
    </row>
    <row r="50" ht="15.75" customHeight="1">
      <c r="A50" s="102">
        <v>5.0</v>
      </c>
      <c r="B50" s="174">
        <v>0.0</v>
      </c>
      <c r="C50" s="101">
        <v>0.0</v>
      </c>
      <c r="D50" s="101">
        <v>0.0</v>
      </c>
      <c r="E50" s="101">
        <v>0.0</v>
      </c>
      <c r="F50" s="101">
        <v>0.0</v>
      </c>
      <c r="G50" s="101">
        <v>0.0</v>
      </c>
      <c r="H50" s="101">
        <v>0.0</v>
      </c>
      <c r="I50" s="101">
        <v>1.0</v>
      </c>
      <c r="J50" s="101">
        <v>0.0</v>
      </c>
      <c r="K50" s="101">
        <v>0.0</v>
      </c>
      <c r="L50" s="101">
        <v>0.0</v>
      </c>
      <c r="M50" s="101">
        <v>0.0</v>
      </c>
      <c r="N50" s="101">
        <v>0.0</v>
      </c>
      <c r="O50" s="101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</row>
    <row r="51" ht="15.75" customHeight="1">
      <c r="A51" s="102">
        <v>6.0</v>
      </c>
      <c r="B51" s="174">
        <v>0.0</v>
      </c>
      <c r="C51" s="101">
        <v>0.0</v>
      </c>
      <c r="D51" s="101">
        <v>0.0</v>
      </c>
      <c r="E51" s="101">
        <v>0.0</v>
      </c>
      <c r="F51" s="101">
        <v>0.0</v>
      </c>
      <c r="G51" s="101">
        <v>0.0</v>
      </c>
      <c r="H51" s="101">
        <v>1.0</v>
      </c>
      <c r="I51" s="101">
        <v>0.0</v>
      </c>
      <c r="J51" s="101">
        <v>0.0</v>
      </c>
      <c r="K51" s="101">
        <v>0.0</v>
      </c>
      <c r="L51" s="101">
        <v>0.0</v>
      </c>
      <c r="M51" s="101">
        <v>0.0</v>
      </c>
      <c r="N51" s="101">
        <v>0.0</v>
      </c>
      <c r="O51" s="101">
        <v>0.0</v>
      </c>
      <c r="P51" s="101">
        <v>0.0</v>
      </c>
      <c r="Q51" s="101">
        <v>0.0</v>
      </c>
      <c r="R51" s="101">
        <v>0.0</v>
      </c>
      <c r="S51" s="101">
        <v>0.0</v>
      </c>
      <c r="T51" s="101">
        <v>0.0</v>
      </c>
      <c r="U51" s="101">
        <v>0.0</v>
      </c>
      <c r="V51" s="101">
        <v>0.0</v>
      </c>
    </row>
    <row r="52" ht="15.75" customHeight="1">
      <c r="A52" s="102">
        <v>7.0</v>
      </c>
      <c r="B52" s="174">
        <v>0.0</v>
      </c>
      <c r="C52" s="101">
        <v>0.0</v>
      </c>
      <c r="D52" s="101">
        <v>0.0</v>
      </c>
      <c r="E52" s="101">
        <v>0.0</v>
      </c>
      <c r="F52" s="101">
        <v>0.0</v>
      </c>
      <c r="G52" s="101">
        <v>0.0</v>
      </c>
      <c r="H52" s="101">
        <v>1.0</v>
      </c>
      <c r="I52" s="101">
        <v>0.0</v>
      </c>
      <c r="J52" s="101">
        <v>0.0</v>
      </c>
      <c r="K52" s="101">
        <v>0.0</v>
      </c>
      <c r="L52" s="101">
        <v>0.0</v>
      </c>
      <c r="M52" s="101">
        <v>0.0</v>
      </c>
      <c r="N52" s="101">
        <v>0.0</v>
      </c>
      <c r="O52" s="101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1">
        <v>0.0</v>
      </c>
      <c r="V52" s="101">
        <v>0.0</v>
      </c>
    </row>
    <row r="53" ht="15.75" customHeight="1">
      <c r="A53" s="102">
        <v>8.0</v>
      </c>
      <c r="B53" s="174">
        <v>0.0</v>
      </c>
      <c r="C53" s="101">
        <v>0.0</v>
      </c>
      <c r="D53" s="101">
        <v>0.0</v>
      </c>
      <c r="E53" s="101">
        <v>0.0</v>
      </c>
      <c r="F53" s="101">
        <v>0.0</v>
      </c>
      <c r="G53" s="101">
        <v>0.0</v>
      </c>
      <c r="H53" s="101">
        <v>1.0</v>
      </c>
      <c r="I53" s="101">
        <v>0.0</v>
      </c>
      <c r="J53" s="101">
        <v>0.0</v>
      </c>
      <c r="K53" s="101">
        <v>0.0</v>
      </c>
      <c r="L53" s="101">
        <v>0.0</v>
      </c>
      <c r="M53" s="101">
        <v>0.0</v>
      </c>
      <c r="N53" s="101">
        <v>0.0</v>
      </c>
      <c r="O53" s="101">
        <v>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1">
        <v>0.0</v>
      </c>
      <c r="V53" s="101">
        <v>0.0</v>
      </c>
    </row>
    <row r="54" ht="15.75" customHeight="1">
      <c r="A54" s="102">
        <v>9.0</v>
      </c>
      <c r="B54" s="174">
        <v>0.0</v>
      </c>
      <c r="C54" s="101">
        <v>0.0</v>
      </c>
      <c r="D54" s="101">
        <v>0.0</v>
      </c>
      <c r="E54" s="101">
        <v>0.0</v>
      </c>
      <c r="F54" s="101">
        <v>0.0</v>
      </c>
      <c r="G54" s="101">
        <v>0.0</v>
      </c>
      <c r="H54" s="101">
        <v>1.0</v>
      </c>
      <c r="I54" s="101">
        <v>0.0</v>
      </c>
      <c r="J54" s="101">
        <v>0.0</v>
      </c>
      <c r="K54" s="101">
        <v>0.0</v>
      </c>
      <c r="L54" s="101">
        <v>0.0</v>
      </c>
      <c r="M54" s="101">
        <v>0.0</v>
      </c>
      <c r="N54" s="101">
        <v>0.0</v>
      </c>
      <c r="O54" s="101">
        <v>0.0</v>
      </c>
      <c r="P54" s="101">
        <v>0.0</v>
      </c>
      <c r="Q54" s="101">
        <v>0.0</v>
      </c>
      <c r="R54" s="101">
        <v>0.0</v>
      </c>
      <c r="S54" s="101">
        <v>0.0</v>
      </c>
      <c r="T54" s="101">
        <v>0.0</v>
      </c>
      <c r="U54" s="101">
        <v>0.0</v>
      </c>
      <c r="V54" s="101">
        <v>0.0</v>
      </c>
    </row>
    <row r="55" ht="15.75" customHeight="1">
      <c r="A55" s="102">
        <v>10.0</v>
      </c>
      <c r="B55" s="174">
        <v>0.0</v>
      </c>
      <c r="C55" s="101">
        <v>0.0</v>
      </c>
      <c r="D55" s="101">
        <v>0.0</v>
      </c>
      <c r="E55" s="101">
        <v>0.0</v>
      </c>
      <c r="F55" s="101">
        <v>0.0</v>
      </c>
      <c r="G55" s="101">
        <v>0.0</v>
      </c>
      <c r="H55" s="101">
        <v>1.0</v>
      </c>
      <c r="I55" s="101">
        <v>0.0</v>
      </c>
      <c r="J55" s="101">
        <v>0.0</v>
      </c>
      <c r="K55" s="101">
        <v>0.0</v>
      </c>
      <c r="L55" s="101">
        <v>0.0</v>
      </c>
      <c r="M55" s="101">
        <v>0.0</v>
      </c>
      <c r="N55" s="101">
        <v>0.0</v>
      </c>
      <c r="O55" s="101">
        <v>0.0</v>
      </c>
      <c r="P55" s="101">
        <v>0.0</v>
      </c>
      <c r="Q55" s="101">
        <v>0.0</v>
      </c>
      <c r="R55" s="101">
        <v>0.0</v>
      </c>
      <c r="S55" s="101">
        <v>0.0</v>
      </c>
      <c r="T55" s="101">
        <v>0.0</v>
      </c>
      <c r="U55" s="101">
        <v>0.0</v>
      </c>
      <c r="V55" s="101">
        <v>0.0</v>
      </c>
    </row>
    <row r="56" ht="15.75" customHeight="1"/>
    <row r="57" ht="19.5" customHeight="1">
      <c r="A57" s="91" t="s">
        <v>278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</row>
    <row r="58" ht="15.75" customHeight="1">
      <c r="A58" s="125" t="s">
        <v>271</v>
      </c>
      <c r="B58" s="126">
        <v>10.0</v>
      </c>
    </row>
    <row r="59" ht="15.75" customHeight="1">
      <c r="A59" s="125" t="s">
        <v>272</v>
      </c>
      <c r="B59" s="126">
        <v>10.0</v>
      </c>
    </row>
    <row r="60" ht="15.75" customHeight="1">
      <c r="A60" s="125" t="s">
        <v>126</v>
      </c>
      <c r="B60" s="133">
        <v>1.0</v>
      </c>
    </row>
    <row r="61" ht="15.75" customHeight="1"/>
    <row r="62" ht="19.5" customHeight="1">
      <c r="A62" s="91" t="s">
        <v>279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</row>
    <row r="63" ht="90.0" customHeight="1">
      <c r="A63" s="97" t="s">
        <v>191</v>
      </c>
      <c r="B63" s="173" t="s">
        <v>19</v>
      </c>
      <c r="C63" s="99" t="s">
        <v>5</v>
      </c>
      <c r="D63" s="99" t="s">
        <v>77</v>
      </c>
      <c r="E63" s="99" t="s">
        <v>6</v>
      </c>
      <c r="F63" s="99" t="s">
        <v>7</v>
      </c>
      <c r="G63" s="99" t="s">
        <v>8</v>
      </c>
      <c r="H63" s="99" t="s">
        <v>9</v>
      </c>
      <c r="I63" s="99" t="s">
        <v>10</v>
      </c>
      <c r="J63" s="99" t="s">
        <v>11</v>
      </c>
      <c r="K63" s="99" t="s">
        <v>12</v>
      </c>
      <c r="L63" s="99" t="s">
        <v>13</v>
      </c>
      <c r="M63" s="99" t="s">
        <v>14</v>
      </c>
      <c r="N63" s="99" t="s">
        <v>15</v>
      </c>
      <c r="O63" s="99" t="s">
        <v>92</v>
      </c>
      <c r="P63" s="99" t="s">
        <v>78</v>
      </c>
      <c r="Q63" s="99" t="s">
        <v>79</v>
      </c>
      <c r="R63" s="99" t="s">
        <v>80</v>
      </c>
      <c r="S63" s="99" t="s">
        <v>81</v>
      </c>
      <c r="T63" s="99" t="s">
        <v>82</v>
      </c>
      <c r="U63" s="99" t="s">
        <v>83</v>
      </c>
      <c r="V63" s="99" t="s">
        <v>84</v>
      </c>
    </row>
    <row r="64" ht="15.75" customHeight="1">
      <c r="A64" s="102">
        <v>1.0</v>
      </c>
      <c r="B64" s="174">
        <v>200.0</v>
      </c>
      <c r="C64" s="101">
        <v>0.0</v>
      </c>
      <c r="D64" s="101">
        <v>0.0</v>
      </c>
      <c r="E64" s="101">
        <v>0.0</v>
      </c>
      <c r="F64" s="101">
        <v>0.0</v>
      </c>
      <c r="G64" s="101">
        <v>0.0</v>
      </c>
      <c r="H64" s="101">
        <v>0.0</v>
      </c>
      <c r="I64" s="101">
        <v>0.0</v>
      </c>
      <c r="J64" s="101">
        <v>1.0</v>
      </c>
      <c r="K64" s="101">
        <v>0.0</v>
      </c>
      <c r="L64" s="101">
        <v>0.0</v>
      </c>
      <c r="M64" s="101">
        <v>0.0</v>
      </c>
      <c r="N64" s="101">
        <v>0.0</v>
      </c>
      <c r="O64" s="101">
        <v>0.0</v>
      </c>
      <c r="P64" s="101">
        <v>0.0</v>
      </c>
      <c r="Q64" s="101">
        <v>0.0</v>
      </c>
      <c r="R64" s="101">
        <v>0.0</v>
      </c>
      <c r="S64" s="101">
        <v>0.0</v>
      </c>
      <c r="T64" s="101">
        <v>0.0</v>
      </c>
      <c r="U64" s="101">
        <v>0.0</v>
      </c>
      <c r="V64" s="101">
        <v>0.0</v>
      </c>
    </row>
    <row r="65" ht="15.75" customHeight="1">
      <c r="A65" s="102">
        <v>2.0</v>
      </c>
      <c r="B65" s="174">
        <v>100.0</v>
      </c>
      <c r="C65" s="101">
        <v>0.0</v>
      </c>
      <c r="D65" s="101">
        <v>0.0</v>
      </c>
      <c r="E65" s="101">
        <v>0.0</v>
      </c>
      <c r="F65" s="101">
        <v>0.0</v>
      </c>
      <c r="G65" s="101">
        <v>0.0</v>
      </c>
      <c r="H65" s="101">
        <v>0.0</v>
      </c>
      <c r="I65" s="101">
        <v>1.0</v>
      </c>
      <c r="J65" s="101">
        <v>0.0</v>
      </c>
      <c r="K65" s="101">
        <v>0.0</v>
      </c>
      <c r="L65" s="101">
        <v>0.0</v>
      </c>
      <c r="M65" s="101">
        <v>0.0</v>
      </c>
      <c r="N65" s="101">
        <v>0.0</v>
      </c>
      <c r="O65" s="101">
        <v>0.0</v>
      </c>
      <c r="P65" s="101">
        <v>0.0</v>
      </c>
      <c r="Q65" s="101">
        <v>0.0</v>
      </c>
      <c r="R65" s="101">
        <v>0.0</v>
      </c>
      <c r="S65" s="101">
        <v>0.0</v>
      </c>
      <c r="T65" s="101">
        <v>0.0</v>
      </c>
      <c r="U65" s="101">
        <v>0.0</v>
      </c>
      <c r="V65" s="101">
        <v>0.0</v>
      </c>
    </row>
    <row r="66" ht="15.75" customHeight="1">
      <c r="A66" s="102">
        <v>3.0</v>
      </c>
      <c r="B66" s="174">
        <v>50.0</v>
      </c>
      <c r="C66" s="101">
        <v>0.0</v>
      </c>
      <c r="D66" s="101">
        <v>0.0</v>
      </c>
      <c r="E66" s="101">
        <v>0.0</v>
      </c>
      <c r="F66" s="101">
        <v>0.0</v>
      </c>
      <c r="G66" s="101">
        <v>0.0</v>
      </c>
      <c r="H66" s="101">
        <v>0.0</v>
      </c>
      <c r="I66" s="101">
        <v>1.0</v>
      </c>
      <c r="J66" s="101">
        <v>0.0</v>
      </c>
      <c r="K66" s="101">
        <v>0.0</v>
      </c>
      <c r="L66" s="101">
        <v>0.0</v>
      </c>
      <c r="M66" s="101">
        <v>0.0</v>
      </c>
      <c r="N66" s="101">
        <v>0.0</v>
      </c>
      <c r="O66" s="101">
        <v>0.0</v>
      </c>
      <c r="P66" s="101">
        <v>0.0</v>
      </c>
      <c r="Q66" s="101">
        <v>0.0</v>
      </c>
      <c r="R66" s="101">
        <v>0.0</v>
      </c>
      <c r="S66" s="101">
        <v>0.0</v>
      </c>
      <c r="T66" s="101">
        <v>0.0</v>
      </c>
      <c r="U66" s="101">
        <v>0.0</v>
      </c>
      <c r="V66" s="101">
        <v>0.0</v>
      </c>
    </row>
    <row r="67" ht="15.75" customHeight="1">
      <c r="A67" s="102">
        <v>4.0</v>
      </c>
      <c r="B67" s="174">
        <v>0.0</v>
      </c>
      <c r="C67" s="101">
        <v>0.0</v>
      </c>
      <c r="D67" s="101">
        <v>0.0</v>
      </c>
      <c r="E67" s="101">
        <v>0.0</v>
      </c>
      <c r="F67" s="101">
        <v>0.0</v>
      </c>
      <c r="G67" s="101">
        <v>0.0</v>
      </c>
      <c r="H67" s="101">
        <v>0.0</v>
      </c>
      <c r="I67" s="101">
        <v>1.0</v>
      </c>
      <c r="J67" s="101">
        <v>0.0</v>
      </c>
      <c r="K67" s="101">
        <v>0.0</v>
      </c>
      <c r="L67" s="101">
        <v>0.0</v>
      </c>
      <c r="M67" s="101">
        <v>0.0</v>
      </c>
      <c r="N67" s="101">
        <v>0.0</v>
      </c>
      <c r="O67" s="101">
        <v>0.0</v>
      </c>
      <c r="P67" s="101">
        <v>0.0</v>
      </c>
      <c r="Q67" s="101">
        <v>0.0</v>
      </c>
      <c r="R67" s="101">
        <v>0.0</v>
      </c>
      <c r="S67" s="101">
        <v>0.0</v>
      </c>
      <c r="T67" s="101">
        <v>0.0</v>
      </c>
      <c r="U67" s="101">
        <v>0.0</v>
      </c>
      <c r="V67" s="101">
        <v>0.0</v>
      </c>
    </row>
    <row r="68" ht="15.75" customHeight="1">
      <c r="A68" s="102">
        <v>5.0</v>
      </c>
      <c r="B68" s="174">
        <v>0.0</v>
      </c>
      <c r="C68" s="101">
        <v>0.0</v>
      </c>
      <c r="D68" s="101">
        <v>0.0</v>
      </c>
      <c r="E68" s="101">
        <v>0.0</v>
      </c>
      <c r="F68" s="101">
        <v>0.0</v>
      </c>
      <c r="G68" s="101">
        <v>0.0</v>
      </c>
      <c r="H68" s="101">
        <v>0.0</v>
      </c>
      <c r="I68" s="101">
        <v>1.0</v>
      </c>
      <c r="J68" s="101">
        <v>0.0</v>
      </c>
      <c r="K68" s="101">
        <v>0.0</v>
      </c>
      <c r="L68" s="101">
        <v>0.0</v>
      </c>
      <c r="M68" s="101">
        <v>0.0</v>
      </c>
      <c r="N68" s="101">
        <v>0.0</v>
      </c>
      <c r="O68" s="101">
        <v>0.0</v>
      </c>
      <c r="P68" s="101">
        <v>0.0</v>
      </c>
      <c r="Q68" s="101">
        <v>0.0</v>
      </c>
      <c r="R68" s="101">
        <v>0.0</v>
      </c>
      <c r="S68" s="101">
        <v>0.0</v>
      </c>
      <c r="T68" s="101">
        <v>0.0</v>
      </c>
      <c r="U68" s="101">
        <v>0.0</v>
      </c>
      <c r="V68" s="101">
        <v>0.0</v>
      </c>
    </row>
    <row r="69" ht="15.75" customHeight="1">
      <c r="A69" s="102">
        <v>6.0</v>
      </c>
      <c r="B69" s="174">
        <v>0.0</v>
      </c>
      <c r="C69" s="101">
        <v>0.0</v>
      </c>
      <c r="D69" s="101">
        <v>0.0</v>
      </c>
      <c r="E69" s="101">
        <v>0.0</v>
      </c>
      <c r="F69" s="101">
        <v>0.0</v>
      </c>
      <c r="G69" s="101">
        <v>0.0</v>
      </c>
      <c r="H69" s="101">
        <v>1.0</v>
      </c>
      <c r="I69" s="101">
        <v>0.0</v>
      </c>
      <c r="J69" s="101">
        <v>0.0</v>
      </c>
      <c r="K69" s="101">
        <v>0.0</v>
      </c>
      <c r="L69" s="101">
        <v>0.0</v>
      </c>
      <c r="M69" s="101">
        <v>0.0</v>
      </c>
      <c r="N69" s="101">
        <v>0.0</v>
      </c>
      <c r="O69" s="101">
        <v>0.0</v>
      </c>
      <c r="P69" s="101">
        <v>0.0</v>
      </c>
      <c r="Q69" s="101">
        <v>0.0</v>
      </c>
      <c r="R69" s="101">
        <v>0.0</v>
      </c>
      <c r="S69" s="101">
        <v>0.0</v>
      </c>
      <c r="T69" s="101">
        <v>0.0</v>
      </c>
      <c r="U69" s="101">
        <v>0.0</v>
      </c>
      <c r="V69" s="101">
        <v>0.0</v>
      </c>
    </row>
    <row r="70" ht="15.75" customHeight="1">
      <c r="A70" s="102">
        <v>7.0</v>
      </c>
      <c r="B70" s="174">
        <v>0.0</v>
      </c>
      <c r="C70" s="101">
        <v>0.0</v>
      </c>
      <c r="D70" s="101">
        <v>0.0</v>
      </c>
      <c r="E70" s="101">
        <v>0.0</v>
      </c>
      <c r="F70" s="101">
        <v>0.0</v>
      </c>
      <c r="G70" s="101">
        <v>0.0</v>
      </c>
      <c r="H70" s="101">
        <v>1.0</v>
      </c>
      <c r="I70" s="101">
        <v>0.0</v>
      </c>
      <c r="J70" s="101">
        <v>0.0</v>
      </c>
      <c r="K70" s="101">
        <v>0.0</v>
      </c>
      <c r="L70" s="101">
        <v>0.0</v>
      </c>
      <c r="M70" s="101">
        <v>0.0</v>
      </c>
      <c r="N70" s="101">
        <v>0.0</v>
      </c>
      <c r="O70" s="101">
        <v>0.0</v>
      </c>
      <c r="P70" s="101">
        <v>0.0</v>
      </c>
      <c r="Q70" s="101">
        <v>0.0</v>
      </c>
      <c r="R70" s="101">
        <v>0.0</v>
      </c>
      <c r="S70" s="101">
        <v>0.0</v>
      </c>
      <c r="T70" s="101">
        <v>0.0</v>
      </c>
      <c r="U70" s="101">
        <v>0.0</v>
      </c>
      <c r="V70" s="101">
        <v>0.0</v>
      </c>
    </row>
    <row r="71" ht="15.75" customHeight="1">
      <c r="A71" s="102">
        <v>8.0</v>
      </c>
      <c r="B71" s="174">
        <v>0.0</v>
      </c>
      <c r="C71" s="101">
        <v>0.0</v>
      </c>
      <c r="D71" s="101">
        <v>0.0</v>
      </c>
      <c r="E71" s="101">
        <v>0.0</v>
      </c>
      <c r="F71" s="101">
        <v>0.0</v>
      </c>
      <c r="G71" s="101">
        <v>0.0</v>
      </c>
      <c r="H71" s="101">
        <v>1.0</v>
      </c>
      <c r="I71" s="101">
        <v>0.0</v>
      </c>
      <c r="J71" s="101">
        <v>0.0</v>
      </c>
      <c r="K71" s="101">
        <v>0.0</v>
      </c>
      <c r="L71" s="101">
        <v>0.0</v>
      </c>
      <c r="M71" s="101">
        <v>0.0</v>
      </c>
      <c r="N71" s="101">
        <v>0.0</v>
      </c>
      <c r="O71" s="101">
        <v>0.0</v>
      </c>
      <c r="P71" s="101">
        <v>0.0</v>
      </c>
      <c r="Q71" s="101">
        <v>0.0</v>
      </c>
      <c r="R71" s="101">
        <v>0.0</v>
      </c>
      <c r="S71" s="101">
        <v>0.0</v>
      </c>
      <c r="T71" s="101">
        <v>0.0</v>
      </c>
      <c r="U71" s="101">
        <v>0.0</v>
      </c>
      <c r="V71" s="101">
        <v>0.0</v>
      </c>
    </row>
    <row r="72" ht="15.75" customHeight="1">
      <c r="A72" s="102">
        <v>9.0</v>
      </c>
      <c r="B72" s="174">
        <v>0.0</v>
      </c>
      <c r="C72" s="101">
        <v>0.0</v>
      </c>
      <c r="D72" s="101">
        <v>0.0</v>
      </c>
      <c r="E72" s="101">
        <v>0.0</v>
      </c>
      <c r="F72" s="101">
        <v>0.0</v>
      </c>
      <c r="G72" s="101">
        <v>0.0</v>
      </c>
      <c r="H72" s="101">
        <v>1.0</v>
      </c>
      <c r="I72" s="101">
        <v>0.0</v>
      </c>
      <c r="J72" s="101">
        <v>0.0</v>
      </c>
      <c r="K72" s="101">
        <v>0.0</v>
      </c>
      <c r="L72" s="101">
        <v>0.0</v>
      </c>
      <c r="M72" s="101">
        <v>0.0</v>
      </c>
      <c r="N72" s="101">
        <v>0.0</v>
      </c>
      <c r="O72" s="101">
        <v>0.0</v>
      </c>
      <c r="P72" s="101">
        <v>0.0</v>
      </c>
      <c r="Q72" s="101">
        <v>0.0</v>
      </c>
      <c r="R72" s="101">
        <v>0.0</v>
      </c>
      <c r="S72" s="101">
        <v>0.0</v>
      </c>
      <c r="T72" s="101">
        <v>0.0</v>
      </c>
      <c r="U72" s="101">
        <v>0.0</v>
      </c>
      <c r="V72" s="101">
        <v>0.0</v>
      </c>
    </row>
    <row r="73" ht="15.75" customHeight="1">
      <c r="A73" s="102">
        <v>10.0</v>
      </c>
      <c r="B73" s="174">
        <v>0.0</v>
      </c>
      <c r="C73" s="101">
        <v>0.0</v>
      </c>
      <c r="D73" s="101">
        <v>0.0</v>
      </c>
      <c r="E73" s="101">
        <v>0.0</v>
      </c>
      <c r="F73" s="101">
        <v>0.0</v>
      </c>
      <c r="G73" s="101">
        <v>0.0</v>
      </c>
      <c r="H73" s="101">
        <v>1.0</v>
      </c>
      <c r="I73" s="101">
        <v>0.0</v>
      </c>
      <c r="J73" s="101">
        <v>0.0</v>
      </c>
      <c r="K73" s="101">
        <v>0.0</v>
      </c>
      <c r="L73" s="101">
        <v>0.0</v>
      </c>
      <c r="M73" s="101">
        <v>0.0</v>
      </c>
      <c r="N73" s="101">
        <v>0.0</v>
      </c>
      <c r="O73" s="101">
        <v>0.0</v>
      </c>
      <c r="P73" s="101">
        <v>0.0</v>
      </c>
      <c r="Q73" s="101">
        <v>0.0</v>
      </c>
      <c r="R73" s="101">
        <v>0.0</v>
      </c>
      <c r="S73" s="101">
        <v>0.0</v>
      </c>
      <c r="T73" s="101">
        <v>0.0</v>
      </c>
      <c r="U73" s="101">
        <v>0.0</v>
      </c>
      <c r="V73" s="101">
        <v>0.0</v>
      </c>
    </row>
    <row r="74" ht="15.75" customHeight="1"/>
    <row r="75" ht="19.5" customHeight="1">
      <c r="A75" s="91" t="s">
        <v>280</v>
      </c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</row>
    <row r="76" ht="15.75" customHeight="1">
      <c r="A76" s="125" t="s">
        <v>271</v>
      </c>
      <c r="B76" s="126">
        <v>10.0</v>
      </c>
    </row>
    <row r="77" ht="15.75" customHeight="1">
      <c r="A77" s="125" t="s">
        <v>272</v>
      </c>
      <c r="B77" s="126">
        <v>10.0</v>
      </c>
    </row>
    <row r="78" ht="15.75" customHeight="1">
      <c r="A78" s="125" t="s">
        <v>126</v>
      </c>
      <c r="B78" s="133">
        <v>1.0</v>
      </c>
    </row>
    <row r="79" ht="15.75" customHeight="1"/>
    <row r="80" ht="19.5" customHeight="1">
      <c r="A80" s="91" t="s">
        <v>281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</row>
    <row r="81" ht="90.0" customHeight="1">
      <c r="A81" s="97" t="s">
        <v>191</v>
      </c>
      <c r="B81" s="173" t="s">
        <v>19</v>
      </c>
      <c r="C81" s="99" t="s">
        <v>5</v>
      </c>
      <c r="D81" s="99" t="s">
        <v>77</v>
      </c>
      <c r="E81" s="99" t="s">
        <v>6</v>
      </c>
      <c r="F81" s="99" t="s">
        <v>7</v>
      </c>
      <c r="G81" s="99" t="s">
        <v>8</v>
      </c>
      <c r="H81" s="99" t="s">
        <v>9</v>
      </c>
      <c r="I81" s="99" t="s">
        <v>10</v>
      </c>
      <c r="J81" s="99" t="s">
        <v>11</v>
      </c>
      <c r="K81" s="99" t="s">
        <v>12</v>
      </c>
      <c r="L81" s="99" t="s">
        <v>13</v>
      </c>
      <c r="M81" s="99" t="s">
        <v>14</v>
      </c>
      <c r="N81" s="99" t="s">
        <v>15</v>
      </c>
      <c r="O81" s="99" t="s">
        <v>92</v>
      </c>
      <c r="P81" s="99" t="s">
        <v>78</v>
      </c>
      <c r="Q81" s="99" t="s">
        <v>79</v>
      </c>
      <c r="R81" s="99" t="s">
        <v>80</v>
      </c>
      <c r="S81" s="99" t="s">
        <v>81</v>
      </c>
      <c r="T81" s="99" t="s">
        <v>82</v>
      </c>
      <c r="U81" s="99" t="s">
        <v>83</v>
      </c>
      <c r="V81" s="99" t="s">
        <v>84</v>
      </c>
    </row>
    <row r="82" ht="15.75" customHeight="1">
      <c r="A82" s="102">
        <v>1.0</v>
      </c>
      <c r="B82" s="174">
        <v>200.0</v>
      </c>
      <c r="C82" s="101">
        <v>0.0</v>
      </c>
      <c r="D82" s="101">
        <v>0.0</v>
      </c>
      <c r="E82" s="101">
        <v>0.0</v>
      </c>
      <c r="F82" s="101">
        <v>0.0</v>
      </c>
      <c r="G82" s="101">
        <v>0.0</v>
      </c>
      <c r="H82" s="101">
        <v>0.0</v>
      </c>
      <c r="I82" s="101">
        <v>0.0</v>
      </c>
      <c r="J82" s="101">
        <v>1.0</v>
      </c>
      <c r="K82" s="101">
        <v>0.0</v>
      </c>
      <c r="L82" s="101">
        <v>0.0</v>
      </c>
      <c r="M82" s="101">
        <v>0.0</v>
      </c>
      <c r="N82" s="101">
        <v>0.0</v>
      </c>
      <c r="O82" s="101">
        <v>0.0</v>
      </c>
      <c r="P82" s="101">
        <v>0.0</v>
      </c>
      <c r="Q82" s="101">
        <v>0.0</v>
      </c>
      <c r="R82" s="101">
        <v>0.0</v>
      </c>
      <c r="S82" s="101">
        <v>0.0</v>
      </c>
      <c r="T82" s="101">
        <v>0.0</v>
      </c>
      <c r="U82" s="101">
        <v>0.0</v>
      </c>
      <c r="V82" s="101">
        <v>0.0</v>
      </c>
    </row>
    <row r="83" ht="15.75" customHeight="1">
      <c r="A83" s="102">
        <v>2.0</v>
      </c>
      <c r="B83" s="174">
        <v>100.0</v>
      </c>
      <c r="C83" s="101">
        <v>0.0</v>
      </c>
      <c r="D83" s="101">
        <v>0.0</v>
      </c>
      <c r="E83" s="101">
        <v>0.0</v>
      </c>
      <c r="F83" s="101">
        <v>0.0</v>
      </c>
      <c r="G83" s="101">
        <v>0.0</v>
      </c>
      <c r="H83" s="101">
        <v>0.0</v>
      </c>
      <c r="I83" s="101">
        <v>1.0</v>
      </c>
      <c r="J83" s="101">
        <v>0.0</v>
      </c>
      <c r="K83" s="101">
        <v>0.0</v>
      </c>
      <c r="L83" s="101">
        <v>0.0</v>
      </c>
      <c r="M83" s="101">
        <v>0.0</v>
      </c>
      <c r="N83" s="101">
        <v>0.0</v>
      </c>
      <c r="O83" s="101">
        <v>0.0</v>
      </c>
      <c r="P83" s="101">
        <v>0.0</v>
      </c>
      <c r="Q83" s="101">
        <v>0.0</v>
      </c>
      <c r="R83" s="101">
        <v>0.0</v>
      </c>
      <c r="S83" s="101">
        <v>0.0</v>
      </c>
      <c r="T83" s="101">
        <v>0.0</v>
      </c>
      <c r="U83" s="101">
        <v>0.0</v>
      </c>
      <c r="V83" s="101">
        <v>0.0</v>
      </c>
    </row>
    <row r="84" ht="15.75" customHeight="1">
      <c r="A84" s="102">
        <v>3.0</v>
      </c>
      <c r="B84" s="174">
        <v>50.0</v>
      </c>
      <c r="C84" s="101">
        <v>0.0</v>
      </c>
      <c r="D84" s="101">
        <v>0.0</v>
      </c>
      <c r="E84" s="101">
        <v>0.0</v>
      </c>
      <c r="F84" s="101">
        <v>0.0</v>
      </c>
      <c r="G84" s="101">
        <v>0.0</v>
      </c>
      <c r="H84" s="101">
        <v>0.0</v>
      </c>
      <c r="I84" s="101">
        <v>1.0</v>
      </c>
      <c r="J84" s="101">
        <v>0.0</v>
      </c>
      <c r="K84" s="101">
        <v>0.0</v>
      </c>
      <c r="L84" s="101">
        <v>0.0</v>
      </c>
      <c r="M84" s="101">
        <v>0.0</v>
      </c>
      <c r="N84" s="101">
        <v>0.0</v>
      </c>
      <c r="O84" s="101">
        <v>0.0</v>
      </c>
      <c r="P84" s="101">
        <v>0.0</v>
      </c>
      <c r="Q84" s="101">
        <v>0.0</v>
      </c>
      <c r="R84" s="101">
        <v>0.0</v>
      </c>
      <c r="S84" s="101">
        <v>0.0</v>
      </c>
      <c r="T84" s="101">
        <v>0.0</v>
      </c>
      <c r="U84" s="101">
        <v>0.0</v>
      </c>
      <c r="V84" s="101">
        <v>0.0</v>
      </c>
    </row>
    <row r="85" ht="15.75" customHeight="1">
      <c r="A85" s="102">
        <v>4.0</v>
      </c>
      <c r="B85" s="174">
        <v>0.0</v>
      </c>
      <c r="C85" s="101">
        <v>0.0</v>
      </c>
      <c r="D85" s="101">
        <v>0.0</v>
      </c>
      <c r="E85" s="101">
        <v>0.0</v>
      </c>
      <c r="F85" s="101">
        <v>0.0</v>
      </c>
      <c r="G85" s="101">
        <v>0.0</v>
      </c>
      <c r="H85" s="101">
        <v>0.0</v>
      </c>
      <c r="I85" s="101">
        <v>1.0</v>
      </c>
      <c r="J85" s="101">
        <v>0.0</v>
      </c>
      <c r="K85" s="101">
        <v>0.0</v>
      </c>
      <c r="L85" s="101">
        <v>0.0</v>
      </c>
      <c r="M85" s="101">
        <v>0.0</v>
      </c>
      <c r="N85" s="101">
        <v>0.0</v>
      </c>
      <c r="O85" s="101">
        <v>0.0</v>
      </c>
      <c r="P85" s="101">
        <v>0.0</v>
      </c>
      <c r="Q85" s="101">
        <v>0.0</v>
      </c>
      <c r="R85" s="101">
        <v>0.0</v>
      </c>
      <c r="S85" s="101">
        <v>0.0</v>
      </c>
      <c r="T85" s="101">
        <v>0.0</v>
      </c>
      <c r="U85" s="101">
        <v>0.0</v>
      </c>
      <c r="V85" s="101">
        <v>0.0</v>
      </c>
    </row>
    <row r="86" ht="15.75" customHeight="1">
      <c r="A86" s="102">
        <v>5.0</v>
      </c>
      <c r="B86" s="174">
        <v>0.0</v>
      </c>
      <c r="C86" s="101">
        <v>0.0</v>
      </c>
      <c r="D86" s="101">
        <v>0.0</v>
      </c>
      <c r="E86" s="101">
        <v>0.0</v>
      </c>
      <c r="F86" s="101">
        <v>0.0</v>
      </c>
      <c r="G86" s="101">
        <v>0.0</v>
      </c>
      <c r="H86" s="101">
        <v>0.0</v>
      </c>
      <c r="I86" s="101">
        <v>1.0</v>
      </c>
      <c r="J86" s="101">
        <v>0.0</v>
      </c>
      <c r="K86" s="101">
        <v>0.0</v>
      </c>
      <c r="L86" s="101">
        <v>0.0</v>
      </c>
      <c r="M86" s="101">
        <v>0.0</v>
      </c>
      <c r="N86" s="101">
        <v>0.0</v>
      </c>
      <c r="O86" s="101">
        <v>0.0</v>
      </c>
      <c r="P86" s="101">
        <v>0.0</v>
      </c>
      <c r="Q86" s="101">
        <v>0.0</v>
      </c>
      <c r="R86" s="101">
        <v>0.0</v>
      </c>
      <c r="S86" s="101">
        <v>0.0</v>
      </c>
      <c r="T86" s="101">
        <v>0.0</v>
      </c>
      <c r="U86" s="101">
        <v>0.0</v>
      </c>
      <c r="V86" s="101">
        <v>0.0</v>
      </c>
    </row>
    <row r="87" ht="15.75" customHeight="1">
      <c r="A87" s="102">
        <v>6.0</v>
      </c>
      <c r="B87" s="174">
        <v>0.0</v>
      </c>
      <c r="C87" s="101">
        <v>0.0</v>
      </c>
      <c r="D87" s="101">
        <v>0.0</v>
      </c>
      <c r="E87" s="101">
        <v>0.0</v>
      </c>
      <c r="F87" s="101">
        <v>0.0</v>
      </c>
      <c r="G87" s="101">
        <v>0.0</v>
      </c>
      <c r="H87" s="101">
        <v>1.0</v>
      </c>
      <c r="I87" s="101">
        <v>0.0</v>
      </c>
      <c r="J87" s="101">
        <v>0.0</v>
      </c>
      <c r="K87" s="101">
        <v>0.0</v>
      </c>
      <c r="L87" s="101">
        <v>0.0</v>
      </c>
      <c r="M87" s="101">
        <v>0.0</v>
      </c>
      <c r="N87" s="101">
        <v>0.0</v>
      </c>
      <c r="O87" s="101">
        <v>0.0</v>
      </c>
      <c r="P87" s="101">
        <v>0.0</v>
      </c>
      <c r="Q87" s="101">
        <v>0.0</v>
      </c>
      <c r="R87" s="101">
        <v>0.0</v>
      </c>
      <c r="S87" s="101">
        <v>0.0</v>
      </c>
      <c r="T87" s="101">
        <v>0.0</v>
      </c>
      <c r="U87" s="101">
        <v>0.0</v>
      </c>
      <c r="V87" s="101">
        <v>0.0</v>
      </c>
    </row>
    <row r="88" ht="15.75" customHeight="1">
      <c r="A88" s="102">
        <v>7.0</v>
      </c>
      <c r="B88" s="174">
        <v>0.0</v>
      </c>
      <c r="C88" s="101">
        <v>0.0</v>
      </c>
      <c r="D88" s="101">
        <v>0.0</v>
      </c>
      <c r="E88" s="101">
        <v>0.0</v>
      </c>
      <c r="F88" s="101">
        <v>0.0</v>
      </c>
      <c r="G88" s="101">
        <v>0.0</v>
      </c>
      <c r="H88" s="101">
        <v>1.0</v>
      </c>
      <c r="I88" s="101">
        <v>0.0</v>
      </c>
      <c r="J88" s="101">
        <v>0.0</v>
      </c>
      <c r="K88" s="101">
        <v>0.0</v>
      </c>
      <c r="L88" s="101">
        <v>0.0</v>
      </c>
      <c r="M88" s="101">
        <v>0.0</v>
      </c>
      <c r="N88" s="101">
        <v>0.0</v>
      </c>
      <c r="O88" s="101">
        <v>0.0</v>
      </c>
      <c r="P88" s="101">
        <v>0.0</v>
      </c>
      <c r="Q88" s="101">
        <v>0.0</v>
      </c>
      <c r="R88" s="101">
        <v>0.0</v>
      </c>
      <c r="S88" s="101">
        <v>0.0</v>
      </c>
      <c r="T88" s="101">
        <v>0.0</v>
      </c>
      <c r="U88" s="101">
        <v>0.0</v>
      </c>
      <c r="V88" s="101">
        <v>0.0</v>
      </c>
    </row>
    <row r="89" ht="15.75" customHeight="1">
      <c r="A89" s="102">
        <v>8.0</v>
      </c>
      <c r="B89" s="174">
        <v>0.0</v>
      </c>
      <c r="C89" s="101">
        <v>0.0</v>
      </c>
      <c r="D89" s="101">
        <v>0.0</v>
      </c>
      <c r="E89" s="101">
        <v>0.0</v>
      </c>
      <c r="F89" s="101">
        <v>0.0</v>
      </c>
      <c r="G89" s="101">
        <v>0.0</v>
      </c>
      <c r="H89" s="101">
        <v>1.0</v>
      </c>
      <c r="I89" s="101">
        <v>0.0</v>
      </c>
      <c r="J89" s="101">
        <v>0.0</v>
      </c>
      <c r="K89" s="101">
        <v>0.0</v>
      </c>
      <c r="L89" s="101">
        <v>0.0</v>
      </c>
      <c r="M89" s="101">
        <v>0.0</v>
      </c>
      <c r="N89" s="101">
        <v>0.0</v>
      </c>
      <c r="O89" s="101">
        <v>0.0</v>
      </c>
      <c r="P89" s="101">
        <v>0.0</v>
      </c>
      <c r="Q89" s="101">
        <v>0.0</v>
      </c>
      <c r="R89" s="101">
        <v>0.0</v>
      </c>
      <c r="S89" s="101">
        <v>0.0</v>
      </c>
      <c r="T89" s="101">
        <v>0.0</v>
      </c>
      <c r="U89" s="101">
        <v>0.0</v>
      </c>
      <c r="V89" s="101">
        <v>0.0</v>
      </c>
    </row>
    <row r="90" ht="15.75" customHeight="1">
      <c r="A90" s="102">
        <v>9.0</v>
      </c>
      <c r="B90" s="174">
        <v>0.0</v>
      </c>
      <c r="C90" s="101">
        <v>0.0</v>
      </c>
      <c r="D90" s="101">
        <v>0.0</v>
      </c>
      <c r="E90" s="101">
        <v>0.0</v>
      </c>
      <c r="F90" s="101">
        <v>0.0</v>
      </c>
      <c r="G90" s="101">
        <v>0.0</v>
      </c>
      <c r="H90" s="101">
        <v>1.0</v>
      </c>
      <c r="I90" s="101">
        <v>0.0</v>
      </c>
      <c r="J90" s="101">
        <v>0.0</v>
      </c>
      <c r="K90" s="101">
        <v>0.0</v>
      </c>
      <c r="L90" s="101">
        <v>0.0</v>
      </c>
      <c r="M90" s="101">
        <v>0.0</v>
      </c>
      <c r="N90" s="101">
        <v>0.0</v>
      </c>
      <c r="O90" s="101">
        <v>0.0</v>
      </c>
      <c r="P90" s="101">
        <v>0.0</v>
      </c>
      <c r="Q90" s="101">
        <v>0.0</v>
      </c>
      <c r="R90" s="101">
        <v>0.0</v>
      </c>
      <c r="S90" s="101">
        <v>0.0</v>
      </c>
      <c r="T90" s="101">
        <v>0.0</v>
      </c>
      <c r="U90" s="101">
        <v>0.0</v>
      </c>
      <c r="V90" s="101">
        <v>0.0</v>
      </c>
    </row>
    <row r="91" ht="15.75" customHeight="1">
      <c r="A91" s="102">
        <v>10.0</v>
      </c>
      <c r="B91" s="174">
        <v>0.0</v>
      </c>
      <c r="C91" s="101">
        <v>0.0</v>
      </c>
      <c r="D91" s="101">
        <v>0.0</v>
      </c>
      <c r="E91" s="101">
        <v>0.0</v>
      </c>
      <c r="F91" s="101">
        <v>0.0</v>
      </c>
      <c r="G91" s="101">
        <v>0.0</v>
      </c>
      <c r="H91" s="101">
        <v>1.0</v>
      </c>
      <c r="I91" s="101">
        <v>0.0</v>
      </c>
      <c r="J91" s="101">
        <v>0.0</v>
      </c>
      <c r="K91" s="101">
        <v>0.0</v>
      </c>
      <c r="L91" s="101">
        <v>0.0</v>
      </c>
      <c r="M91" s="101">
        <v>0.0</v>
      </c>
      <c r="N91" s="101">
        <v>0.0</v>
      </c>
      <c r="O91" s="101">
        <v>0.0</v>
      </c>
      <c r="P91" s="101">
        <v>0.0</v>
      </c>
      <c r="Q91" s="101">
        <v>0.0</v>
      </c>
      <c r="R91" s="101">
        <v>0.0</v>
      </c>
      <c r="S91" s="101">
        <v>0.0</v>
      </c>
      <c r="T91" s="101">
        <v>0.0</v>
      </c>
      <c r="U91" s="101">
        <v>0.0</v>
      </c>
      <c r="V91" s="101">
        <v>0.0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conditionalFormatting sqref="B10:V19">
    <cfRule type="cellIs" dxfId="1" priority="1" operator="greaterThan">
      <formula>0</formula>
    </cfRule>
  </conditionalFormatting>
  <conditionalFormatting sqref="A10:V19">
    <cfRule type="expression" dxfId="2" priority="2">
      <formula>ISEVEN(ROW()-9+1)</formula>
    </cfRule>
  </conditionalFormatting>
  <conditionalFormatting sqref="B28:V37">
    <cfRule type="cellIs" dxfId="1" priority="3" operator="greaterThan">
      <formula>0</formula>
    </cfRule>
  </conditionalFormatting>
  <conditionalFormatting sqref="A28:V37">
    <cfRule type="expression" dxfId="2" priority="4">
      <formula>ISEVEN(ROW()-26+1)</formula>
    </cfRule>
  </conditionalFormatting>
  <conditionalFormatting sqref="B46:V55">
    <cfRule type="cellIs" dxfId="1" priority="5" operator="greaterThan">
      <formula>0</formula>
    </cfRule>
  </conditionalFormatting>
  <conditionalFormatting sqref="A46:V55">
    <cfRule type="expression" dxfId="2" priority="6">
      <formula>ISEVEN(ROW()-43+1)</formula>
    </cfRule>
  </conditionalFormatting>
  <conditionalFormatting sqref="B64:V73">
    <cfRule type="cellIs" dxfId="1" priority="7" operator="greaterThan">
      <formula>0</formula>
    </cfRule>
  </conditionalFormatting>
  <conditionalFormatting sqref="A64:V73">
    <cfRule type="expression" dxfId="2" priority="8">
      <formula>ISEVEN(ROW()-60+1)</formula>
    </cfRule>
  </conditionalFormatting>
  <conditionalFormatting sqref="B82:V91">
    <cfRule type="cellIs" dxfId="1" priority="9" operator="greaterThan">
      <formula>0</formula>
    </cfRule>
  </conditionalFormatting>
  <conditionalFormatting sqref="A82:V91">
    <cfRule type="expression" dxfId="2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1.25"/>
  </cols>
  <sheetData>
    <row r="1" ht="21.75" customHeight="1">
      <c r="A1" s="1" t="s">
        <v>269</v>
      </c>
      <c r="AH1" s="130" t="s">
        <v>259</v>
      </c>
    </row>
    <row r="2">
      <c r="AH2" s="131" t="s">
        <v>134</v>
      </c>
      <c r="AI2" s="132" t="s">
        <v>170</v>
      </c>
    </row>
    <row r="3" ht="19.5" customHeight="1">
      <c r="A3" s="91" t="s">
        <v>270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AH3" s="131" t="s">
        <v>136</v>
      </c>
      <c r="AI3" s="132" t="s">
        <v>137</v>
      </c>
    </row>
    <row r="4">
      <c r="A4" s="125" t="s">
        <v>271</v>
      </c>
      <c r="B4" s="126">
        <v>10.0</v>
      </c>
    </row>
    <row r="5">
      <c r="A5" s="125" t="s">
        <v>272</v>
      </c>
      <c r="B5" s="126">
        <v>10.0</v>
      </c>
      <c r="AH5" s="134" t="s">
        <v>260</v>
      </c>
      <c r="AI5" s="134" t="s">
        <v>261</v>
      </c>
      <c r="AJ5" s="134" t="s">
        <v>140</v>
      </c>
      <c r="AK5" s="134" t="s">
        <v>262</v>
      </c>
      <c r="AL5" s="134" t="s">
        <v>142</v>
      </c>
      <c r="AM5" s="134" t="s">
        <v>263</v>
      </c>
      <c r="AN5" s="134" t="s">
        <v>144</v>
      </c>
      <c r="AO5" s="134" t="s">
        <v>264</v>
      </c>
      <c r="AP5" s="134" t="s">
        <v>146</v>
      </c>
      <c r="AQ5" s="134" t="s">
        <v>265</v>
      </c>
      <c r="AR5" s="134" t="s">
        <v>148</v>
      </c>
    </row>
    <row r="6">
      <c r="A6" s="125" t="s">
        <v>126</v>
      </c>
      <c r="B6" s="133">
        <v>2.0</v>
      </c>
      <c r="AH6" s="176" t="s">
        <v>282</v>
      </c>
      <c r="AI6" s="136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>9</v>
      </c>
      <c r="AJ6" s="137" t="str">
        <f t="array" ref="AJ6">LET(p,AI6,IF(p="n/a","n/a",IF(p&gt;10,"— (below ladder)",LET(s,INDEX($B$10:$V$19,p,0),b,TEXTJOIN(", ",TRUE,IF(s&gt;0,$B$9:$V$9&amp;": "&amp;ROUND(s,2),"")),IF(b="","{} (rank pays nothing)","{"&amp;b&amp;"}")))))</f>
        <v>{Slingshot: 1}</v>
      </c>
      <c r="AK6" s="136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>6</v>
      </c>
      <c r="AL6" s="137" t="str">
        <f t="array" ref="AL6">LET(p,AK6,IF(p="n/a","n/a",IF(p&gt;10,"— (below ladder)",LET(s,INDEX($B$10:$V$19,p,0),b,TEXTJOIN(", ",TRUE,IF(s&gt;0,$B$9:$V$9&amp;": "&amp;ROUND(s,2),"")),IF(b="","{} (rank pays nothing)","{"&amp;b&amp;"}")))))</f>
        <v>{Slingshot: 1}</v>
      </c>
      <c r="AM6" s="136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>3</v>
      </c>
      <c r="AN6" s="137" t="str">
        <f t="array" ref="AN6">LET(p,AM6,IF(p="n/a","n/a",IF(p&gt;10,"— (below ladder)",LET(s,INDEX($B$10:$V$19,p,0),b,TEXTJOIN(", ",TRUE,IF(s&gt;0,$B$9:$V$9&amp;": "&amp;ROUND(s,2),"")),IF(b="","{} (rank pays nothing)","{"&amp;b&amp;"}")))))</f>
        <v>{Coins: 50, Shuffle: 1}</v>
      </c>
      <c r="AO6" s="136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>2</v>
      </c>
      <c r="AP6" s="137" t="str">
        <f t="array" ref="AP6">LET(p,AO6,IF(p="n/a","n/a",IF(p&gt;10,"— (below ladder)",LET(s,INDEX($B$10:$V$19,p,0),b,TEXTJOIN(", ",TRUE,IF(s&gt;0,$B$9:$V$9&amp;": "&amp;ROUND(s,2),"")),IF(b="","{} (rank pays nothing)","{"&amp;b&amp;"}")))))</f>
        <v>{Coins: 100, Shuffle: 1}</v>
      </c>
      <c r="AQ6" s="136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>1</v>
      </c>
      <c r="AR6" s="137" t="str">
        <f t="array" ref="AR6">LET(p,AQ6,IF(p="n/a","n/a",IF(p&gt;10,"— (below ladder)",LET(s,INDEX($B$10:$V$19,p,0),b,TEXTJOIN(", ",TRUE,IF(s&gt;0,$B$9:$V$9&amp;": "&amp;ROUND(s,2),"")),IF(b="","{} (rank pays nothing)","{"&amp;b&amp;"}")))))</f>
        <v>{Coins: 200, Comet: 1}</v>
      </c>
    </row>
    <row r="7">
      <c r="AH7" s="176" t="s">
        <v>283</v>
      </c>
      <c r="AI7" s="136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>10</v>
      </c>
      <c r="AJ7" s="137" t="str">
        <f t="array" ref="AJ7">LET(p,AI7,IF(p="n/a","n/a",IF(p&gt;10,"— (below ladder)",LET(s,INDEX($B$28:$V$37,p,0),b,TEXTJOIN(", ",TRUE,IF(s&gt;0,$B$27:$V$27&amp;": "&amp;ROUND(s,2),"")),IF(b="","{} (rank pays nothing)","{"&amp;b&amp;"}")))))</f>
        <v>{Slingshot: 1}</v>
      </c>
      <c r="AK7" s="136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>6</v>
      </c>
      <c r="AL7" s="137" t="str">
        <f t="array" ref="AL7">LET(p,AK7,IF(p="n/a","n/a",IF(p&gt;10,"— (below ladder)",LET(s,INDEX($B$28:$V$37,p,0),b,TEXTJOIN(", ",TRUE,IF(s&gt;0,$B$27:$V$27&amp;": "&amp;ROUND(s,2),"")),IF(b="","{} (rank pays nothing)","{"&amp;b&amp;"}")))))</f>
        <v>{Slingshot: 1}</v>
      </c>
      <c r="AM7" s="136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>4</v>
      </c>
      <c r="AN7" s="137" t="str">
        <f t="array" ref="AN7">LET(p,AM7,IF(p="n/a","n/a",IF(p&gt;10,"— (below ladder)",LET(s,INDEX($B$28:$V$37,p,0),b,TEXTJOIN(", ",TRUE,IF(s&gt;0,$B$27:$V$27&amp;": "&amp;ROUND(s,2),"")),IF(b="","{} (rank pays nothing)","{"&amp;b&amp;"}")))))</f>
        <v>{Shuffle: 1}</v>
      </c>
      <c r="AO7" s="136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>2</v>
      </c>
      <c r="AP7" s="137" t="str">
        <f t="array" ref="AP7">LET(p,AO7,IF(p="n/a","n/a",IF(p&gt;10,"— (below ladder)",LET(s,INDEX($B$28:$V$37,p,0),b,TEXTJOIN(", ",TRUE,IF(s&gt;0,$B$27:$V$27&amp;": "&amp;ROUND(s,2),"")),IF(b="","{} (rank pays nothing)","{"&amp;b&amp;"}")))))</f>
        <v>{Coins: 100, Shuffle: 1}</v>
      </c>
      <c r="AQ7" s="136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>1</v>
      </c>
      <c r="AR7" s="137" t="str">
        <f t="array" ref="AR7">LET(p,AQ7,IF(p="n/a","n/a",IF(p&gt;10,"— (below ladder)",LET(s,INDEX($B$28:$V$37,p,0),b,TEXTJOIN(", ",TRUE,IF(s&gt;0,$B$27:$V$27&amp;": "&amp;ROUND(s,2),"")),IF(b="","{} (rank pays nothing)","{"&amp;b&amp;"}")))))</f>
        <v>{Coins: 200, Comet: 1}</v>
      </c>
    </row>
    <row r="8" ht="19.5" customHeight="1">
      <c r="A8" s="91" t="s">
        <v>273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AH8" s="176" t="s">
        <v>284</v>
      </c>
      <c r="AI8" s="136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>11</v>
      </c>
      <c r="AJ8" s="137" t="str">
        <f t="array" ref="AJ8">LET(p,AI8,IF(p="n/a","n/a",IF(p&gt;10,"— (below ladder)",LET(s,INDEX($B$46:$V$55,p,0),b,TEXTJOIN(", ",TRUE,IF(s&gt;0,$B$45:$V$45&amp;": "&amp;ROUND(s,2),"")),IF(b="","{} (rank pays nothing)","{"&amp;b&amp;"}")))))</f>
        <v>— (below ladder)</v>
      </c>
      <c r="AK8" s="136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>8</v>
      </c>
      <c r="AL8" s="137" t="str">
        <f t="array" ref="AL8">LET(p,AK8,IF(p="n/a","n/a",IF(p&gt;10,"— (below ladder)",LET(s,INDEX($B$46:$V$55,p,0),b,TEXTJOIN(", ",TRUE,IF(s&gt;0,$B$45:$V$45&amp;": "&amp;ROUND(s,2),"")),IF(b="","{} (rank pays nothing)","{"&amp;b&amp;"}")))))</f>
        <v>{Slingshot: 1}</v>
      </c>
      <c r="AM8" s="136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>5</v>
      </c>
      <c r="AN8" s="137" t="str">
        <f t="array" ref="AN8">LET(p,AM8,IF(p="n/a","n/a",IF(p&gt;10,"— (below ladder)",LET(s,INDEX($B$46:$V$55,p,0),b,TEXTJOIN(", ",TRUE,IF(s&gt;0,$B$45:$V$45&amp;": "&amp;ROUND(s,2),"")),IF(b="","{} (rank pays nothing)","{"&amp;b&amp;"}")))))</f>
        <v>{Shuffle: 1}</v>
      </c>
      <c r="AO8" s="136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>3</v>
      </c>
      <c r="AP8" s="137" t="str">
        <f t="array" ref="AP8">LET(p,AO8,IF(p="n/a","n/a",IF(p&gt;10,"— (below ladder)",LET(s,INDEX($B$46:$V$55,p,0),b,TEXTJOIN(", ",TRUE,IF(s&gt;0,$B$45:$V$45&amp;": "&amp;ROUND(s,2),"")),IF(b="","{} (rank pays nothing)","{"&amp;b&amp;"}")))))</f>
        <v>{Coins: 50, Shuffle: 1}</v>
      </c>
      <c r="AQ8" s="136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>1</v>
      </c>
      <c r="AR8" s="137" t="str">
        <f t="array" ref="AR8">LET(p,AQ8,IF(p="n/a","n/a",IF(p&gt;10,"— (below ladder)",LET(s,INDEX($B$46:$V$55,p,0),b,TEXTJOIN(", ",TRUE,IF(s&gt;0,$B$45:$V$45&amp;": "&amp;ROUND(s,2),"")),IF(b="","{} (rank pays nothing)","{"&amp;b&amp;"}")))))</f>
        <v>{Coins: 200, Comet: 1}</v>
      </c>
    </row>
    <row r="9" ht="90.0" customHeight="1">
      <c r="A9" s="97" t="s">
        <v>191</v>
      </c>
      <c r="B9" s="173" t="s">
        <v>19</v>
      </c>
      <c r="C9" s="99" t="s">
        <v>5</v>
      </c>
      <c r="D9" s="99" t="s">
        <v>77</v>
      </c>
      <c r="E9" s="99" t="s">
        <v>6</v>
      </c>
      <c r="F9" s="99" t="s">
        <v>7</v>
      </c>
      <c r="G9" s="99" t="s">
        <v>8</v>
      </c>
      <c r="H9" s="99" t="s">
        <v>9</v>
      </c>
      <c r="I9" s="99" t="s">
        <v>10</v>
      </c>
      <c r="J9" s="99" t="s">
        <v>11</v>
      </c>
      <c r="K9" s="99" t="s">
        <v>12</v>
      </c>
      <c r="L9" s="99" t="s">
        <v>13</v>
      </c>
      <c r="M9" s="99" t="s">
        <v>14</v>
      </c>
      <c r="N9" s="99" t="s">
        <v>15</v>
      </c>
      <c r="O9" s="99" t="s">
        <v>92</v>
      </c>
      <c r="P9" s="99" t="s">
        <v>78</v>
      </c>
      <c r="Q9" s="99" t="s">
        <v>79</v>
      </c>
      <c r="R9" s="99" t="s">
        <v>80</v>
      </c>
      <c r="S9" s="99" t="s">
        <v>81</v>
      </c>
      <c r="T9" s="99" t="s">
        <v>82</v>
      </c>
      <c r="U9" s="99" t="s">
        <v>83</v>
      </c>
      <c r="V9" s="99" t="s">
        <v>84</v>
      </c>
      <c r="AH9" s="176" t="s">
        <v>45</v>
      </c>
      <c r="AI9" s="136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>10</v>
      </c>
      <c r="AJ9" s="137" t="str">
        <f t="array" ref="AJ9">LET(p,AI9,IF(p="n/a","n/a",IF(p&gt;10,"— (below ladder)",LET(s,INDEX($B$64:$V$73,p,0),b,TEXTJOIN(", ",TRUE,IF(s&gt;0,$B$63:$V$63&amp;": "&amp;ROUND(s,2),"")),IF(b="","{} (rank pays nothing)","{"&amp;b&amp;"}")))))</f>
        <v>{Slingshot: 1}</v>
      </c>
      <c r="AK9" s="136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>6</v>
      </c>
      <c r="AL9" s="137" t="str">
        <f t="array" ref="AL9">LET(p,AK9,IF(p="n/a","n/a",IF(p&gt;10,"— (below ladder)",LET(s,INDEX($B$64:$V$73,p,0),b,TEXTJOIN(", ",TRUE,IF(s&gt;0,$B$63:$V$63&amp;": "&amp;ROUND(s,2),"")),IF(b="","{} (rank pays nothing)","{"&amp;b&amp;"}")))))</f>
        <v>{Slingshot: 1}</v>
      </c>
      <c r="AM9" s="136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>3</v>
      </c>
      <c r="AN9" s="137" t="str">
        <f t="array" ref="AN9">LET(p,AM9,IF(p="n/a","n/a",IF(p&gt;10,"— (below ladder)",LET(s,INDEX($B$64:$V$73,p,0),b,TEXTJOIN(", ",TRUE,IF(s&gt;0,$B$63:$V$63&amp;": "&amp;ROUND(s,2),"")),IF(b="","{} (rank pays nothing)","{"&amp;b&amp;"}")))))</f>
        <v>{Coins: 50, Shuffle: 1}</v>
      </c>
      <c r="AO9" s="136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>2</v>
      </c>
      <c r="AP9" s="137" t="str">
        <f t="array" ref="AP9">LET(p,AO9,IF(p="n/a","n/a",IF(p&gt;10,"— (below ladder)",LET(s,INDEX($B$64:$V$73,p,0),b,TEXTJOIN(", ",TRUE,IF(s&gt;0,$B$63:$V$63&amp;": "&amp;ROUND(s,2),"")),IF(b="","{} (rank pays nothing)","{"&amp;b&amp;"}")))))</f>
        <v>{Coins: 100, Shuffle: 1}</v>
      </c>
      <c r="AQ9" s="136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>1</v>
      </c>
      <c r="AR9" s="137" t="str">
        <f t="array" ref="AR9">LET(p,AQ9,IF(p="n/a","n/a",IF(p&gt;10,"— (below ladder)",LET(s,INDEX($B$64:$V$73,p,0),b,TEXTJOIN(", ",TRUE,IF(s&gt;0,$B$63:$V$63&amp;": "&amp;ROUND(s,2),"")),IF(b="","{} (rank pays nothing)","{"&amp;b&amp;"}")))))</f>
        <v>{Coins: 200, Comet: 1}</v>
      </c>
    </row>
    <row r="10">
      <c r="A10" s="102">
        <v>1.0</v>
      </c>
      <c r="B10" s="174">
        <v>200.0</v>
      </c>
      <c r="C10" s="101">
        <v>0.0</v>
      </c>
      <c r="D10" s="101">
        <v>0.0</v>
      </c>
      <c r="E10" s="101">
        <v>0.0</v>
      </c>
      <c r="F10" s="101">
        <v>0.0</v>
      </c>
      <c r="G10" s="101">
        <v>0.0</v>
      </c>
      <c r="H10" s="101">
        <v>0.0</v>
      </c>
      <c r="I10" s="101">
        <v>0.0</v>
      </c>
      <c r="J10" s="101">
        <v>1.0</v>
      </c>
      <c r="K10" s="101">
        <v>0.0</v>
      </c>
      <c r="L10" s="101">
        <v>0.0</v>
      </c>
      <c r="M10" s="101">
        <v>0.0</v>
      </c>
      <c r="N10" s="101">
        <v>0.0</v>
      </c>
      <c r="O10" s="101">
        <v>0.0</v>
      </c>
      <c r="P10" s="101">
        <v>0.0</v>
      </c>
      <c r="Q10" s="101">
        <v>0.0</v>
      </c>
      <c r="R10" s="101">
        <v>0.0</v>
      </c>
      <c r="S10" s="101">
        <v>0.0</v>
      </c>
      <c r="T10" s="101">
        <v>0.0</v>
      </c>
      <c r="U10" s="101">
        <v>0.0</v>
      </c>
      <c r="V10" s="101">
        <v>0.0</v>
      </c>
      <c r="AH10" s="176" t="s">
        <v>41</v>
      </c>
      <c r="AI10" s="136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>4</v>
      </c>
      <c r="AJ10" s="137" t="str">
        <f t="array" ref="AJ10">LET(p,AI10,IF(p="n/a","n/a",IF(p&gt;10,"— (below ladder)",LET(s,INDEX($B$82:$V$91,p,0),b,TEXTJOIN(", ",TRUE,IF(s&gt;0,$B$81:$V$81&amp;": "&amp;ROUND(s,2),"")),IF(b="","{} (rank pays nothing)","{"&amp;b&amp;"}")))))</f>
        <v>{Shuffle: 1}</v>
      </c>
      <c r="AK10" s="136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>3</v>
      </c>
      <c r="AL10" s="137" t="str">
        <f t="array" ref="AL10">LET(p,AK10,IF(p="n/a","n/a",IF(p&gt;10,"— (below ladder)",LET(s,INDEX($B$82:$V$91,p,0),b,TEXTJOIN(", ",TRUE,IF(s&gt;0,$B$81:$V$81&amp;": "&amp;ROUND(s,2),"")),IF(b="","{} (rank pays nothing)","{"&amp;b&amp;"}")))))</f>
        <v>{Coins: 50, Shuffle: 1}</v>
      </c>
      <c r="AM10" s="136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>3</v>
      </c>
      <c r="AN10" s="137" t="str">
        <f t="array" ref="AN10">LET(p,AM10,IF(p="n/a","n/a",IF(p&gt;10,"— (below ladder)",LET(s,INDEX($B$82:$V$91,p,0),b,TEXTJOIN(", ",TRUE,IF(s&gt;0,$B$81:$V$81&amp;": "&amp;ROUND(s,2),"")),IF(b="","{} (rank pays nothing)","{"&amp;b&amp;"}")))))</f>
        <v>{Coins: 50, Shuffle: 1}</v>
      </c>
      <c r="AO10" s="136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>2</v>
      </c>
      <c r="AP10" s="137" t="str">
        <f t="array" ref="AP10">LET(p,AO10,IF(p="n/a","n/a",IF(p&gt;10,"— (below ladder)",LET(s,INDEX($B$82:$V$91,p,0),b,TEXTJOIN(", ",TRUE,IF(s&gt;0,$B$81:$V$81&amp;": "&amp;ROUND(s,2),"")),IF(b="","{} (rank pays nothing)","{"&amp;b&amp;"}")))))</f>
        <v>{Coins: 100, Shuffle: 1}</v>
      </c>
      <c r="AQ10" s="136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>2</v>
      </c>
      <c r="AR10" s="137" t="str">
        <f t="array" ref="AR10">LET(p,AQ10,IF(p="n/a","n/a",IF(p&gt;10,"— (below ladder)",LET(s,INDEX($B$82:$V$91,p,0),b,TEXTJOIN(", ",TRUE,IF(s&gt;0,$B$81:$V$81&amp;": "&amp;ROUND(s,2),"")),IF(b="","{} (rank pays nothing)","{"&amp;b&amp;"}")))))</f>
        <v>{Coins: 100, Shuffle: 1}</v>
      </c>
    </row>
    <row r="11">
      <c r="A11" s="102">
        <v>2.0</v>
      </c>
      <c r="B11" s="174">
        <v>100.0</v>
      </c>
      <c r="C11" s="101">
        <v>0.0</v>
      </c>
      <c r="D11" s="101">
        <v>0.0</v>
      </c>
      <c r="E11" s="101">
        <v>0.0</v>
      </c>
      <c r="F11" s="101">
        <v>0.0</v>
      </c>
      <c r="G11" s="101">
        <v>0.0</v>
      </c>
      <c r="H11" s="101">
        <v>0.0</v>
      </c>
      <c r="I11" s="101">
        <v>1.0</v>
      </c>
      <c r="J11" s="101">
        <v>0.0</v>
      </c>
      <c r="K11" s="101">
        <v>0.0</v>
      </c>
      <c r="L11" s="101">
        <v>0.0</v>
      </c>
      <c r="M11" s="101">
        <v>0.0</v>
      </c>
      <c r="N11" s="101">
        <v>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1">
        <v>0.0</v>
      </c>
      <c r="V11" s="101">
        <v>0.0</v>
      </c>
    </row>
    <row r="12">
      <c r="A12" s="102">
        <v>3.0</v>
      </c>
      <c r="B12" s="174">
        <v>50.0</v>
      </c>
      <c r="C12" s="101">
        <v>0.0</v>
      </c>
      <c r="D12" s="101">
        <v>0.0</v>
      </c>
      <c r="E12" s="101">
        <v>0.0</v>
      </c>
      <c r="F12" s="101">
        <v>0.0</v>
      </c>
      <c r="G12" s="101">
        <v>0.0</v>
      </c>
      <c r="H12" s="101">
        <v>0.0</v>
      </c>
      <c r="I12" s="101">
        <v>1.0</v>
      </c>
      <c r="J12" s="101">
        <v>0.0</v>
      </c>
      <c r="K12" s="101">
        <v>0.0</v>
      </c>
      <c r="L12" s="101">
        <v>0.0</v>
      </c>
      <c r="M12" s="101">
        <v>0.0</v>
      </c>
      <c r="N12" s="101">
        <v>0.0</v>
      </c>
      <c r="O12" s="101">
        <v>0.0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  <c r="AH12" s="145" t="s">
        <v>266</v>
      </c>
    </row>
    <row r="13">
      <c r="A13" s="102">
        <v>4.0</v>
      </c>
      <c r="B13" s="174">
        <v>0.0</v>
      </c>
      <c r="C13" s="101">
        <v>0.0</v>
      </c>
      <c r="D13" s="101">
        <v>0.0</v>
      </c>
      <c r="E13" s="101">
        <v>0.0</v>
      </c>
      <c r="F13" s="101">
        <v>0.0</v>
      </c>
      <c r="G13" s="101">
        <v>0.0</v>
      </c>
      <c r="H13" s="101">
        <v>0.0</v>
      </c>
      <c r="I13" s="101">
        <v>1.0</v>
      </c>
      <c r="J13" s="101">
        <v>0.0</v>
      </c>
      <c r="K13" s="101">
        <v>0.0</v>
      </c>
      <c r="L13" s="101">
        <v>0.0</v>
      </c>
      <c r="M13" s="101">
        <v>0.0</v>
      </c>
      <c r="N13" s="101">
        <v>0.0</v>
      </c>
      <c r="O13" s="101">
        <v>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  <c r="AH13" s="177" t="s">
        <v>285</v>
      </c>
    </row>
    <row r="14">
      <c r="A14" s="102">
        <v>5.0</v>
      </c>
      <c r="B14" s="174">
        <v>0.0</v>
      </c>
      <c r="C14" s="101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1.0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  <c r="AH14" s="177" t="s">
        <v>286</v>
      </c>
    </row>
    <row r="15">
      <c r="A15" s="102">
        <v>6.0</v>
      </c>
      <c r="B15" s="174">
        <v>0.0</v>
      </c>
      <c r="C15" s="101">
        <v>0.0</v>
      </c>
      <c r="D15" s="101">
        <v>0.0</v>
      </c>
      <c r="E15" s="101">
        <v>0.0</v>
      </c>
      <c r="F15" s="101">
        <v>0.0</v>
      </c>
      <c r="G15" s="101">
        <v>0.0</v>
      </c>
      <c r="H15" s="101">
        <v>1.0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  <c r="AH15" s="177" t="s">
        <v>287</v>
      </c>
    </row>
    <row r="16">
      <c r="A16" s="102">
        <v>7.0</v>
      </c>
      <c r="B16" s="174">
        <v>0.0</v>
      </c>
      <c r="C16" s="101">
        <v>0.0</v>
      </c>
      <c r="D16" s="101">
        <v>0.0</v>
      </c>
      <c r="E16" s="101">
        <v>0.0</v>
      </c>
      <c r="F16" s="101">
        <v>0.0</v>
      </c>
      <c r="G16" s="101">
        <v>0.0</v>
      </c>
      <c r="H16" s="101">
        <v>1.0</v>
      </c>
      <c r="I16" s="101">
        <v>0.0</v>
      </c>
      <c r="J16" s="101">
        <v>0.0</v>
      </c>
      <c r="K16" s="101">
        <v>0.0</v>
      </c>
      <c r="L16" s="101">
        <v>0.0</v>
      </c>
      <c r="M16" s="101">
        <v>0.0</v>
      </c>
      <c r="N16" s="101">
        <v>0.0</v>
      </c>
      <c r="O16" s="101">
        <v>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</row>
    <row r="17">
      <c r="A17" s="102">
        <v>8.0</v>
      </c>
      <c r="B17" s="174">
        <v>0.0</v>
      </c>
      <c r="C17" s="101">
        <v>0.0</v>
      </c>
      <c r="D17" s="101">
        <v>0.0</v>
      </c>
      <c r="E17" s="101">
        <v>0.0</v>
      </c>
      <c r="F17" s="101">
        <v>0.0</v>
      </c>
      <c r="G17" s="101">
        <v>0.0</v>
      </c>
      <c r="H17" s="101">
        <v>1.0</v>
      </c>
      <c r="I17" s="101">
        <v>0.0</v>
      </c>
      <c r="J17" s="101">
        <v>0.0</v>
      </c>
      <c r="K17" s="101">
        <v>0.0</v>
      </c>
      <c r="L17" s="101">
        <v>0.0</v>
      </c>
      <c r="M17" s="101">
        <v>0.0</v>
      </c>
      <c r="N17" s="101">
        <v>0.0</v>
      </c>
      <c r="O17" s="101">
        <v>0.0</v>
      </c>
      <c r="P17" s="101">
        <v>0.0</v>
      </c>
      <c r="Q17" s="101">
        <v>0.0</v>
      </c>
      <c r="R17" s="101">
        <v>0.0</v>
      </c>
      <c r="S17" s="101">
        <v>0.0</v>
      </c>
      <c r="T17" s="101">
        <v>0.0</v>
      </c>
      <c r="U17" s="101">
        <v>0.0</v>
      </c>
      <c r="V17" s="101">
        <v>0.0</v>
      </c>
    </row>
    <row r="18">
      <c r="A18" s="102">
        <v>9.0</v>
      </c>
      <c r="B18" s="174">
        <v>0.0</v>
      </c>
      <c r="C18" s="101">
        <v>0.0</v>
      </c>
      <c r="D18" s="101">
        <v>0.0</v>
      </c>
      <c r="E18" s="101">
        <v>0.0</v>
      </c>
      <c r="F18" s="101">
        <v>0.0</v>
      </c>
      <c r="G18" s="101">
        <v>0.0</v>
      </c>
      <c r="H18" s="101">
        <v>1.0</v>
      </c>
      <c r="I18" s="101">
        <v>0.0</v>
      </c>
      <c r="J18" s="101">
        <v>0.0</v>
      </c>
      <c r="K18" s="101">
        <v>0.0</v>
      </c>
      <c r="L18" s="101">
        <v>0.0</v>
      </c>
      <c r="M18" s="101">
        <v>0.0</v>
      </c>
      <c r="N18" s="101">
        <v>0.0</v>
      </c>
      <c r="O18" s="101">
        <v>0.0</v>
      </c>
      <c r="P18" s="101">
        <v>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</row>
    <row r="19">
      <c r="A19" s="102">
        <v>10.0</v>
      </c>
      <c r="B19" s="174">
        <v>0.0</v>
      </c>
      <c r="C19" s="101">
        <v>0.0</v>
      </c>
      <c r="D19" s="101">
        <v>0.0</v>
      </c>
      <c r="E19" s="101">
        <v>0.0</v>
      </c>
      <c r="F19" s="101">
        <v>0.0</v>
      </c>
      <c r="G19" s="101">
        <v>0.0</v>
      </c>
      <c r="H19" s="101">
        <v>1.0</v>
      </c>
      <c r="I19" s="101">
        <v>0.0</v>
      </c>
      <c r="J19" s="101">
        <v>0.0</v>
      </c>
      <c r="K19" s="101">
        <v>0.0</v>
      </c>
      <c r="L19" s="101">
        <v>0.0</v>
      </c>
      <c r="M19" s="101">
        <v>0.0</v>
      </c>
      <c r="N19" s="101">
        <v>0.0</v>
      </c>
      <c r="O19" s="101">
        <v>0.0</v>
      </c>
      <c r="P19" s="101">
        <v>0.0</v>
      </c>
      <c r="Q19" s="101">
        <v>0.0</v>
      </c>
      <c r="R19" s="101">
        <v>0.0</v>
      </c>
      <c r="S19" s="101">
        <v>0.0</v>
      </c>
      <c r="T19" s="101">
        <v>0.0</v>
      </c>
      <c r="U19" s="101">
        <v>0.0</v>
      </c>
      <c r="V19" s="101">
        <v>0.0</v>
      </c>
    </row>
    <row r="21" ht="19.5" customHeight="1">
      <c r="A21" s="91" t="s">
        <v>274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</row>
    <row r="22" ht="15.75" customHeight="1">
      <c r="A22" s="125" t="s">
        <v>271</v>
      </c>
      <c r="B22" s="126">
        <v>10.0</v>
      </c>
    </row>
    <row r="23" ht="15.75" customHeight="1">
      <c r="A23" s="125" t="s">
        <v>272</v>
      </c>
      <c r="B23" s="126">
        <v>10.0</v>
      </c>
    </row>
    <row r="24" ht="15.75" customHeight="1">
      <c r="A24" s="125" t="s">
        <v>126</v>
      </c>
      <c r="B24" s="133">
        <v>2.0</v>
      </c>
    </row>
    <row r="25" ht="15.75" customHeight="1"/>
    <row r="26" ht="19.5" customHeight="1">
      <c r="A26" s="91" t="s">
        <v>275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</row>
    <row r="27" ht="90.0" customHeight="1">
      <c r="A27" s="97" t="s">
        <v>191</v>
      </c>
      <c r="B27" s="173" t="s">
        <v>19</v>
      </c>
      <c r="C27" s="99" t="s">
        <v>5</v>
      </c>
      <c r="D27" s="99" t="s">
        <v>77</v>
      </c>
      <c r="E27" s="99" t="s">
        <v>6</v>
      </c>
      <c r="F27" s="99" t="s">
        <v>7</v>
      </c>
      <c r="G27" s="99" t="s">
        <v>8</v>
      </c>
      <c r="H27" s="99" t="s">
        <v>9</v>
      </c>
      <c r="I27" s="99" t="s">
        <v>10</v>
      </c>
      <c r="J27" s="99" t="s">
        <v>11</v>
      </c>
      <c r="K27" s="99" t="s">
        <v>12</v>
      </c>
      <c r="L27" s="99" t="s">
        <v>13</v>
      </c>
      <c r="M27" s="99" t="s">
        <v>14</v>
      </c>
      <c r="N27" s="99" t="s">
        <v>15</v>
      </c>
      <c r="O27" s="99" t="s">
        <v>92</v>
      </c>
      <c r="P27" s="99" t="s">
        <v>78</v>
      </c>
      <c r="Q27" s="99" t="s">
        <v>79</v>
      </c>
      <c r="R27" s="99" t="s">
        <v>80</v>
      </c>
      <c r="S27" s="99" t="s">
        <v>81</v>
      </c>
      <c r="T27" s="99" t="s">
        <v>82</v>
      </c>
      <c r="U27" s="99" t="s">
        <v>83</v>
      </c>
      <c r="V27" s="99" t="s">
        <v>84</v>
      </c>
    </row>
    <row r="28" ht="15.75" customHeight="1">
      <c r="A28" s="102">
        <v>1.0</v>
      </c>
      <c r="B28" s="174">
        <v>200.0</v>
      </c>
      <c r="C28" s="101">
        <v>0.0</v>
      </c>
      <c r="D28" s="101">
        <v>0.0</v>
      </c>
      <c r="E28" s="101">
        <v>0.0</v>
      </c>
      <c r="F28" s="101">
        <v>0.0</v>
      </c>
      <c r="G28" s="101">
        <v>0.0</v>
      </c>
      <c r="H28" s="101">
        <v>0.0</v>
      </c>
      <c r="I28" s="101">
        <v>0.0</v>
      </c>
      <c r="J28" s="101">
        <v>1.0</v>
      </c>
      <c r="K28" s="101">
        <v>0.0</v>
      </c>
      <c r="L28" s="101">
        <v>0.0</v>
      </c>
      <c r="M28" s="101">
        <v>0.0</v>
      </c>
      <c r="N28" s="101">
        <v>0.0</v>
      </c>
      <c r="O28" s="101">
        <v>0.0</v>
      </c>
      <c r="P28" s="101">
        <v>0.0</v>
      </c>
      <c r="Q28" s="101">
        <v>0.0</v>
      </c>
      <c r="R28" s="101">
        <v>0.0</v>
      </c>
      <c r="S28" s="101">
        <v>0.0</v>
      </c>
      <c r="T28" s="101">
        <v>0.0</v>
      </c>
      <c r="U28" s="101">
        <v>0.0</v>
      </c>
      <c r="V28" s="101">
        <v>0.0</v>
      </c>
    </row>
    <row r="29" ht="15.75" customHeight="1">
      <c r="A29" s="102">
        <v>2.0</v>
      </c>
      <c r="B29" s="174">
        <v>100.0</v>
      </c>
      <c r="C29" s="101">
        <v>0.0</v>
      </c>
      <c r="D29" s="101">
        <v>0.0</v>
      </c>
      <c r="E29" s="101">
        <v>0.0</v>
      </c>
      <c r="F29" s="101">
        <v>0.0</v>
      </c>
      <c r="G29" s="101">
        <v>0.0</v>
      </c>
      <c r="H29" s="101">
        <v>0.0</v>
      </c>
      <c r="I29" s="101">
        <v>1.0</v>
      </c>
      <c r="J29" s="101">
        <v>0.0</v>
      </c>
      <c r="K29" s="101">
        <v>0.0</v>
      </c>
      <c r="L29" s="101">
        <v>0.0</v>
      </c>
      <c r="M29" s="101">
        <v>0.0</v>
      </c>
      <c r="N29" s="101">
        <v>0.0</v>
      </c>
      <c r="O29" s="101">
        <v>0.0</v>
      </c>
      <c r="P29" s="101">
        <v>0.0</v>
      </c>
      <c r="Q29" s="101">
        <v>0.0</v>
      </c>
      <c r="R29" s="101">
        <v>0.0</v>
      </c>
      <c r="S29" s="101">
        <v>0.0</v>
      </c>
      <c r="T29" s="101">
        <v>0.0</v>
      </c>
      <c r="U29" s="101">
        <v>0.0</v>
      </c>
      <c r="V29" s="101">
        <v>0.0</v>
      </c>
    </row>
    <row r="30" ht="15.75" customHeight="1">
      <c r="A30" s="102">
        <v>3.0</v>
      </c>
      <c r="B30" s="174">
        <v>50.0</v>
      </c>
      <c r="C30" s="101">
        <v>0.0</v>
      </c>
      <c r="D30" s="101">
        <v>0.0</v>
      </c>
      <c r="E30" s="101">
        <v>0.0</v>
      </c>
      <c r="F30" s="101">
        <v>0.0</v>
      </c>
      <c r="G30" s="101">
        <v>0.0</v>
      </c>
      <c r="H30" s="101">
        <v>0.0</v>
      </c>
      <c r="I30" s="101">
        <v>1.0</v>
      </c>
      <c r="J30" s="101">
        <v>0.0</v>
      </c>
      <c r="K30" s="101">
        <v>0.0</v>
      </c>
      <c r="L30" s="101">
        <v>0.0</v>
      </c>
      <c r="M30" s="101">
        <v>0.0</v>
      </c>
      <c r="N30" s="101">
        <v>0.0</v>
      </c>
      <c r="O30" s="101">
        <v>0.0</v>
      </c>
      <c r="P30" s="101">
        <v>0.0</v>
      </c>
      <c r="Q30" s="101">
        <v>0.0</v>
      </c>
      <c r="R30" s="101">
        <v>0.0</v>
      </c>
      <c r="S30" s="101">
        <v>0.0</v>
      </c>
      <c r="T30" s="101">
        <v>0.0</v>
      </c>
      <c r="U30" s="101">
        <v>0.0</v>
      </c>
      <c r="V30" s="101">
        <v>0.0</v>
      </c>
    </row>
    <row r="31" ht="15.75" customHeight="1">
      <c r="A31" s="102">
        <v>4.0</v>
      </c>
      <c r="B31" s="174">
        <v>0.0</v>
      </c>
      <c r="C31" s="101">
        <v>0.0</v>
      </c>
      <c r="D31" s="101">
        <v>0.0</v>
      </c>
      <c r="E31" s="101">
        <v>0.0</v>
      </c>
      <c r="F31" s="101">
        <v>0.0</v>
      </c>
      <c r="G31" s="101">
        <v>0.0</v>
      </c>
      <c r="H31" s="101">
        <v>0.0</v>
      </c>
      <c r="I31" s="101">
        <v>1.0</v>
      </c>
      <c r="J31" s="101">
        <v>0.0</v>
      </c>
      <c r="K31" s="101">
        <v>0.0</v>
      </c>
      <c r="L31" s="101">
        <v>0.0</v>
      </c>
      <c r="M31" s="101">
        <v>0.0</v>
      </c>
      <c r="N31" s="101">
        <v>0.0</v>
      </c>
      <c r="O31" s="101">
        <v>0.0</v>
      </c>
      <c r="P31" s="101">
        <v>0.0</v>
      </c>
      <c r="Q31" s="101">
        <v>0.0</v>
      </c>
      <c r="R31" s="101">
        <v>0.0</v>
      </c>
      <c r="S31" s="101">
        <v>0.0</v>
      </c>
      <c r="T31" s="101">
        <v>0.0</v>
      </c>
      <c r="U31" s="101">
        <v>0.0</v>
      </c>
      <c r="V31" s="101">
        <v>0.0</v>
      </c>
    </row>
    <row r="32" ht="15.75" customHeight="1">
      <c r="A32" s="102">
        <v>5.0</v>
      </c>
      <c r="B32" s="174">
        <v>0.0</v>
      </c>
      <c r="C32" s="101">
        <v>0.0</v>
      </c>
      <c r="D32" s="101">
        <v>0.0</v>
      </c>
      <c r="E32" s="101">
        <v>0.0</v>
      </c>
      <c r="F32" s="101">
        <v>0.0</v>
      </c>
      <c r="G32" s="101">
        <v>0.0</v>
      </c>
      <c r="H32" s="101">
        <v>0.0</v>
      </c>
      <c r="I32" s="101">
        <v>1.0</v>
      </c>
      <c r="J32" s="101">
        <v>0.0</v>
      </c>
      <c r="K32" s="101">
        <v>0.0</v>
      </c>
      <c r="L32" s="101">
        <v>0.0</v>
      </c>
      <c r="M32" s="101">
        <v>0.0</v>
      </c>
      <c r="N32" s="101">
        <v>0.0</v>
      </c>
      <c r="O32" s="101">
        <v>0.0</v>
      </c>
      <c r="P32" s="101">
        <v>0.0</v>
      </c>
      <c r="Q32" s="101">
        <v>0.0</v>
      </c>
      <c r="R32" s="101">
        <v>0.0</v>
      </c>
      <c r="S32" s="101">
        <v>0.0</v>
      </c>
      <c r="T32" s="101">
        <v>0.0</v>
      </c>
      <c r="U32" s="101">
        <v>0.0</v>
      </c>
      <c r="V32" s="101">
        <v>0.0</v>
      </c>
    </row>
    <row r="33" ht="15.75" customHeight="1">
      <c r="A33" s="102">
        <v>6.0</v>
      </c>
      <c r="B33" s="174">
        <v>0.0</v>
      </c>
      <c r="C33" s="101">
        <v>0.0</v>
      </c>
      <c r="D33" s="101">
        <v>0.0</v>
      </c>
      <c r="E33" s="101">
        <v>0.0</v>
      </c>
      <c r="F33" s="101">
        <v>0.0</v>
      </c>
      <c r="G33" s="101">
        <v>0.0</v>
      </c>
      <c r="H33" s="101">
        <v>1.0</v>
      </c>
      <c r="I33" s="101">
        <v>0.0</v>
      </c>
      <c r="J33" s="101">
        <v>0.0</v>
      </c>
      <c r="K33" s="101">
        <v>0.0</v>
      </c>
      <c r="L33" s="101">
        <v>0.0</v>
      </c>
      <c r="M33" s="101">
        <v>0.0</v>
      </c>
      <c r="N33" s="101">
        <v>0.0</v>
      </c>
      <c r="O33" s="101">
        <v>0.0</v>
      </c>
      <c r="P33" s="101">
        <v>0.0</v>
      </c>
      <c r="Q33" s="101">
        <v>0.0</v>
      </c>
      <c r="R33" s="101">
        <v>0.0</v>
      </c>
      <c r="S33" s="101">
        <v>0.0</v>
      </c>
      <c r="T33" s="101">
        <v>0.0</v>
      </c>
      <c r="U33" s="101">
        <v>0.0</v>
      </c>
      <c r="V33" s="101">
        <v>0.0</v>
      </c>
    </row>
    <row r="34" ht="15.75" customHeight="1">
      <c r="A34" s="102">
        <v>7.0</v>
      </c>
      <c r="B34" s="174">
        <v>0.0</v>
      </c>
      <c r="C34" s="101">
        <v>0.0</v>
      </c>
      <c r="D34" s="101">
        <v>0.0</v>
      </c>
      <c r="E34" s="101">
        <v>0.0</v>
      </c>
      <c r="F34" s="101">
        <v>0.0</v>
      </c>
      <c r="G34" s="101">
        <v>0.0</v>
      </c>
      <c r="H34" s="101">
        <v>1.0</v>
      </c>
      <c r="I34" s="101">
        <v>0.0</v>
      </c>
      <c r="J34" s="101">
        <v>0.0</v>
      </c>
      <c r="K34" s="101">
        <v>0.0</v>
      </c>
      <c r="L34" s="101">
        <v>0.0</v>
      </c>
      <c r="M34" s="101">
        <v>0.0</v>
      </c>
      <c r="N34" s="101">
        <v>0.0</v>
      </c>
      <c r="O34" s="101">
        <v>0.0</v>
      </c>
      <c r="P34" s="101">
        <v>0.0</v>
      </c>
      <c r="Q34" s="101">
        <v>0.0</v>
      </c>
      <c r="R34" s="101">
        <v>0.0</v>
      </c>
      <c r="S34" s="101">
        <v>0.0</v>
      </c>
      <c r="T34" s="101">
        <v>0.0</v>
      </c>
      <c r="U34" s="101">
        <v>0.0</v>
      </c>
      <c r="V34" s="101">
        <v>0.0</v>
      </c>
    </row>
    <row r="35" ht="15.75" customHeight="1">
      <c r="A35" s="102">
        <v>8.0</v>
      </c>
      <c r="B35" s="174">
        <v>0.0</v>
      </c>
      <c r="C35" s="101">
        <v>0.0</v>
      </c>
      <c r="D35" s="101">
        <v>0.0</v>
      </c>
      <c r="E35" s="101">
        <v>0.0</v>
      </c>
      <c r="F35" s="101">
        <v>0.0</v>
      </c>
      <c r="G35" s="101">
        <v>0.0</v>
      </c>
      <c r="H35" s="101">
        <v>1.0</v>
      </c>
      <c r="I35" s="101">
        <v>0.0</v>
      </c>
      <c r="J35" s="101">
        <v>0.0</v>
      </c>
      <c r="K35" s="101">
        <v>0.0</v>
      </c>
      <c r="L35" s="101">
        <v>0.0</v>
      </c>
      <c r="M35" s="101">
        <v>0.0</v>
      </c>
      <c r="N35" s="101">
        <v>0.0</v>
      </c>
      <c r="O35" s="101">
        <v>0.0</v>
      </c>
      <c r="P35" s="101">
        <v>0.0</v>
      </c>
      <c r="Q35" s="101">
        <v>0.0</v>
      </c>
      <c r="R35" s="101">
        <v>0.0</v>
      </c>
      <c r="S35" s="101">
        <v>0.0</v>
      </c>
      <c r="T35" s="101">
        <v>0.0</v>
      </c>
      <c r="U35" s="101">
        <v>0.0</v>
      </c>
      <c r="V35" s="101">
        <v>0.0</v>
      </c>
    </row>
    <row r="36" ht="15.75" customHeight="1">
      <c r="A36" s="102">
        <v>9.0</v>
      </c>
      <c r="B36" s="174">
        <v>0.0</v>
      </c>
      <c r="C36" s="101">
        <v>0.0</v>
      </c>
      <c r="D36" s="101">
        <v>0.0</v>
      </c>
      <c r="E36" s="101">
        <v>0.0</v>
      </c>
      <c r="F36" s="101">
        <v>0.0</v>
      </c>
      <c r="G36" s="101">
        <v>0.0</v>
      </c>
      <c r="H36" s="101">
        <v>1.0</v>
      </c>
      <c r="I36" s="101">
        <v>0.0</v>
      </c>
      <c r="J36" s="101">
        <v>0.0</v>
      </c>
      <c r="K36" s="101">
        <v>0.0</v>
      </c>
      <c r="L36" s="101">
        <v>0.0</v>
      </c>
      <c r="M36" s="101">
        <v>0.0</v>
      </c>
      <c r="N36" s="101">
        <v>0.0</v>
      </c>
      <c r="O36" s="101">
        <v>0.0</v>
      </c>
      <c r="P36" s="101">
        <v>0.0</v>
      </c>
      <c r="Q36" s="101">
        <v>0.0</v>
      </c>
      <c r="R36" s="101">
        <v>0.0</v>
      </c>
      <c r="S36" s="101">
        <v>0.0</v>
      </c>
      <c r="T36" s="101">
        <v>0.0</v>
      </c>
      <c r="U36" s="101">
        <v>0.0</v>
      </c>
      <c r="V36" s="101">
        <v>0.0</v>
      </c>
    </row>
    <row r="37" ht="15.75" customHeight="1">
      <c r="A37" s="102">
        <v>10.0</v>
      </c>
      <c r="B37" s="174">
        <v>0.0</v>
      </c>
      <c r="C37" s="101">
        <v>0.0</v>
      </c>
      <c r="D37" s="101">
        <v>0.0</v>
      </c>
      <c r="E37" s="101">
        <v>0.0</v>
      </c>
      <c r="F37" s="101">
        <v>0.0</v>
      </c>
      <c r="G37" s="101">
        <v>0.0</v>
      </c>
      <c r="H37" s="101">
        <v>1.0</v>
      </c>
      <c r="I37" s="101">
        <v>0.0</v>
      </c>
      <c r="J37" s="101">
        <v>0.0</v>
      </c>
      <c r="K37" s="101">
        <v>0.0</v>
      </c>
      <c r="L37" s="101">
        <v>0.0</v>
      </c>
      <c r="M37" s="101">
        <v>0.0</v>
      </c>
      <c r="N37" s="101">
        <v>0.0</v>
      </c>
      <c r="O37" s="101">
        <v>0.0</v>
      </c>
      <c r="P37" s="101">
        <v>0.0</v>
      </c>
      <c r="Q37" s="101">
        <v>0.0</v>
      </c>
      <c r="R37" s="101">
        <v>0.0</v>
      </c>
      <c r="S37" s="101">
        <v>0.0</v>
      </c>
      <c r="T37" s="101">
        <v>0.0</v>
      </c>
      <c r="U37" s="101">
        <v>0.0</v>
      </c>
      <c r="V37" s="101">
        <v>0.0</v>
      </c>
    </row>
    <row r="38" ht="15.75" customHeight="1"/>
    <row r="39" ht="19.5" customHeight="1">
      <c r="A39" s="91" t="s">
        <v>276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</row>
    <row r="40" ht="15.75" customHeight="1">
      <c r="A40" s="125" t="s">
        <v>271</v>
      </c>
      <c r="B40" s="126">
        <v>10.0</v>
      </c>
    </row>
    <row r="41" ht="15.75" customHeight="1">
      <c r="A41" s="125" t="s">
        <v>272</v>
      </c>
      <c r="B41" s="126">
        <v>10.0</v>
      </c>
    </row>
    <row r="42" ht="15.75" customHeight="1">
      <c r="A42" s="125" t="s">
        <v>126</v>
      </c>
      <c r="B42" s="133">
        <v>2.0</v>
      </c>
    </row>
    <row r="43" ht="15.75" customHeight="1"/>
    <row r="44" ht="19.5" customHeight="1">
      <c r="A44" s="91" t="s">
        <v>277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</row>
    <row r="45" ht="90.0" customHeight="1">
      <c r="A45" s="97" t="s">
        <v>191</v>
      </c>
      <c r="B45" s="173" t="s">
        <v>19</v>
      </c>
      <c r="C45" s="99" t="s">
        <v>5</v>
      </c>
      <c r="D45" s="99" t="s">
        <v>77</v>
      </c>
      <c r="E45" s="99" t="s">
        <v>6</v>
      </c>
      <c r="F45" s="99" t="s">
        <v>7</v>
      </c>
      <c r="G45" s="99" t="s">
        <v>8</v>
      </c>
      <c r="H45" s="99" t="s">
        <v>9</v>
      </c>
      <c r="I45" s="99" t="s">
        <v>10</v>
      </c>
      <c r="J45" s="99" t="s">
        <v>11</v>
      </c>
      <c r="K45" s="99" t="s">
        <v>12</v>
      </c>
      <c r="L45" s="99" t="s">
        <v>13</v>
      </c>
      <c r="M45" s="99" t="s">
        <v>14</v>
      </c>
      <c r="N45" s="99" t="s">
        <v>15</v>
      </c>
      <c r="O45" s="99" t="s">
        <v>92</v>
      </c>
      <c r="P45" s="99" t="s">
        <v>78</v>
      </c>
      <c r="Q45" s="99" t="s">
        <v>79</v>
      </c>
      <c r="R45" s="99" t="s">
        <v>80</v>
      </c>
      <c r="S45" s="99" t="s">
        <v>81</v>
      </c>
      <c r="T45" s="99" t="s">
        <v>82</v>
      </c>
      <c r="U45" s="99" t="s">
        <v>83</v>
      </c>
      <c r="V45" s="99" t="s">
        <v>84</v>
      </c>
    </row>
    <row r="46" ht="15.75" customHeight="1">
      <c r="A46" s="102">
        <v>1.0</v>
      </c>
      <c r="B46" s="174">
        <v>200.0</v>
      </c>
      <c r="C46" s="101">
        <v>0.0</v>
      </c>
      <c r="D46" s="101">
        <v>0.0</v>
      </c>
      <c r="E46" s="101">
        <v>0.0</v>
      </c>
      <c r="F46" s="101">
        <v>0.0</v>
      </c>
      <c r="G46" s="101">
        <v>0.0</v>
      </c>
      <c r="H46" s="101">
        <v>0.0</v>
      </c>
      <c r="I46" s="101">
        <v>0.0</v>
      </c>
      <c r="J46" s="101">
        <v>1.0</v>
      </c>
      <c r="K46" s="101">
        <v>0.0</v>
      </c>
      <c r="L46" s="101">
        <v>0.0</v>
      </c>
      <c r="M46" s="101">
        <v>0.0</v>
      </c>
      <c r="N46" s="101">
        <v>0.0</v>
      </c>
      <c r="O46" s="101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1">
        <v>0.0</v>
      </c>
      <c r="V46" s="101">
        <v>0.0</v>
      </c>
    </row>
    <row r="47" ht="15.75" customHeight="1">
      <c r="A47" s="102">
        <v>2.0</v>
      </c>
      <c r="B47" s="174">
        <v>100.0</v>
      </c>
      <c r="C47" s="101">
        <v>0.0</v>
      </c>
      <c r="D47" s="101">
        <v>0.0</v>
      </c>
      <c r="E47" s="101">
        <v>0.0</v>
      </c>
      <c r="F47" s="101">
        <v>0.0</v>
      </c>
      <c r="G47" s="101">
        <v>0.0</v>
      </c>
      <c r="H47" s="101">
        <v>0.0</v>
      </c>
      <c r="I47" s="101">
        <v>1.0</v>
      </c>
      <c r="J47" s="101">
        <v>0.0</v>
      </c>
      <c r="K47" s="101">
        <v>0.0</v>
      </c>
      <c r="L47" s="101">
        <v>0.0</v>
      </c>
      <c r="M47" s="101">
        <v>0.0</v>
      </c>
      <c r="N47" s="101">
        <v>0.0</v>
      </c>
      <c r="O47" s="101">
        <v>0.0</v>
      </c>
      <c r="P47" s="101">
        <v>0.0</v>
      </c>
      <c r="Q47" s="101">
        <v>0.0</v>
      </c>
      <c r="R47" s="101">
        <v>0.0</v>
      </c>
      <c r="S47" s="101">
        <v>0.0</v>
      </c>
      <c r="T47" s="101">
        <v>0.0</v>
      </c>
      <c r="U47" s="101">
        <v>0.0</v>
      </c>
      <c r="V47" s="101">
        <v>0.0</v>
      </c>
    </row>
    <row r="48" ht="15.75" customHeight="1">
      <c r="A48" s="102">
        <v>3.0</v>
      </c>
      <c r="B48" s="174">
        <v>50.0</v>
      </c>
      <c r="C48" s="101">
        <v>0.0</v>
      </c>
      <c r="D48" s="101">
        <v>0.0</v>
      </c>
      <c r="E48" s="101">
        <v>0.0</v>
      </c>
      <c r="F48" s="101">
        <v>0.0</v>
      </c>
      <c r="G48" s="101">
        <v>0.0</v>
      </c>
      <c r="H48" s="101">
        <v>0.0</v>
      </c>
      <c r="I48" s="101">
        <v>1.0</v>
      </c>
      <c r="J48" s="101">
        <v>0.0</v>
      </c>
      <c r="K48" s="101">
        <v>0.0</v>
      </c>
      <c r="L48" s="101">
        <v>0.0</v>
      </c>
      <c r="M48" s="101">
        <v>0.0</v>
      </c>
      <c r="N48" s="101">
        <v>0.0</v>
      </c>
      <c r="O48" s="101">
        <v>0.0</v>
      </c>
      <c r="P48" s="101">
        <v>0.0</v>
      </c>
      <c r="Q48" s="101">
        <v>0.0</v>
      </c>
      <c r="R48" s="101">
        <v>0.0</v>
      </c>
      <c r="S48" s="101">
        <v>0.0</v>
      </c>
      <c r="T48" s="101">
        <v>0.0</v>
      </c>
      <c r="U48" s="101">
        <v>0.0</v>
      </c>
      <c r="V48" s="101">
        <v>0.0</v>
      </c>
    </row>
    <row r="49" ht="15.75" customHeight="1">
      <c r="A49" s="102">
        <v>4.0</v>
      </c>
      <c r="B49" s="174">
        <v>0.0</v>
      </c>
      <c r="C49" s="101">
        <v>0.0</v>
      </c>
      <c r="D49" s="101">
        <v>0.0</v>
      </c>
      <c r="E49" s="101">
        <v>0.0</v>
      </c>
      <c r="F49" s="101">
        <v>0.0</v>
      </c>
      <c r="G49" s="101">
        <v>0.0</v>
      </c>
      <c r="H49" s="101">
        <v>0.0</v>
      </c>
      <c r="I49" s="101">
        <v>1.0</v>
      </c>
      <c r="J49" s="101">
        <v>0.0</v>
      </c>
      <c r="K49" s="101">
        <v>0.0</v>
      </c>
      <c r="L49" s="101">
        <v>0.0</v>
      </c>
      <c r="M49" s="101">
        <v>0.0</v>
      </c>
      <c r="N49" s="101">
        <v>0.0</v>
      </c>
      <c r="O49" s="101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1">
        <v>0.0</v>
      </c>
      <c r="V49" s="101">
        <v>0.0</v>
      </c>
    </row>
    <row r="50" ht="15.75" customHeight="1">
      <c r="A50" s="102">
        <v>5.0</v>
      </c>
      <c r="B50" s="174">
        <v>0.0</v>
      </c>
      <c r="C50" s="101">
        <v>0.0</v>
      </c>
      <c r="D50" s="101">
        <v>0.0</v>
      </c>
      <c r="E50" s="101">
        <v>0.0</v>
      </c>
      <c r="F50" s="101">
        <v>0.0</v>
      </c>
      <c r="G50" s="101">
        <v>0.0</v>
      </c>
      <c r="H50" s="101">
        <v>0.0</v>
      </c>
      <c r="I50" s="101">
        <v>1.0</v>
      </c>
      <c r="J50" s="101">
        <v>0.0</v>
      </c>
      <c r="K50" s="101">
        <v>0.0</v>
      </c>
      <c r="L50" s="101">
        <v>0.0</v>
      </c>
      <c r="M50" s="101">
        <v>0.0</v>
      </c>
      <c r="N50" s="101">
        <v>0.0</v>
      </c>
      <c r="O50" s="101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</row>
    <row r="51" ht="15.75" customHeight="1">
      <c r="A51" s="102">
        <v>6.0</v>
      </c>
      <c r="B51" s="174">
        <v>0.0</v>
      </c>
      <c r="C51" s="101">
        <v>0.0</v>
      </c>
      <c r="D51" s="101">
        <v>0.0</v>
      </c>
      <c r="E51" s="101">
        <v>0.0</v>
      </c>
      <c r="F51" s="101">
        <v>0.0</v>
      </c>
      <c r="G51" s="101">
        <v>0.0</v>
      </c>
      <c r="H51" s="101">
        <v>1.0</v>
      </c>
      <c r="I51" s="101">
        <v>0.0</v>
      </c>
      <c r="J51" s="101">
        <v>0.0</v>
      </c>
      <c r="K51" s="101">
        <v>0.0</v>
      </c>
      <c r="L51" s="101">
        <v>0.0</v>
      </c>
      <c r="M51" s="101">
        <v>0.0</v>
      </c>
      <c r="N51" s="101">
        <v>0.0</v>
      </c>
      <c r="O51" s="101">
        <v>0.0</v>
      </c>
      <c r="P51" s="101">
        <v>0.0</v>
      </c>
      <c r="Q51" s="101">
        <v>0.0</v>
      </c>
      <c r="R51" s="101">
        <v>0.0</v>
      </c>
      <c r="S51" s="101">
        <v>0.0</v>
      </c>
      <c r="T51" s="101">
        <v>0.0</v>
      </c>
      <c r="U51" s="101">
        <v>0.0</v>
      </c>
      <c r="V51" s="101">
        <v>0.0</v>
      </c>
    </row>
    <row r="52" ht="15.75" customHeight="1">
      <c r="A52" s="102">
        <v>7.0</v>
      </c>
      <c r="B52" s="174">
        <v>0.0</v>
      </c>
      <c r="C52" s="101">
        <v>0.0</v>
      </c>
      <c r="D52" s="101">
        <v>0.0</v>
      </c>
      <c r="E52" s="101">
        <v>0.0</v>
      </c>
      <c r="F52" s="101">
        <v>0.0</v>
      </c>
      <c r="G52" s="101">
        <v>0.0</v>
      </c>
      <c r="H52" s="101">
        <v>1.0</v>
      </c>
      <c r="I52" s="101">
        <v>0.0</v>
      </c>
      <c r="J52" s="101">
        <v>0.0</v>
      </c>
      <c r="K52" s="101">
        <v>0.0</v>
      </c>
      <c r="L52" s="101">
        <v>0.0</v>
      </c>
      <c r="M52" s="101">
        <v>0.0</v>
      </c>
      <c r="N52" s="101">
        <v>0.0</v>
      </c>
      <c r="O52" s="101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1">
        <v>0.0</v>
      </c>
      <c r="V52" s="101">
        <v>0.0</v>
      </c>
    </row>
    <row r="53" ht="15.75" customHeight="1">
      <c r="A53" s="102">
        <v>8.0</v>
      </c>
      <c r="B53" s="174">
        <v>0.0</v>
      </c>
      <c r="C53" s="101">
        <v>0.0</v>
      </c>
      <c r="D53" s="101">
        <v>0.0</v>
      </c>
      <c r="E53" s="101">
        <v>0.0</v>
      </c>
      <c r="F53" s="101">
        <v>0.0</v>
      </c>
      <c r="G53" s="101">
        <v>0.0</v>
      </c>
      <c r="H53" s="101">
        <v>1.0</v>
      </c>
      <c r="I53" s="101">
        <v>0.0</v>
      </c>
      <c r="J53" s="101">
        <v>0.0</v>
      </c>
      <c r="K53" s="101">
        <v>0.0</v>
      </c>
      <c r="L53" s="101">
        <v>0.0</v>
      </c>
      <c r="M53" s="101">
        <v>0.0</v>
      </c>
      <c r="N53" s="101">
        <v>0.0</v>
      </c>
      <c r="O53" s="101">
        <v>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1">
        <v>0.0</v>
      </c>
      <c r="V53" s="101">
        <v>0.0</v>
      </c>
    </row>
    <row r="54" ht="15.75" customHeight="1">
      <c r="A54" s="102">
        <v>9.0</v>
      </c>
      <c r="B54" s="174">
        <v>0.0</v>
      </c>
      <c r="C54" s="101">
        <v>0.0</v>
      </c>
      <c r="D54" s="101">
        <v>0.0</v>
      </c>
      <c r="E54" s="101">
        <v>0.0</v>
      </c>
      <c r="F54" s="101">
        <v>0.0</v>
      </c>
      <c r="G54" s="101">
        <v>0.0</v>
      </c>
      <c r="H54" s="101">
        <v>1.0</v>
      </c>
      <c r="I54" s="101">
        <v>0.0</v>
      </c>
      <c r="J54" s="101">
        <v>0.0</v>
      </c>
      <c r="K54" s="101">
        <v>0.0</v>
      </c>
      <c r="L54" s="101">
        <v>0.0</v>
      </c>
      <c r="M54" s="101">
        <v>0.0</v>
      </c>
      <c r="N54" s="101">
        <v>0.0</v>
      </c>
      <c r="O54" s="101">
        <v>0.0</v>
      </c>
      <c r="P54" s="101">
        <v>0.0</v>
      </c>
      <c r="Q54" s="101">
        <v>0.0</v>
      </c>
      <c r="R54" s="101">
        <v>0.0</v>
      </c>
      <c r="S54" s="101">
        <v>0.0</v>
      </c>
      <c r="T54" s="101">
        <v>0.0</v>
      </c>
      <c r="U54" s="101">
        <v>0.0</v>
      </c>
      <c r="V54" s="101">
        <v>0.0</v>
      </c>
    </row>
    <row r="55" ht="15.75" customHeight="1">
      <c r="A55" s="102">
        <v>10.0</v>
      </c>
      <c r="B55" s="174">
        <v>0.0</v>
      </c>
      <c r="C55" s="101">
        <v>0.0</v>
      </c>
      <c r="D55" s="101">
        <v>0.0</v>
      </c>
      <c r="E55" s="101">
        <v>0.0</v>
      </c>
      <c r="F55" s="101">
        <v>0.0</v>
      </c>
      <c r="G55" s="101">
        <v>0.0</v>
      </c>
      <c r="H55" s="101">
        <v>1.0</v>
      </c>
      <c r="I55" s="101">
        <v>0.0</v>
      </c>
      <c r="J55" s="101">
        <v>0.0</v>
      </c>
      <c r="K55" s="101">
        <v>0.0</v>
      </c>
      <c r="L55" s="101">
        <v>0.0</v>
      </c>
      <c r="M55" s="101">
        <v>0.0</v>
      </c>
      <c r="N55" s="101">
        <v>0.0</v>
      </c>
      <c r="O55" s="101">
        <v>0.0</v>
      </c>
      <c r="P55" s="101">
        <v>0.0</v>
      </c>
      <c r="Q55" s="101">
        <v>0.0</v>
      </c>
      <c r="R55" s="101">
        <v>0.0</v>
      </c>
      <c r="S55" s="101">
        <v>0.0</v>
      </c>
      <c r="T55" s="101">
        <v>0.0</v>
      </c>
      <c r="U55" s="101">
        <v>0.0</v>
      </c>
      <c r="V55" s="101">
        <v>0.0</v>
      </c>
    </row>
    <row r="56" ht="15.75" customHeight="1"/>
    <row r="57" ht="19.5" customHeight="1">
      <c r="A57" s="91" t="s">
        <v>278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</row>
    <row r="58" ht="15.75" customHeight="1">
      <c r="A58" s="125" t="s">
        <v>271</v>
      </c>
      <c r="B58" s="126">
        <v>10.0</v>
      </c>
    </row>
    <row r="59" ht="15.75" customHeight="1">
      <c r="A59" s="125" t="s">
        <v>272</v>
      </c>
      <c r="B59" s="126">
        <v>10.0</v>
      </c>
    </row>
    <row r="60" ht="15.75" customHeight="1">
      <c r="A60" s="125" t="s">
        <v>126</v>
      </c>
      <c r="B60" s="133">
        <v>2.0</v>
      </c>
    </row>
    <row r="61" ht="15.75" customHeight="1"/>
    <row r="62" ht="19.5" customHeight="1">
      <c r="A62" s="91" t="s">
        <v>279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</row>
    <row r="63" ht="90.0" customHeight="1">
      <c r="A63" s="97" t="s">
        <v>191</v>
      </c>
      <c r="B63" s="173" t="s">
        <v>19</v>
      </c>
      <c r="C63" s="99" t="s">
        <v>5</v>
      </c>
      <c r="D63" s="99" t="s">
        <v>77</v>
      </c>
      <c r="E63" s="99" t="s">
        <v>6</v>
      </c>
      <c r="F63" s="99" t="s">
        <v>7</v>
      </c>
      <c r="G63" s="99" t="s">
        <v>8</v>
      </c>
      <c r="H63" s="99" t="s">
        <v>9</v>
      </c>
      <c r="I63" s="99" t="s">
        <v>10</v>
      </c>
      <c r="J63" s="99" t="s">
        <v>11</v>
      </c>
      <c r="K63" s="99" t="s">
        <v>12</v>
      </c>
      <c r="L63" s="99" t="s">
        <v>13</v>
      </c>
      <c r="M63" s="99" t="s">
        <v>14</v>
      </c>
      <c r="N63" s="99" t="s">
        <v>15</v>
      </c>
      <c r="O63" s="99" t="s">
        <v>92</v>
      </c>
      <c r="P63" s="99" t="s">
        <v>78</v>
      </c>
      <c r="Q63" s="99" t="s">
        <v>79</v>
      </c>
      <c r="R63" s="99" t="s">
        <v>80</v>
      </c>
      <c r="S63" s="99" t="s">
        <v>81</v>
      </c>
      <c r="T63" s="99" t="s">
        <v>82</v>
      </c>
      <c r="U63" s="99" t="s">
        <v>83</v>
      </c>
      <c r="V63" s="99" t="s">
        <v>84</v>
      </c>
    </row>
    <row r="64" ht="15.75" customHeight="1">
      <c r="A64" s="102">
        <v>1.0</v>
      </c>
      <c r="B64" s="174">
        <v>200.0</v>
      </c>
      <c r="C64" s="101">
        <v>0.0</v>
      </c>
      <c r="D64" s="101">
        <v>0.0</v>
      </c>
      <c r="E64" s="101">
        <v>0.0</v>
      </c>
      <c r="F64" s="101">
        <v>0.0</v>
      </c>
      <c r="G64" s="101">
        <v>0.0</v>
      </c>
      <c r="H64" s="101">
        <v>0.0</v>
      </c>
      <c r="I64" s="101">
        <v>0.0</v>
      </c>
      <c r="J64" s="101">
        <v>1.0</v>
      </c>
      <c r="K64" s="101">
        <v>0.0</v>
      </c>
      <c r="L64" s="101">
        <v>0.0</v>
      </c>
      <c r="M64" s="101">
        <v>0.0</v>
      </c>
      <c r="N64" s="101">
        <v>0.0</v>
      </c>
      <c r="O64" s="101">
        <v>0.0</v>
      </c>
      <c r="P64" s="101">
        <v>0.0</v>
      </c>
      <c r="Q64" s="101">
        <v>0.0</v>
      </c>
      <c r="R64" s="101">
        <v>0.0</v>
      </c>
      <c r="S64" s="101">
        <v>0.0</v>
      </c>
      <c r="T64" s="101">
        <v>0.0</v>
      </c>
      <c r="U64" s="101">
        <v>0.0</v>
      </c>
      <c r="V64" s="101">
        <v>0.0</v>
      </c>
    </row>
    <row r="65" ht="15.75" customHeight="1">
      <c r="A65" s="102">
        <v>2.0</v>
      </c>
      <c r="B65" s="174">
        <v>100.0</v>
      </c>
      <c r="C65" s="101">
        <v>0.0</v>
      </c>
      <c r="D65" s="101">
        <v>0.0</v>
      </c>
      <c r="E65" s="101">
        <v>0.0</v>
      </c>
      <c r="F65" s="101">
        <v>0.0</v>
      </c>
      <c r="G65" s="101">
        <v>0.0</v>
      </c>
      <c r="H65" s="101">
        <v>0.0</v>
      </c>
      <c r="I65" s="101">
        <v>1.0</v>
      </c>
      <c r="J65" s="101">
        <v>0.0</v>
      </c>
      <c r="K65" s="101">
        <v>0.0</v>
      </c>
      <c r="L65" s="101">
        <v>0.0</v>
      </c>
      <c r="M65" s="101">
        <v>0.0</v>
      </c>
      <c r="N65" s="101">
        <v>0.0</v>
      </c>
      <c r="O65" s="101">
        <v>0.0</v>
      </c>
      <c r="P65" s="101">
        <v>0.0</v>
      </c>
      <c r="Q65" s="101">
        <v>0.0</v>
      </c>
      <c r="R65" s="101">
        <v>0.0</v>
      </c>
      <c r="S65" s="101">
        <v>0.0</v>
      </c>
      <c r="T65" s="101">
        <v>0.0</v>
      </c>
      <c r="U65" s="101">
        <v>0.0</v>
      </c>
      <c r="V65" s="101">
        <v>0.0</v>
      </c>
    </row>
    <row r="66" ht="15.75" customHeight="1">
      <c r="A66" s="102">
        <v>3.0</v>
      </c>
      <c r="B66" s="174">
        <v>50.0</v>
      </c>
      <c r="C66" s="101">
        <v>0.0</v>
      </c>
      <c r="D66" s="101">
        <v>0.0</v>
      </c>
      <c r="E66" s="101">
        <v>0.0</v>
      </c>
      <c r="F66" s="101">
        <v>0.0</v>
      </c>
      <c r="G66" s="101">
        <v>0.0</v>
      </c>
      <c r="H66" s="101">
        <v>0.0</v>
      </c>
      <c r="I66" s="101">
        <v>1.0</v>
      </c>
      <c r="J66" s="101">
        <v>0.0</v>
      </c>
      <c r="K66" s="101">
        <v>0.0</v>
      </c>
      <c r="L66" s="101">
        <v>0.0</v>
      </c>
      <c r="M66" s="101">
        <v>0.0</v>
      </c>
      <c r="N66" s="101">
        <v>0.0</v>
      </c>
      <c r="O66" s="101">
        <v>0.0</v>
      </c>
      <c r="P66" s="101">
        <v>0.0</v>
      </c>
      <c r="Q66" s="101">
        <v>0.0</v>
      </c>
      <c r="R66" s="101">
        <v>0.0</v>
      </c>
      <c r="S66" s="101">
        <v>0.0</v>
      </c>
      <c r="T66" s="101">
        <v>0.0</v>
      </c>
      <c r="U66" s="101">
        <v>0.0</v>
      </c>
      <c r="V66" s="101">
        <v>0.0</v>
      </c>
    </row>
    <row r="67" ht="15.75" customHeight="1">
      <c r="A67" s="102">
        <v>4.0</v>
      </c>
      <c r="B67" s="174">
        <v>0.0</v>
      </c>
      <c r="C67" s="101">
        <v>0.0</v>
      </c>
      <c r="D67" s="101">
        <v>0.0</v>
      </c>
      <c r="E67" s="101">
        <v>0.0</v>
      </c>
      <c r="F67" s="101">
        <v>0.0</v>
      </c>
      <c r="G67" s="101">
        <v>0.0</v>
      </c>
      <c r="H67" s="101">
        <v>0.0</v>
      </c>
      <c r="I67" s="101">
        <v>1.0</v>
      </c>
      <c r="J67" s="101">
        <v>0.0</v>
      </c>
      <c r="K67" s="101">
        <v>0.0</v>
      </c>
      <c r="L67" s="101">
        <v>0.0</v>
      </c>
      <c r="M67" s="101">
        <v>0.0</v>
      </c>
      <c r="N67" s="101">
        <v>0.0</v>
      </c>
      <c r="O67" s="101">
        <v>0.0</v>
      </c>
      <c r="P67" s="101">
        <v>0.0</v>
      </c>
      <c r="Q67" s="101">
        <v>0.0</v>
      </c>
      <c r="R67" s="101">
        <v>0.0</v>
      </c>
      <c r="S67" s="101">
        <v>0.0</v>
      </c>
      <c r="T67" s="101">
        <v>0.0</v>
      </c>
      <c r="U67" s="101">
        <v>0.0</v>
      </c>
      <c r="V67" s="101">
        <v>0.0</v>
      </c>
    </row>
    <row r="68" ht="15.75" customHeight="1">
      <c r="A68" s="102">
        <v>5.0</v>
      </c>
      <c r="B68" s="174">
        <v>0.0</v>
      </c>
      <c r="C68" s="101">
        <v>0.0</v>
      </c>
      <c r="D68" s="101">
        <v>0.0</v>
      </c>
      <c r="E68" s="101">
        <v>0.0</v>
      </c>
      <c r="F68" s="101">
        <v>0.0</v>
      </c>
      <c r="G68" s="101">
        <v>0.0</v>
      </c>
      <c r="H68" s="101">
        <v>0.0</v>
      </c>
      <c r="I68" s="101">
        <v>1.0</v>
      </c>
      <c r="J68" s="101">
        <v>0.0</v>
      </c>
      <c r="K68" s="101">
        <v>0.0</v>
      </c>
      <c r="L68" s="101">
        <v>0.0</v>
      </c>
      <c r="M68" s="101">
        <v>0.0</v>
      </c>
      <c r="N68" s="101">
        <v>0.0</v>
      </c>
      <c r="O68" s="101">
        <v>0.0</v>
      </c>
      <c r="P68" s="101">
        <v>0.0</v>
      </c>
      <c r="Q68" s="101">
        <v>0.0</v>
      </c>
      <c r="R68" s="101">
        <v>0.0</v>
      </c>
      <c r="S68" s="101">
        <v>0.0</v>
      </c>
      <c r="T68" s="101">
        <v>0.0</v>
      </c>
      <c r="U68" s="101">
        <v>0.0</v>
      </c>
      <c r="V68" s="101">
        <v>0.0</v>
      </c>
    </row>
    <row r="69" ht="15.75" customHeight="1">
      <c r="A69" s="102">
        <v>6.0</v>
      </c>
      <c r="B69" s="174">
        <v>0.0</v>
      </c>
      <c r="C69" s="101">
        <v>0.0</v>
      </c>
      <c r="D69" s="101">
        <v>0.0</v>
      </c>
      <c r="E69" s="101">
        <v>0.0</v>
      </c>
      <c r="F69" s="101">
        <v>0.0</v>
      </c>
      <c r="G69" s="101">
        <v>0.0</v>
      </c>
      <c r="H69" s="101">
        <v>1.0</v>
      </c>
      <c r="I69" s="101">
        <v>0.0</v>
      </c>
      <c r="J69" s="101">
        <v>0.0</v>
      </c>
      <c r="K69" s="101">
        <v>0.0</v>
      </c>
      <c r="L69" s="101">
        <v>0.0</v>
      </c>
      <c r="M69" s="101">
        <v>0.0</v>
      </c>
      <c r="N69" s="101">
        <v>0.0</v>
      </c>
      <c r="O69" s="101">
        <v>0.0</v>
      </c>
      <c r="P69" s="101">
        <v>0.0</v>
      </c>
      <c r="Q69" s="101">
        <v>0.0</v>
      </c>
      <c r="R69" s="101">
        <v>0.0</v>
      </c>
      <c r="S69" s="101">
        <v>0.0</v>
      </c>
      <c r="T69" s="101">
        <v>0.0</v>
      </c>
      <c r="U69" s="101">
        <v>0.0</v>
      </c>
      <c r="V69" s="101">
        <v>0.0</v>
      </c>
    </row>
    <row r="70" ht="15.75" customHeight="1">
      <c r="A70" s="102">
        <v>7.0</v>
      </c>
      <c r="B70" s="174">
        <v>0.0</v>
      </c>
      <c r="C70" s="101">
        <v>0.0</v>
      </c>
      <c r="D70" s="101">
        <v>0.0</v>
      </c>
      <c r="E70" s="101">
        <v>0.0</v>
      </c>
      <c r="F70" s="101">
        <v>0.0</v>
      </c>
      <c r="G70" s="101">
        <v>0.0</v>
      </c>
      <c r="H70" s="101">
        <v>1.0</v>
      </c>
      <c r="I70" s="101">
        <v>0.0</v>
      </c>
      <c r="J70" s="101">
        <v>0.0</v>
      </c>
      <c r="K70" s="101">
        <v>0.0</v>
      </c>
      <c r="L70" s="101">
        <v>0.0</v>
      </c>
      <c r="M70" s="101">
        <v>0.0</v>
      </c>
      <c r="N70" s="101">
        <v>0.0</v>
      </c>
      <c r="O70" s="101">
        <v>0.0</v>
      </c>
      <c r="P70" s="101">
        <v>0.0</v>
      </c>
      <c r="Q70" s="101">
        <v>0.0</v>
      </c>
      <c r="R70" s="101">
        <v>0.0</v>
      </c>
      <c r="S70" s="101">
        <v>0.0</v>
      </c>
      <c r="T70" s="101">
        <v>0.0</v>
      </c>
      <c r="U70" s="101">
        <v>0.0</v>
      </c>
      <c r="V70" s="101">
        <v>0.0</v>
      </c>
    </row>
    <row r="71" ht="15.75" customHeight="1">
      <c r="A71" s="102">
        <v>8.0</v>
      </c>
      <c r="B71" s="174">
        <v>0.0</v>
      </c>
      <c r="C71" s="101">
        <v>0.0</v>
      </c>
      <c r="D71" s="101">
        <v>0.0</v>
      </c>
      <c r="E71" s="101">
        <v>0.0</v>
      </c>
      <c r="F71" s="101">
        <v>0.0</v>
      </c>
      <c r="G71" s="101">
        <v>0.0</v>
      </c>
      <c r="H71" s="101">
        <v>1.0</v>
      </c>
      <c r="I71" s="101">
        <v>0.0</v>
      </c>
      <c r="J71" s="101">
        <v>0.0</v>
      </c>
      <c r="K71" s="101">
        <v>0.0</v>
      </c>
      <c r="L71" s="101">
        <v>0.0</v>
      </c>
      <c r="M71" s="101">
        <v>0.0</v>
      </c>
      <c r="N71" s="101">
        <v>0.0</v>
      </c>
      <c r="O71" s="101">
        <v>0.0</v>
      </c>
      <c r="P71" s="101">
        <v>0.0</v>
      </c>
      <c r="Q71" s="101">
        <v>0.0</v>
      </c>
      <c r="R71" s="101">
        <v>0.0</v>
      </c>
      <c r="S71" s="101">
        <v>0.0</v>
      </c>
      <c r="T71" s="101">
        <v>0.0</v>
      </c>
      <c r="U71" s="101">
        <v>0.0</v>
      </c>
      <c r="V71" s="101">
        <v>0.0</v>
      </c>
    </row>
    <row r="72" ht="15.75" customHeight="1">
      <c r="A72" s="102">
        <v>9.0</v>
      </c>
      <c r="B72" s="174">
        <v>0.0</v>
      </c>
      <c r="C72" s="101">
        <v>0.0</v>
      </c>
      <c r="D72" s="101">
        <v>0.0</v>
      </c>
      <c r="E72" s="101">
        <v>0.0</v>
      </c>
      <c r="F72" s="101">
        <v>0.0</v>
      </c>
      <c r="G72" s="101">
        <v>0.0</v>
      </c>
      <c r="H72" s="101">
        <v>1.0</v>
      </c>
      <c r="I72" s="101">
        <v>0.0</v>
      </c>
      <c r="J72" s="101">
        <v>0.0</v>
      </c>
      <c r="K72" s="101">
        <v>0.0</v>
      </c>
      <c r="L72" s="101">
        <v>0.0</v>
      </c>
      <c r="M72" s="101">
        <v>0.0</v>
      </c>
      <c r="N72" s="101">
        <v>0.0</v>
      </c>
      <c r="O72" s="101">
        <v>0.0</v>
      </c>
      <c r="P72" s="101">
        <v>0.0</v>
      </c>
      <c r="Q72" s="101">
        <v>0.0</v>
      </c>
      <c r="R72" s="101">
        <v>0.0</v>
      </c>
      <c r="S72" s="101">
        <v>0.0</v>
      </c>
      <c r="T72" s="101">
        <v>0.0</v>
      </c>
      <c r="U72" s="101">
        <v>0.0</v>
      </c>
      <c r="V72" s="101">
        <v>0.0</v>
      </c>
    </row>
    <row r="73" ht="15.75" customHeight="1">
      <c r="A73" s="102">
        <v>10.0</v>
      </c>
      <c r="B73" s="174">
        <v>0.0</v>
      </c>
      <c r="C73" s="101">
        <v>0.0</v>
      </c>
      <c r="D73" s="101">
        <v>0.0</v>
      </c>
      <c r="E73" s="101">
        <v>0.0</v>
      </c>
      <c r="F73" s="101">
        <v>0.0</v>
      </c>
      <c r="G73" s="101">
        <v>0.0</v>
      </c>
      <c r="H73" s="101">
        <v>1.0</v>
      </c>
      <c r="I73" s="101">
        <v>0.0</v>
      </c>
      <c r="J73" s="101">
        <v>0.0</v>
      </c>
      <c r="K73" s="101">
        <v>0.0</v>
      </c>
      <c r="L73" s="101">
        <v>0.0</v>
      </c>
      <c r="M73" s="101">
        <v>0.0</v>
      </c>
      <c r="N73" s="101">
        <v>0.0</v>
      </c>
      <c r="O73" s="101">
        <v>0.0</v>
      </c>
      <c r="P73" s="101">
        <v>0.0</v>
      </c>
      <c r="Q73" s="101">
        <v>0.0</v>
      </c>
      <c r="R73" s="101">
        <v>0.0</v>
      </c>
      <c r="S73" s="101">
        <v>0.0</v>
      </c>
      <c r="T73" s="101">
        <v>0.0</v>
      </c>
      <c r="U73" s="101">
        <v>0.0</v>
      </c>
      <c r="V73" s="101">
        <v>0.0</v>
      </c>
    </row>
    <row r="74" ht="15.75" customHeight="1"/>
    <row r="75" ht="19.5" customHeight="1">
      <c r="A75" s="91" t="s">
        <v>280</v>
      </c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</row>
    <row r="76" ht="15.75" customHeight="1">
      <c r="A76" s="125" t="s">
        <v>271</v>
      </c>
      <c r="B76" s="126">
        <v>10.0</v>
      </c>
    </row>
    <row r="77" ht="15.75" customHeight="1">
      <c r="A77" s="125" t="s">
        <v>272</v>
      </c>
      <c r="B77" s="126">
        <v>10.0</v>
      </c>
    </row>
    <row r="78" ht="15.75" customHeight="1">
      <c r="A78" s="125" t="s">
        <v>126</v>
      </c>
      <c r="B78" s="133">
        <v>1.0</v>
      </c>
    </row>
    <row r="79" ht="15.75" customHeight="1"/>
    <row r="80" ht="19.5" customHeight="1">
      <c r="A80" s="91" t="s">
        <v>281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</row>
    <row r="81" ht="90.0" customHeight="1">
      <c r="A81" s="97" t="s">
        <v>191</v>
      </c>
      <c r="B81" s="173" t="s">
        <v>19</v>
      </c>
      <c r="C81" s="99" t="s">
        <v>5</v>
      </c>
      <c r="D81" s="99" t="s">
        <v>77</v>
      </c>
      <c r="E81" s="99" t="s">
        <v>6</v>
      </c>
      <c r="F81" s="99" t="s">
        <v>7</v>
      </c>
      <c r="G81" s="99" t="s">
        <v>8</v>
      </c>
      <c r="H81" s="99" t="s">
        <v>9</v>
      </c>
      <c r="I81" s="99" t="s">
        <v>10</v>
      </c>
      <c r="J81" s="99" t="s">
        <v>11</v>
      </c>
      <c r="K81" s="99" t="s">
        <v>12</v>
      </c>
      <c r="L81" s="99" t="s">
        <v>13</v>
      </c>
      <c r="M81" s="99" t="s">
        <v>14</v>
      </c>
      <c r="N81" s="99" t="s">
        <v>15</v>
      </c>
      <c r="O81" s="99" t="s">
        <v>92</v>
      </c>
      <c r="P81" s="99" t="s">
        <v>78</v>
      </c>
      <c r="Q81" s="99" t="s">
        <v>79</v>
      </c>
      <c r="R81" s="99" t="s">
        <v>80</v>
      </c>
      <c r="S81" s="99" t="s">
        <v>81</v>
      </c>
      <c r="T81" s="99" t="s">
        <v>82</v>
      </c>
      <c r="U81" s="99" t="s">
        <v>83</v>
      </c>
      <c r="V81" s="99" t="s">
        <v>84</v>
      </c>
    </row>
    <row r="82" ht="15.75" customHeight="1">
      <c r="A82" s="102">
        <v>1.0</v>
      </c>
      <c r="B82" s="174">
        <v>200.0</v>
      </c>
      <c r="C82" s="101">
        <v>0.0</v>
      </c>
      <c r="D82" s="101">
        <v>0.0</v>
      </c>
      <c r="E82" s="101">
        <v>0.0</v>
      </c>
      <c r="F82" s="101">
        <v>0.0</v>
      </c>
      <c r="G82" s="101">
        <v>0.0</v>
      </c>
      <c r="H82" s="101">
        <v>0.0</v>
      </c>
      <c r="I82" s="101">
        <v>0.0</v>
      </c>
      <c r="J82" s="101">
        <v>1.0</v>
      </c>
      <c r="K82" s="101">
        <v>0.0</v>
      </c>
      <c r="L82" s="101">
        <v>0.0</v>
      </c>
      <c r="M82" s="101">
        <v>0.0</v>
      </c>
      <c r="N82" s="101">
        <v>0.0</v>
      </c>
      <c r="O82" s="101">
        <v>0.0</v>
      </c>
      <c r="P82" s="101">
        <v>0.0</v>
      </c>
      <c r="Q82" s="101">
        <v>0.0</v>
      </c>
      <c r="R82" s="101">
        <v>0.0</v>
      </c>
      <c r="S82" s="101">
        <v>0.0</v>
      </c>
      <c r="T82" s="101">
        <v>0.0</v>
      </c>
      <c r="U82" s="101">
        <v>0.0</v>
      </c>
      <c r="V82" s="101">
        <v>0.0</v>
      </c>
    </row>
    <row r="83" ht="15.75" customHeight="1">
      <c r="A83" s="102">
        <v>2.0</v>
      </c>
      <c r="B83" s="174">
        <v>100.0</v>
      </c>
      <c r="C83" s="101">
        <v>0.0</v>
      </c>
      <c r="D83" s="101">
        <v>0.0</v>
      </c>
      <c r="E83" s="101">
        <v>0.0</v>
      </c>
      <c r="F83" s="101">
        <v>0.0</v>
      </c>
      <c r="G83" s="101">
        <v>0.0</v>
      </c>
      <c r="H83" s="101">
        <v>0.0</v>
      </c>
      <c r="I83" s="101">
        <v>1.0</v>
      </c>
      <c r="J83" s="101">
        <v>0.0</v>
      </c>
      <c r="K83" s="101">
        <v>0.0</v>
      </c>
      <c r="L83" s="101">
        <v>0.0</v>
      </c>
      <c r="M83" s="101">
        <v>0.0</v>
      </c>
      <c r="N83" s="101">
        <v>0.0</v>
      </c>
      <c r="O83" s="101">
        <v>0.0</v>
      </c>
      <c r="P83" s="101">
        <v>0.0</v>
      </c>
      <c r="Q83" s="101">
        <v>0.0</v>
      </c>
      <c r="R83" s="101">
        <v>0.0</v>
      </c>
      <c r="S83" s="101">
        <v>0.0</v>
      </c>
      <c r="T83" s="101">
        <v>0.0</v>
      </c>
      <c r="U83" s="101">
        <v>0.0</v>
      </c>
      <c r="V83" s="101">
        <v>0.0</v>
      </c>
    </row>
    <row r="84" ht="15.75" customHeight="1">
      <c r="A84" s="102">
        <v>3.0</v>
      </c>
      <c r="B84" s="174">
        <v>50.0</v>
      </c>
      <c r="C84" s="101">
        <v>0.0</v>
      </c>
      <c r="D84" s="101">
        <v>0.0</v>
      </c>
      <c r="E84" s="101">
        <v>0.0</v>
      </c>
      <c r="F84" s="101">
        <v>0.0</v>
      </c>
      <c r="G84" s="101">
        <v>0.0</v>
      </c>
      <c r="H84" s="101">
        <v>0.0</v>
      </c>
      <c r="I84" s="101">
        <v>1.0</v>
      </c>
      <c r="J84" s="101">
        <v>0.0</v>
      </c>
      <c r="K84" s="101">
        <v>0.0</v>
      </c>
      <c r="L84" s="101">
        <v>0.0</v>
      </c>
      <c r="M84" s="101">
        <v>0.0</v>
      </c>
      <c r="N84" s="101">
        <v>0.0</v>
      </c>
      <c r="O84" s="101">
        <v>0.0</v>
      </c>
      <c r="P84" s="101">
        <v>0.0</v>
      </c>
      <c r="Q84" s="101">
        <v>0.0</v>
      </c>
      <c r="R84" s="101">
        <v>0.0</v>
      </c>
      <c r="S84" s="101">
        <v>0.0</v>
      </c>
      <c r="T84" s="101">
        <v>0.0</v>
      </c>
      <c r="U84" s="101">
        <v>0.0</v>
      </c>
      <c r="V84" s="101">
        <v>0.0</v>
      </c>
    </row>
    <row r="85" ht="15.75" customHeight="1">
      <c r="A85" s="102">
        <v>4.0</v>
      </c>
      <c r="B85" s="174">
        <v>0.0</v>
      </c>
      <c r="C85" s="101">
        <v>0.0</v>
      </c>
      <c r="D85" s="101">
        <v>0.0</v>
      </c>
      <c r="E85" s="101">
        <v>0.0</v>
      </c>
      <c r="F85" s="101">
        <v>0.0</v>
      </c>
      <c r="G85" s="101">
        <v>0.0</v>
      </c>
      <c r="H85" s="101">
        <v>0.0</v>
      </c>
      <c r="I85" s="101">
        <v>1.0</v>
      </c>
      <c r="J85" s="101">
        <v>0.0</v>
      </c>
      <c r="K85" s="101">
        <v>0.0</v>
      </c>
      <c r="L85" s="101">
        <v>0.0</v>
      </c>
      <c r="M85" s="101">
        <v>0.0</v>
      </c>
      <c r="N85" s="101">
        <v>0.0</v>
      </c>
      <c r="O85" s="101">
        <v>0.0</v>
      </c>
      <c r="P85" s="101">
        <v>0.0</v>
      </c>
      <c r="Q85" s="101">
        <v>0.0</v>
      </c>
      <c r="R85" s="101">
        <v>0.0</v>
      </c>
      <c r="S85" s="101">
        <v>0.0</v>
      </c>
      <c r="T85" s="101">
        <v>0.0</v>
      </c>
      <c r="U85" s="101">
        <v>0.0</v>
      </c>
      <c r="V85" s="101">
        <v>0.0</v>
      </c>
    </row>
    <row r="86" ht="15.75" customHeight="1">
      <c r="A86" s="102">
        <v>5.0</v>
      </c>
      <c r="B86" s="174">
        <v>0.0</v>
      </c>
      <c r="C86" s="101">
        <v>0.0</v>
      </c>
      <c r="D86" s="101">
        <v>0.0</v>
      </c>
      <c r="E86" s="101">
        <v>0.0</v>
      </c>
      <c r="F86" s="101">
        <v>0.0</v>
      </c>
      <c r="G86" s="101">
        <v>0.0</v>
      </c>
      <c r="H86" s="101">
        <v>0.0</v>
      </c>
      <c r="I86" s="101">
        <v>1.0</v>
      </c>
      <c r="J86" s="101">
        <v>0.0</v>
      </c>
      <c r="K86" s="101">
        <v>0.0</v>
      </c>
      <c r="L86" s="101">
        <v>0.0</v>
      </c>
      <c r="M86" s="101">
        <v>0.0</v>
      </c>
      <c r="N86" s="101">
        <v>0.0</v>
      </c>
      <c r="O86" s="101">
        <v>0.0</v>
      </c>
      <c r="P86" s="101">
        <v>0.0</v>
      </c>
      <c r="Q86" s="101">
        <v>0.0</v>
      </c>
      <c r="R86" s="101">
        <v>0.0</v>
      </c>
      <c r="S86" s="101">
        <v>0.0</v>
      </c>
      <c r="T86" s="101">
        <v>0.0</v>
      </c>
      <c r="U86" s="101">
        <v>0.0</v>
      </c>
      <c r="V86" s="101">
        <v>0.0</v>
      </c>
    </row>
    <row r="87" ht="15.75" customHeight="1">
      <c r="A87" s="102">
        <v>6.0</v>
      </c>
      <c r="B87" s="174">
        <v>0.0</v>
      </c>
      <c r="C87" s="101">
        <v>0.0</v>
      </c>
      <c r="D87" s="101">
        <v>0.0</v>
      </c>
      <c r="E87" s="101">
        <v>0.0</v>
      </c>
      <c r="F87" s="101">
        <v>0.0</v>
      </c>
      <c r="G87" s="101">
        <v>0.0</v>
      </c>
      <c r="H87" s="101">
        <v>1.0</v>
      </c>
      <c r="I87" s="101">
        <v>0.0</v>
      </c>
      <c r="J87" s="101">
        <v>0.0</v>
      </c>
      <c r="K87" s="101">
        <v>0.0</v>
      </c>
      <c r="L87" s="101">
        <v>0.0</v>
      </c>
      <c r="M87" s="101">
        <v>0.0</v>
      </c>
      <c r="N87" s="101">
        <v>0.0</v>
      </c>
      <c r="O87" s="101">
        <v>0.0</v>
      </c>
      <c r="P87" s="101">
        <v>0.0</v>
      </c>
      <c r="Q87" s="101">
        <v>0.0</v>
      </c>
      <c r="R87" s="101">
        <v>0.0</v>
      </c>
      <c r="S87" s="101">
        <v>0.0</v>
      </c>
      <c r="T87" s="101">
        <v>0.0</v>
      </c>
      <c r="U87" s="101">
        <v>0.0</v>
      </c>
      <c r="V87" s="101">
        <v>0.0</v>
      </c>
    </row>
    <row r="88" ht="15.75" customHeight="1">
      <c r="A88" s="102">
        <v>7.0</v>
      </c>
      <c r="B88" s="174">
        <v>0.0</v>
      </c>
      <c r="C88" s="101">
        <v>0.0</v>
      </c>
      <c r="D88" s="101">
        <v>0.0</v>
      </c>
      <c r="E88" s="101">
        <v>0.0</v>
      </c>
      <c r="F88" s="101">
        <v>0.0</v>
      </c>
      <c r="G88" s="101">
        <v>0.0</v>
      </c>
      <c r="H88" s="101">
        <v>1.0</v>
      </c>
      <c r="I88" s="101">
        <v>0.0</v>
      </c>
      <c r="J88" s="101">
        <v>0.0</v>
      </c>
      <c r="K88" s="101">
        <v>0.0</v>
      </c>
      <c r="L88" s="101">
        <v>0.0</v>
      </c>
      <c r="M88" s="101">
        <v>0.0</v>
      </c>
      <c r="N88" s="101">
        <v>0.0</v>
      </c>
      <c r="O88" s="101">
        <v>0.0</v>
      </c>
      <c r="P88" s="101">
        <v>0.0</v>
      </c>
      <c r="Q88" s="101">
        <v>0.0</v>
      </c>
      <c r="R88" s="101">
        <v>0.0</v>
      </c>
      <c r="S88" s="101">
        <v>0.0</v>
      </c>
      <c r="T88" s="101">
        <v>0.0</v>
      </c>
      <c r="U88" s="101">
        <v>0.0</v>
      </c>
      <c r="V88" s="101">
        <v>0.0</v>
      </c>
    </row>
    <row r="89" ht="15.75" customHeight="1">
      <c r="A89" s="102">
        <v>8.0</v>
      </c>
      <c r="B89" s="174">
        <v>0.0</v>
      </c>
      <c r="C89" s="101">
        <v>0.0</v>
      </c>
      <c r="D89" s="101">
        <v>0.0</v>
      </c>
      <c r="E89" s="101">
        <v>0.0</v>
      </c>
      <c r="F89" s="101">
        <v>0.0</v>
      </c>
      <c r="G89" s="101">
        <v>0.0</v>
      </c>
      <c r="H89" s="101">
        <v>1.0</v>
      </c>
      <c r="I89" s="101">
        <v>0.0</v>
      </c>
      <c r="J89" s="101">
        <v>0.0</v>
      </c>
      <c r="K89" s="101">
        <v>0.0</v>
      </c>
      <c r="L89" s="101">
        <v>0.0</v>
      </c>
      <c r="M89" s="101">
        <v>0.0</v>
      </c>
      <c r="N89" s="101">
        <v>0.0</v>
      </c>
      <c r="O89" s="101">
        <v>0.0</v>
      </c>
      <c r="P89" s="101">
        <v>0.0</v>
      </c>
      <c r="Q89" s="101">
        <v>0.0</v>
      </c>
      <c r="R89" s="101">
        <v>0.0</v>
      </c>
      <c r="S89" s="101">
        <v>0.0</v>
      </c>
      <c r="T89" s="101">
        <v>0.0</v>
      </c>
      <c r="U89" s="101">
        <v>0.0</v>
      </c>
      <c r="V89" s="101">
        <v>0.0</v>
      </c>
    </row>
    <row r="90" ht="15.75" customHeight="1">
      <c r="A90" s="102">
        <v>9.0</v>
      </c>
      <c r="B90" s="174">
        <v>0.0</v>
      </c>
      <c r="C90" s="101">
        <v>0.0</v>
      </c>
      <c r="D90" s="101">
        <v>0.0</v>
      </c>
      <c r="E90" s="101">
        <v>0.0</v>
      </c>
      <c r="F90" s="101">
        <v>0.0</v>
      </c>
      <c r="G90" s="101">
        <v>0.0</v>
      </c>
      <c r="H90" s="101">
        <v>1.0</v>
      </c>
      <c r="I90" s="101">
        <v>0.0</v>
      </c>
      <c r="J90" s="101">
        <v>0.0</v>
      </c>
      <c r="K90" s="101">
        <v>0.0</v>
      </c>
      <c r="L90" s="101">
        <v>0.0</v>
      </c>
      <c r="M90" s="101">
        <v>0.0</v>
      </c>
      <c r="N90" s="101">
        <v>0.0</v>
      </c>
      <c r="O90" s="101">
        <v>0.0</v>
      </c>
      <c r="P90" s="101">
        <v>0.0</v>
      </c>
      <c r="Q90" s="101">
        <v>0.0</v>
      </c>
      <c r="R90" s="101">
        <v>0.0</v>
      </c>
      <c r="S90" s="101">
        <v>0.0</v>
      </c>
      <c r="T90" s="101">
        <v>0.0</v>
      </c>
      <c r="U90" s="101">
        <v>0.0</v>
      </c>
      <c r="V90" s="101">
        <v>0.0</v>
      </c>
    </row>
    <row r="91" ht="15.75" customHeight="1">
      <c r="A91" s="102">
        <v>10.0</v>
      </c>
      <c r="B91" s="174">
        <v>0.0</v>
      </c>
      <c r="C91" s="101">
        <v>0.0</v>
      </c>
      <c r="D91" s="101">
        <v>0.0</v>
      </c>
      <c r="E91" s="101">
        <v>0.0</v>
      </c>
      <c r="F91" s="101">
        <v>0.0</v>
      </c>
      <c r="G91" s="101">
        <v>0.0</v>
      </c>
      <c r="H91" s="101">
        <v>1.0</v>
      </c>
      <c r="I91" s="101">
        <v>0.0</v>
      </c>
      <c r="J91" s="101">
        <v>0.0</v>
      </c>
      <c r="K91" s="101">
        <v>0.0</v>
      </c>
      <c r="L91" s="101">
        <v>0.0</v>
      </c>
      <c r="M91" s="101">
        <v>0.0</v>
      </c>
      <c r="N91" s="101">
        <v>0.0</v>
      </c>
      <c r="O91" s="101">
        <v>0.0</v>
      </c>
      <c r="P91" s="101">
        <v>0.0</v>
      </c>
      <c r="Q91" s="101">
        <v>0.0</v>
      </c>
      <c r="R91" s="101">
        <v>0.0</v>
      </c>
      <c r="S91" s="101">
        <v>0.0</v>
      </c>
      <c r="T91" s="101">
        <v>0.0</v>
      </c>
      <c r="U91" s="101">
        <v>0.0</v>
      </c>
      <c r="V91" s="101">
        <v>0.0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conditionalFormatting sqref="B10:V19">
    <cfRule type="cellIs" dxfId="1" priority="1" operator="greaterThan">
      <formula>0</formula>
    </cfRule>
  </conditionalFormatting>
  <conditionalFormatting sqref="A10:V19">
    <cfRule type="expression" dxfId="2" priority="2">
      <formula>ISEVEN(ROW()-9+1)</formula>
    </cfRule>
  </conditionalFormatting>
  <conditionalFormatting sqref="B28:V37">
    <cfRule type="cellIs" dxfId="1" priority="3" operator="greaterThan">
      <formula>0</formula>
    </cfRule>
  </conditionalFormatting>
  <conditionalFormatting sqref="A28:V37">
    <cfRule type="expression" dxfId="2" priority="4">
      <formula>ISEVEN(ROW()-26+1)</formula>
    </cfRule>
  </conditionalFormatting>
  <conditionalFormatting sqref="B46:V55">
    <cfRule type="cellIs" dxfId="1" priority="5" operator="greaterThan">
      <formula>0</formula>
    </cfRule>
  </conditionalFormatting>
  <conditionalFormatting sqref="A46:V55">
    <cfRule type="expression" dxfId="2" priority="6">
      <formula>ISEVEN(ROW()-43+1)</formula>
    </cfRule>
  </conditionalFormatting>
  <conditionalFormatting sqref="B64:V73">
    <cfRule type="cellIs" dxfId="1" priority="7" operator="greaterThan">
      <formula>0</formula>
    </cfRule>
  </conditionalFormatting>
  <conditionalFormatting sqref="A64:V73">
    <cfRule type="expression" dxfId="2" priority="8">
      <formula>ISEVEN(ROW()-60+1)</formula>
    </cfRule>
  </conditionalFormatting>
  <conditionalFormatting sqref="B82:V91">
    <cfRule type="cellIs" dxfId="1" priority="9" operator="greaterThan">
      <formula>0</formula>
    </cfRule>
  </conditionalFormatting>
  <conditionalFormatting sqref="A82:V91">
    <cfRule type="expression" dxfId="2" priority="10">
      <formula>ISEVEN(ROW()-77+1)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39" t="s">
        <v>27</v>
      </c>
    </row>
    <row r="2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</row>
    <row r="3">
      <c r="A3" s="178" t="s">
        <v>288</v>
      </c>
      <c r="B3" s="133" t="s">
        <v>289</v>
      </c>
    </row>
    <row r="4">
      <c r="A4" s="178" t="s">
        <v>290</v>
      </c>
      <c r="B4" s="133" t="s">
        <v>291</v>
      </c>
    </row>
    <row r="5">
      <c r="A5" s="178" t="s">
        <v>292</v>
      </c>
      <c r="B5" s="133" t="s">
        <v>293</v>
      </c>
    </row>
    <row r="6">
      <c r="A6" s="178" t="s">
        <v>128</v>
      </c>
      <c r="B6" s="133">
        <v>25.0</v>
      </c>
    </row>
    <row r="7">
      <c r="A7" s="125" t="s">
        <v>126</v>
      </c>
      <c r="B7" s="133">
        <v>7.0</v>
      </c>
    </row>
    <row r="9">
      <c r="A9" s="179" t="s">
        <v>294</v>
      </c>
      <c r="B9" s="159"/>
      <c r="C9" s="159"/>
      <c r="D9" s="159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</row>
    <row r="10">
      <c r="A10" s="180" t="s">
        <v>131</v>
      </c>
      <c r="B10" s="180" t="s">
        <v>295</v>
      </c>
      <c r="C10" s="181" t="s">
        <v>19</v>
      </c>
      <c r="D10" s="182" t="s">
        <v>5</v>
      </c>
      <c r="E10" s="183" t="s">
        <v>77</v>
      </c>
      <c r="F10" s="116" t="s">
        <v>6</v>
      </c>
      <c r="G10" s="116" t="s">
        <v>7</v>
      </c>
      <c r="H10" s="116" t="s">
        <v>8</v>
      </c>
      <c r="I10" s="116" t="s">
        <v>9</v>
      </c>
      <c r="J10" s="116" t="s">
        <v>10</v>
      </c>
      <c r="K10" s="116" t="s">
        <v>11</v>
      </c>
      <c r="L10" s="116" t="s">
        <v>12</v>
      </c>
      <c r="M10" s="116" t="s">
        <v>13</v>
      </c>
      <c r="N10" s="116" t="s">
        <v>14</v>
      </c>
      <c r="O10" s="116" t="s">
        <v>15</v>
      </c>
      <c r="P10" s="99" t="s">
        <v>92</v>
      </c>
      <c r="Q10" s="99" t="s">
        <v>78</v>
      </c>
      <c r="R10" s="99" t="s">
        <v>79</v>
      </c>
      <c r="S10" s="99" t="s">
        <v>80</v>
      </c>
      <c r="T10" s="99" t="s">
        <v>81</v>
      </c>
      <c r="U10" s="99" t="s">
        <v>82</v>
      </c>
      <c r="V10" s="99" t="s">
        <v>83</v>
      </c>
      <c r="W10" s="99" t="s">
        <v>84</v>
      </c>
    </row>
    <row r="11">
      <c r="A11" s="184">
        <v>1.0</v>
      </c>
      <c r="B11" s="184">
        <v>100.0</v>
      </c>
      <c r="C11" s="185">
        <v>0.0</v>
      </c>
      <c r="D11" s="184">
        <v>0.0</v>
      </c>
      <c r="E11" s="186">
        <v>0.0</v>
      </c>
      <c r="F11" s="139">
        <v>0.0</v>
      </c>
      <c r="G11" s="139">
        <v>0.0</v>
      </c>
      <c r="H11" s="139">
        <v>0.0</v>
      </c>
      <c r="I11" s="139">
        <v>0.0</v>
      </c>
      <c r="J11" s="139">
        <v>0.0</v>
      </c>
      <c r="K11" s="139">
        <v>0.0</v>
      </c>
      <c r="L11" s="139">
        <v>0.0</v>
      </c>
      <c r="M11" s="139">
        <v>0.0</v>
      </c>
      <c r="N11" s="139">
        <v>0.0</v>
      </c>
      <c r="O11" s="139">
        <v>0.0</v>
      </c>
      <c r="P11" s="139">
        <v>0.0</v>
      </c>
      <c r="Q11" s="139">
        <v>0.0</v>
      </c>
      <c r="R11" s="139">
        <v>0.0</v>
      </c>
      <c r="S11" s="139">
        <v>0.0</v>
      </c>
      <c r="T11" s="139">
        <v>0.0</v>
      </c>
      <c r="U11" s="139">
        <v>0.0</v>
      </c>
      <c r="V11" s="139">
        <v>0.0</v>
      </c>
      <c r="W11" s="139">
        <v>0.0</v>
      </c>
    </row>
    <row r="12">
      <c r="A12" s="184">
        <v>2.0</v>
      </c>
      <c r="B12" s="184">
        <v>300.0</v>
      </c>
      <c r="C12" s="185">
        <v>0.0</v>
      </c>
      <c r="D12" s="184">
        <v>0.0</v>
      </c>
      <c r="E12" s="186">
        <v>0.0</v>
      </c>
      <c r="F12" s="139">
        <v>0.0</v>
      </c>
      <c r="G12" s="139">
        <v>0.0</v>
      </c>
      <c r="H12" s="139">
        <v>0.0</v>
      </c>
      <c r="I12" s="139">
        <v>0.0</v>
      </c>
      <c r="J12" s="139">
        <v>0.0</v>
      </c>
      <c r="K12" s="139">
        <v>0.0</v>
      </c>
      <c r="L12" s="139">
        <v>0.0</v>
      </c>
      <c r="M12" s="139">
        <v>0.0</v>
      </c>
      <c r="N12" s="139">
        <v>0.0</v>
      </c>
      <c r="O12" s="139">
        <v>0.0</v>
      </c>
      <c r="P12" s="139">
        <v>0.0</v>
      </c>
      <c r="Q12" s="139">
        <v>0.0</v>
      </c>
      <c r="R12" s="139">
        <v>0.0</v>
      </c>
      <c r="S12" s="139">
        <v>0.0</v>
      </c>
      <c r="T12" s="139">
        <v>0.0</v>
      </c>
      <c r="U12" s="139">
        <v>0.0</v>
      </c>
      <c r="V12" s="139">
        <v>0.0</v>
      </c>
      <c r="W12" s="139">
        <v>0.0</v>
      </c>
    </row>
    <row r="13">
      <c r="A13" s="184">
        <v>3.0</v>
      </c>
      <c r="B13" s="184">
        <v>500.0</v>
      </c>
      <c r="C13" s="185">
        <v>0.0</v>
      </c>
      <c r="D13" s="184">
        <v>0.0</v>
      </c>
      <c r="E13" s="186">
        <v>0.0</v>
      </c>
      <c r="F13" s="139">
        <v>0.0</v>
      </c>
      <c r="G13" s="139">
        <v>0.0</v>
      </c>
      <c r="H13" s="139">
        <v>0.0</v>
      </c>
      <c r="I13" s="139">
        <v>0.0</v>
      </c>
      <c r="J13" s="139">
        <v>0.0</v>
      </c>
      <c r="K13" s="139">
        <v>0.0</v>
      </c>
      <c r="L13" s="139">
        <v>0.0</v>
      </c>
      <c r="M13" s="139">
        <v>0.0</v>
      </c>
      <c r="N13" s="139">
        <v>0.0</v>
      </c>
      <c r="O13" s="139">
        <v>0.0</v>
      </c>
      <c r="P13" s="139">
        <v>0.0</v>
      </c>
      <c r="Q13" s="139">
        <v>0.0</v>
      </c>
      <c r="R13" s="139">
        <v>0.0</v>
      </c>
      <c r="S13" s="139">
        <v>0.0</v>
      </c>
      <c r="T13" s="139">
        <v>0.0</v>
      </c>
      <c r="U13" s="139">
        <v>0.0</v>
      </c>
      <c r="V13" s="139">
        <v>0.0</v>
      </c>
      <c r="W13" s="139">
        <v>0.0</v>
      </c>
    </row>
    <row r="14">
      <c r="A14" s="184">
        <v>4.0</v>
      </c>
      <c r="B14" s="184">
        <v>700.0</v>
      </c>
      <c r="C14" s="185">
        <v>0.0</v>
      </c>
      <c r="D14" s="184">
        <v>0.0</v>
      </c>
      <c r="E14" s="186">
        <v>0.0</v>
      </c>
      <c r="F14" s="139">
        <v>0.0</v>
      </c>
      <c r="G14" s="139">
        <v>0.0</v>
      </c>
      <c r="H14" s="139">
        <v>0.0</v>
      </c>
      <c r="I14" s="139">
        <v>0.0</v>
      </c>
      <c r="J14" s="139">
        <v>0.0</v>
      </c>
      <c r="K14" s="139">
        <v>0.0</v>
      </c>
      <c r="L14" s="139">
        <v>0.0</v>
      </c>
      <c r="M14" s="139">
        <v>0.0</v>
      </c>
      <c r="N14" s="139">
        <v>0.0</v>
      </c>
      <c r="O14" s="139">
        <v>0.0</v>
      </c>
      <c r="P14" s="139">
        <v>0.0</v>
      </c>
      <c r="Q14" s="139">
        <v>0.0</v>
      </c>
      <c r="R14" s="139">
        <v>0.0</v>
      </c>
      <c r="S14" s="139">
        <v>0.0</v>
      </c>
      <c r="T14" s="139">
        <v>0.0</v>
      </c>
      <c r="U14" s="139">
        <v>0.0</v>
      </c>
      <c r="V14" s="139">
        <v>0.0</v>
      </c>
      <c r="W14" s="139">
        <v>0.0</v>
      </c>
    </row>
    <row r="15">
      <c r="A15" s="184">
        <v>5.0</v>
      </c>
      <c r="B15" s="184">
        <v>2000.0</v>
      </c>
      <c r="C15" s="185">
        <v>0.0</v>
      </c>
      <c r="D15" s="184">
        <v>0.0</v>
      </c>
      <c r="E15" s="186">
        <v>0.0</v>
      </c>
      <c r="F15" s="139">
        <v>0.0</v>
      </c>
      <c r="G15" s="139">
        <v>0.0</v>
      </c>
      <c r="H15" s="139">
        <v>0.0</v>
      </c>
      <c r="I15" s="139">
        <v>0.0</v>
      </c>
      <c r="J15" s="139">
        <v>0.0</v>
      </c>
      <c r="K15" s="139">
        <v>0.0</v>
      </c>
      <c r="L15" s="139">
        <v>0.0</v>
      </c>
      <c r="M15" s="139">
        <v>0.0</v>
      </c>
      <c r="N15" s="139">
        <v>0.0</v>
      </c>
      <c r="O15" s="139">
        <v>0.0</v>
      </c>
      <c r="P15" s="139">
        <v>0.0</v>
      </c>
      <c r="Q15" s="139">
        <v>0.0</v>
      </c>
      <c r="R15" s="139">
        <v>0.0</v>
      </c>
      <c r="S15" s="139">
        <v>0.0</v>
      </c>
      <c r="T15" s="139">
        <v>0.0</v>
      </c>
      <c r="U15" s="139">
        <v>0.0</v>
      </c>
      <c r="V15" s="139">
        <v>0.0</v>
      </c>
      <c r="W15" s="139">
        <v>0.0</v>
      </c>
    </row>
    <row r="16">
      <c r="A16" s="184">
        <v>6.0</v>
      </c>
      <c r="B16" s="184">
        <v>3000.0</v>
      </c>
      <c r="C16" s="185">
        <v>0.0</v>
      </c>
      <c r="D16" s="184">
        <v>0.0</v>
      </c>
      <c r="E16" s="186">
        <v>0.0</v>
      </c>
      <c r="F16" s="139">
        <v>0.0</v>
      </c>
      <c r="G16" s="139">
        <v>0.0</v>
      </c>
      <c r="H16" s="139">
        <v>0.0</v>
      </c>
      <c r="I16" s="139">
        <v>0.0</v>
      </c>
      <c r="J16" s="139">
        <v>0.0</v>
      </c>
      <c r="K16" s="139">
        <v>0.0</v>
      </c>
      <c r="L16" s="139">
        <v>0.0</v>
      </c>
      <c r="M16" s="139">
        <v>0.0</v>
      </c>
      <c r="N16" s="139">
        <v>0.0</v>
      </c>
      <c r="O16" s="139">
        <v>0.0</v>
      </c>
      <c r="P16" s="139">
        <v>0.0</v>
      </c>
      <c r="Q16" s="139">
        <v>0.0</v>
      </c>
      <c r="R16" s="139">
        <v>0.0</v>
      </c>
      <c r="S16" s="139">
        <v>0.0</v>
      </c>
      <c r="T16" s="139">
        <v>0.0</v>
      </c>
      <c r="U16" s="139">
        <v>0.0</v>
      </c>
      <c r="V16" s="139">
        <v>0.0</v>
      </c>
      <c r="W16" s="139">
        <v>0.0</v>
      </c>
    </row>
    <row r="17">
      <c r="A17" s="184">
        <v>7.0</v>
      </c>
      <c r="B17" s="184">
        <v>4000.0</v>
      </c>
      <c r="C17" s="185">
        <v>0.0</v>
      </c>
      <c r="D17" s="184">
        <v>0.0</v>
      </c>
      <c r="E17" s="186">
        <v>0.0</v>
      </c>
      <c r="F17" s="139">
        <v>0.0</v>
      </c>
      <c r="G17" s="139">
        <v>0.0</v>
      </c>
      <c r="H17" s="139">
        <v>0.0</v>
      </c>
      <c r="I17" s="139">
        <v>0.0</v>
      </c>
      <c r="J17" s="139">
        <v>0.0</v>
      </c>
      <c r="K17" s="139">
        <v>0.0</v>
      </c>
      <c r="L17" s="139">
        <v>0.0</v>
      </c>
      <c r="M17" s="139">
        <v>0.0</v>
      </c>
      <c r="N17" s="139">
        <v>0.0</v>
      </c>
      <c r="O17" s="139">
        <v>0.0</v>
      </c>
      <c r="P17" s="139">
        <v>0.0</v>
      </c>
      <c r="Q17" s="139">
        <v>0.0</v>
      </c>
      <c r="R17" s="139">
        <v>0.0</v>
      </c>
      <c r="S17" s="139">
        <v>0.0</v>
      </c>
      <c r="T17" s="139">
        <v>0.0</v>
      </c>
      <c r="U17" s="139">
        <v>0.0</v>
      </c>
      <c r="V17" s="139">
        <v>0.0</v>
      </c>
      <c r="W17" s="139">
        <v>0.0</v>
      </c>
    </row>
    <row r="18">
      <c r="A18" s="184">
        <v>8.0</v>
      </c>
      <c r="B18" s="184">
        <v>5500.0</v>
      </c>
      <c r="C18" s="185">
        <v>0.0</v>
      </c>
      <c r="D18" s="184">
        <v>0.0</v>
      </c>
      <c r="E18" s="186">
        <v>0.0</v>
      </c>
      <c r="F18" s="139">
        <v>0.0</v>
      </c>
      <c r="G18" s="139">
        <v>0.0</v>
      </c>
      <c r="H18" s="139">
        <v>0.0</v>
      </c>
      <c r="I18" s="139">
        <v>0.0</v>
      </c>
      <c r="J18" s="139">
        <v>0.0</v>
      </c>
      <c r="K18" s="139">
        <v>0.0</v>
      </c>
      <c r="L18" s="139">
        <v>0.0</v>
      </c>
      <c r="M18" s="139">
        <v>0.0</v>
      </c>
      <c r="N18" s="139">
        <v>0.0</v>
      </c>
      <c r="O18" s="139">
        <v>0.0</v>
      </c>
      <c r="P18" s="139">
        <v>0.0</v>
      </c>
      <c r="Q18" s="139">
        <v>0.0</v>
      </c>
      <c r="R18" s="139">
        <v>0.0</v>
      </c>
      <c r="S18" s="139">
        <v>0.0</v>
      </c>
      <c r="T18" s="139">
        <v>0.0</v>
      </c>
      <c r="U18" s="139">
        <v>0.0</v>
      </c>
      <c r="V18" s="139">
        <v>0.0</v>
      </c>
      <c r="W18" s="139">
        <v>0.0</v>
      </c>
    </row>
    <row r="19">
      <c r="A19" s="184">
        <v>9.0</v>
      </c>
      <c r="B19" s="184">
        <v>7000.0</v>
      </c>
      <c r="C19" s="185">
        <v>0.0</v>
      </c>
      <c r="D19" s="184">
        <v>0.0</v>
      </c>
      <c r="E19" s="186">
        <v>0.0</v>
      </c>
      <c r="F19" s="139">
        <v>0.0</v>
      </c>
      <c r="G19" s="139">
        <v>0.0</v>
      </c>
      <c r="H19" s="139">
        <v>0.0</v>
      </c>
      <c r="I19" s="139">
        <v>0.0</v>
      </c>
      <c r="J19" s="139">
        <v>0.0</v>
      </c>
      <c r="K19" s="139">
        <v>0.0</v>
      </c>
      <c r="L19" s="139">
        <v>0.0</v>
      </c>
      <c r="M19" s="139">
        <v>0.0</v>
      </c>
      <c r="N19" s="139">
        <v>0.0</v>
      </c>
      <c r="O19" s="139">
        <v>0.0</v>
      </c>
      <c r="P19" s="139">
        <v>0.0</v>
      </c>
      <c r="Q19" s="139">
        <v>0.0</v>
      </c>
      <c r="R19" s="139">
        <v>0.0</v>
      </c>
      <c r="S19" s="139">
        <v>0.0</v>
      </c>
      <c r="T19" s="139">
        <v>0.0</v>
      </c>
      <c r="U19" s="139">
        <v>0.0</v>
      </c>
      <c r="V19" s="139">
        <v>0.0</v>
      </c>
      <c r="W19" s="139">
        <v>0.0</v>
      </c>
    </row>
    <row r="20">
      <c r="A20" s="184">
        <v>10.0</v>
      </c>
      <c r="B20" s="184">
        <v>8500.0</v>
      </c>
      <c r="C20" s="185">
        <v>0.0</v>
      </c>
      <c r="D20" s="184">
        <v>0.0</v>
      </c>
      <c r="E20" s="186">
        <v>0.0</v>
      </c>
      <c r="F20" s="139">
        <v>0.0</v>
      </c>
      <c r="G20" s="139">
        <v>0.0</v>
      </c>
      <c r="H20" s="139">
        <v>0.0</v>
      </c>
      <c r="I20" s="139">
        <v>0.0</v>
      </c>
      <c r="J20" s="139">
        <v>0.0</v>
      </c>
      <c r="K20" s="139">
        <v>0.0</v>
      </c>
      <c r="L20" s="139">
        <v>0.0</v>
      </c>
      <c r="M20" s="139">
        <v>0.0</v>
      </c>
      <c r="N20" s="139">
        <v>0.0</v>
      </c>
      <c r="O20" s="139">
        <v>0.0</v>
      </c>
      <c r="P20" s="139">
        <v>0.0</v>
      </c>
      <c r="Q20" s="139">
        <v>0.0</v>
      </c>
      <c r="R20" s="139">
        <v>0.0</v>
      </c>
      <c r="S20" s="139">
        <v>0.0</v>
      </c>
      <c r="T20" s="139">
        <v>0.0</v>
      </c>
      <c r="U20" s="139">
        <v>0.0</v>
      </c>
      <c r="V20" s="139">
        <v>0.0</v>
      </c>
      <c r="W20" s="139">
        <v>0.0</v>
      </c>
    </row>
    <row r="21">
      <c r="A21" s="184">
        <v>11.0</v>
      </c>
      <c r="B21" s="184">
        <v>10000.0</v>
      </c>
      <c r="C21" s="185">
        <v>0.0</v>
      </c>
      <c r="D21" s="184">
        <v>0.0</v>
      </c>
      <c r="E21" s="186">
        <v>0.0</v>
      </c>
      <c r="F21" s="139">
        <v>0.0</v>
      </c>
      <c r="G21" s="139">
        <v>0.0</v>
      </c>
      <c r="H21" s="139">
        <v>0.0</v>
      </c>
      <c r="I21" s="139">
        <v>0.0</v>
      </c>
      <c r="J21" s="139">
        <v>0.0</v>
      </c>
      <c r="K21" s="139">
        <v>0.0</v>
      </c>
      <c r="L21" s="139">
        <v>0.0</v>
      </c>
      <c r="M21" s="139">
        <v>0.0</v>
      </c>
      <c r="N21" s="139">
        <v>0.0</v>
      </c>
      <c r="O21" s="139">
        <v>0.0</v>
      </c>
      <c r="P21" s="139">
        <v>0.0</v>
      </c>
      <c r="Q21" s="139">
        <v>0.0</v>
      </c>
      <c r="R21" s="139">
        <v>0.0</v>
      </c>
      <c r="S21" s="139">
        <v>0.0</v>
      </c>
      <c r="T21" s="139">
        <v>0.0</v>
      </c>
      <c r="U21" s="139">
        <v>0.0</v>
      </c>
      <c r="V21" s="139">
        <v>0.0</v>
      </c>
      <c r="W21" s="139">
        <v>0.0</v>
      </c>
    </row>
    <row r="22">
      <c r="A22" s="184">
        <v>12.0</v>
      </c>
      <c r="B22" s="184">
        <v>11500.0</v>
      </c>
      <c r="C22" s="185">
        <v>0.0</v>
      </c>
      <c r="D22" s="184">
        <v>0.0</v>
      </c>
      <c r="E22" s="186">
        <v>0.0</v>
      </c>
      <c r="F22" s="139">
        <v>0.0</v>
      </c>
      <c r="G22" s="139">
        <v>0.0</v>
      </c>
      <c r="H22" s="139">
        <v>0.0</v>
      </c>
      <c r="I22" s="139">
        <v>0.0</v>
      </c>
      <c r="J22" s="139">
        <v>0.0</v>
      </c>
      <c r="K22" s="139">
        <v>0.0</v>
      </c>
      <c r="L22" s="139">
        <v>0.0</v>
      </c>
      <c r="M22" s="139">
        <v>0.0</v>
      </c>
      <c r="N22" s="139">
        <v>0.0</v>
      </c>
      <c r="O22" s="139">
        <v>0.0</v>
      </c>
      <c r="P22" s="139">
        <v>0.0</v>
      </c>
      <c r="Q22" s="139">
        <v>0.0</v>
      </c>
      <c r="R22" s="139">
        <v>0.0</v>
      </c>
      <c r="S22" s="139">
        <v>0.0</v>
      </c>
      <c r="T22" s="139">
        <v>0.0</v>
      </c>
      <c r="U22" s="139">
        <v>0.0</v>
      </c>
      <c r="V22" s="139">
        <v>0.0</v>
      </c>
      <c r="W22" s="139">
        <v>0.0</v>
      </c>
    </row>
    <row r="23">
      <c r="A23" s="184">
        <v>13.0</v>
      </c>
      <c r="B23" s="184">
        <v>13000.0</v>
      </c>
      <c r="C23" s="185">
        <v>0.0</v>
      </c>
      <c r="D23" s="184">
        <v>0.0</v>
      </c>
      <c r="E23" s="186">
        <v>0.0</v>
      </c>
      <c r="F23" s="139">
        <v>0.0</v>
      </c>
      <c r="G23" s="139">
        <v>0.0</v>
      </c>
      <c r="H23" s="139">
        <v>0.0</v>
      </c>
      <c r="I23" s="139">
        <v>0.0</v>
      </c>
      <c r="J23" s="139">
        <v>0.0</v>
      </c>
      <c r="K23" s="139">
        <v>0.0</v>
      </c>
      <c r="L23" s="139">
        <v>0.0</v>
      </c>
      <c r="M23" s="139">
        <v>0.0</v>
      </c>
      <c r="N23" s="139">
        <v>0.0</v>
      </c>
      <c r="O23" s="139">
        <v>0.0</v>
      </c>
      <c r="P23" s="139">
        <v>0.0</v>
      </c>
      <c r="Q23" s="139">
        <v>0.0</v>
      </c>
      <c r="R23" s="139">
        <v>0.0</v>
      </c>
      <c r="S23" s="139">
        <v>0.0</v>
      </c>
      <c r="T23" s="139">
        <v>0.0</v>
      </c>
      <c r="U23" s="139">
        <v>0.0</v>
      </c>
      <c r="V23" s="139">
        <v>0.0</v>
      </c>
      <c r="W23" s="139">
        <v>0.0</v>
      </c>
    </row>
    <row r="24">
      <c r="A24" s="184">
        <v>14.0</v>
      </c>
      <c r="B24" s="184">
        <v>14500.0</v>
      </c>
      <c r="C24" s="185">
        <v>0.0</v>
      </c>
      <c r="D24" s="184">
        <v>0.0</v>
      </c>
      <c r="E24" s="186">
        <v>0.0</v>
      </c>
      <c r="F24" s="139">
        <v>0.0</v>
      </c>
      <c r="G24" s="139">
        <v>0.0</v>
      </c>
      <c r="H24" s="139">
        <v>0.0</v>
      </c>
      <c r="I24" s="139">
        <v>0.0</v>
      </c>
      <c r="J24" s="139">
        <v>0.0</v>
      </c>
      <c r="K24" s="139">
        <v>0.0</v>
      </c>
      <c r="L24" s="139">
        <v>0.0</v>
      </c>
      <c r="M24" s="139">
        <v>0.0</v>
      </c>
      <c r="N24" s="139">
        <v>0.0</v>
      </c>
      <c r="O24" s="139">
        <v>0.0</v>
      </c>
      <c r="P24" s="139">
        <v>0.0</v>
      </c>
      <c r="Q24" s="139">
        <v>0.0</v>
      </c>
      <c r="R24" s="139">
        <v>0.0</v>
      </c>
      <c r="S24" s="139">
        <v>0.0</v>
      </c>
      <c r="T24" s="139">
        <v>0.0</v>
      </c>
      <c r="U24" s="139">
        <v>0.0</v>
      </c>
      <c r="V24" s="139">
        <v>0.0</v>
      </c>
      <c r="W24" s="139">
        <v>0.0</v>
      </c>
    </row>
    <row r="25">
      <c r="A25" s="184">
        <v>15.0</v>
      </c>
      <c r="B25" s="184">
        <v>16000.0</v>
      </c>
      <c r="C25" s="185">
        <v>0.0</v>
      </c>
      <c r="D25" s="184">
        <v>0.0</v>
      </c>
      <c r="E25" s="186">
        <v>0.0</v>
      </c>
      <c r="F25" s="139">
        <v>0.0</v>
      </c>
      <c r="G25" s="139">
        <v>0.0</v>
      </c>
      <c r="H25" s="139">
        <v>0.0</v>
      </c>
      <c r="I25" s="139">
        <v>0.0</v>
      </c>
      <c r="J25" s="139">
        <v>0.0</v>
      </c>
      <c r="K25" s="139">
        <v>0.0</v>
      </c>
      <c r="L25" s="139">
        <v>0.0</v>
      </c>
      <c r="M25" s="139">
        <v>0.0</v>
      </c>
      <c r="N25" s="139">
        <v>0.0</v>
      </c>
      <c r="O25" s="139">
        <v>0.0</v>
      </c>
      <c r="P25" s="139">
        <v>0.0</v>
      </c>
      <c r="Q25" s="139">
        <v>0.0</v>
      </c>
      <c r="R25" s="139">
        <v>0.0</v>
      </c>
      <c r="S25" s="139">
        <v>0.0</v>
      </c>
      <c r="T25" s="139">
        <v>0.0</v>
      </c>
      <c r="U25" s="139">
        <v>0.0</v>
      </c>
      <c r="V25" s="139">
        <v>0.0</v>
      </c>
      <c r="W25" s="139">
        <v>0.0</v>
      </c>
    </row>
    <row r="26">
      <c r="A26" s="184">
        <v>16.0</v>
      </c>
      <c r="B26" s="184">
        <v>17500.0</v>
      </c>
      <c r="C26" s="185">
        <v>0.0</v>
      </c>
      <c r="D26" s="184">
        <v>0.0</v>
      </c>
      <c r="E26" s="186">
        <v>0.0</v>
      </c>
      <c r="F26" s="139">
        <v>0.0</v>
      </c>
      <c r="G26" s="139">
        <v>0.0</v>
      </c>
      <c r="H26" s="139">
        <v>0.0</v>
      </c>
      <c r="I26" s="139">
        <v>0.0</v>
      </c>
      <c r="J26" s="139">
        <v>0.0</v>
      </c>
      <c r="K26" s="139">
        <v>0.0</v>
      </c>
      <c r="L26" s="139">
        <v>0.0</v>
      </c>
      <c r="M26" s="139">
        <v>0.0</v>
      </c>
      <c r="N26" s="139">
        <v>0.0</v>
      </c>
      <c r="O26" s="139">
        <v>0.0</v>
      </c>
      <c r="P26" s="139">
        <v>0.0</v>
      </c>
      <c r="Q26" s="139">
        <v>0.0</v>
      </c>
      <c r="R26" s="139">
        <v>0.0</v>
      </c>
      <c r="S26" s="139">
        <v>0.0</v>
      </c>
      <c r="T26" s="139">
        <v>0.0</v>
      </c>
      <c r="U26" s="139">
        <v>0.0</v>
      </c>
      <c r="V26" s="139">
        <v>0.0</v>
      </c>
      <c r="W26" s="139">
        <v>0.0</v>
      </c>
    </row>
    <row r="27">
      <c r="A27" s="184">
        <v>17.0</v>
      </c>
      <c r="B27" s="184">
        <v>19000.0</v>
      </c>
      <c r="C27" s="185">
        <v>0.0</v>
      </c>
      <c r="D27" s="184">
        <v>0.0</v>
      </c>
      <c r="E27" s="186">
        <v>0.0</v>
      </c>
      <c r="F27" s="139">
        <v>0.0</v>
      </c>
      <c r="G27" s="139">
        <v>0.0</v>
      </c>
      <c r="H27" s="139">
        <v>0.0</v>
      </c>
      <c r="I27" s="139">
        <v>0.0</v>
      </c>
      <c r="J27" s="139">
        <v>0.0</v>
      </c>
      <c r="K27" s="139">
        <v>0.0</v>
      </c>
      <c r="L27" s="139">
        <v>0.0</v>
      </c>
      <c r="M27" s="139">
        <v>0.0</v>
      </c>
      <c r="N27" s="139">
        <v>0.0</v>
      </c>
      <c r="O27" s="139">
        <v>0.0</v>
      </c>
      <c r="P27" s="139">
        <v>0.0</v>
      </c>
      <c r="Q27" s="139">
        <v>0.0</v>
      </c>
      <c r="R27" s="139">
        <v>0.0</v>
      </c>
      <c r="S27" s="139">
        <v>0.0</v>
      </c>
      <c r="T27" s="139">
        <v>0.0</v>
      </c>
      <c r="U27" s="139">
        <v>0.0</v>
      </c>
      <c r="V27" s="139">
        <v>0.0</v>
      </c>
      <c r="W27" s="139">
        <v>0.0</v>
      </c>
    </row>
    <row r="28">
      <c r="A28" s="184">
        <v>18.0</v>
      </c>
      <c r="B28" s="184">
        <v>20500.0</v>
      </c>
      <c r="C28" s="185">
        <v>0.0</v>
      </c>
      <c r="D28" s="184">
        <v>0.0</v>
      </c>
      <c r="E28" s="186">
        <v>0.0</v>
      </c>
      <c r="F28" s="139">
        <v>0.0</v>
      </c>
      <c r="G28" s="139">
        <v>0.0</v>
      </c>
      <c r="H28" s="139">
        <v>0.0</v>
      </c>
      <c r="I28" s="139">
        <v>0.0</v>
      </c>
      <c r="J28" s="139">
        <v>0.0</v>
      </c>
      <c r="K28" s="139">
        <v>0.0</v>
      </c>
      <c r="L28" s="139">
        <v>0.0</v>
      </c>
      <c r="M28" s="139">
        <v>0.0</v>
      </c>
      <c r="N28" s="139">
        <v>0.0</v>
      </c>
      <c r="O28" s="139">
        <v>0.0</v>
      </c>
      <c r="P28" s="139">
        <v>0.0</v>
      </c>
      <c r="Q28" s="139">
        <v>0.0</v>
      </c>
      <c r="R28" s="139">
        <v>0.0</v>
      </c>
      <c r="S28" s="139">
        <v>0.0</v>
      </c>
      <c r="T28" s="139">
        <v>0.0</v>
      </c>
      <c r="U28" s="139">
        <v>0.0</v>
      </c>
      <c r="V28" s="139">
        <v>0.0</v>
      </c>
      <c r="W28" s="139">
        <v>0.0</v>
      </c>
    </row>
    <row r="29">
      <c r="A29" s="184">
        <v>19.0</v>
      </c>
      <c r="B29" s="184">
        <v>22000.0</v>
      </c>
      <c r="C29" s="185">
        <v>0.0</v>
      </c>
      <c r="D29" s="184">
        <v>0.0</v>
      </c>
      <c r="E29" s="186">
        <v>0.0</v>
      </c>
      <c r="F29" s="139">
        <v>0.0</v>
      </c>
      <c r="G29" s="139">
        <v>0.0</v>
      </c>
      <c r="H29" s="139">
        <v>0.0</v>
      </c>
      <c r="I29" s="139">
        <v>0.0</v>
      </c>
      <c r="J29" s="139">
        <v>0.0</v>
      </c>
      <c r="K29" s="139">
        <v>0.0</v>
      </c>
      <c r="L29" s="139">
        <v>0.0</v>
      </c>
      <c r="M29" s="139">
        <v>0.0</v>
      </c>
      <c r="N29" s="139">
        <v>0.0</v>
      </c>
      <c r="O29" s="139">
        <v>0.0</v>
      </c>
      <c r="P29" s="139">
        <v>0.0</v>
      </c>
      <c r="Q29" s="139">
        <v>0.0</v>
      </c>
      <c r="R29" s="139">
        <v>0.0</v>
      </c>
      <c r="S29" s="139">
        <v>0.0</v>
      </c>
      <c r="T29" s="139">
        <v>0.0</v>
      </c>
      <c r="U29" s="139">
        <v>0.0</v>
      </c>
      <c r="V29" s="139">
        <v>0.0</v>
      </c>
      <c r="W29" s="139">
        <v>0.0</v>
      </c>
    </row>
    <row r="30">
      <c r="A30" s="184">
        <v>20.0</v>
      </c>
      <c r="B30" s="184">
        <v>23500.0</v>
      </c>
      <c r="C30" s="185">
        <v>0.0</v>
      </c>
      <c r="D30" s="184">
        <v>0.0</v>
      </c>
      <c r="E30" s="186">
        <v>0.0</v>
      </c>
      <c r="F30" s="139">
        <v>0.0</v>
      </c>
      <c r="G30" s="139">
        <v>0.0</v>
      </c>
      <c r="H30" s="139">
        <v>0.0</v>
      </c>
      <c r="I30" s="139">
        <v>0.0</v>
      </c>
      <c r="J30" s="139">
        <v>0.0</v>
      </c>
      <c r="K30" s="139">
        <v>0.0</v>
      </c>
      <c r="L30" s="139">
        <v>0.0</v>
      </c>
      <c r="M30" s="139">
        <v>0.0</v>
      </c>
      <c r="N30" s="139">
        <v>0.0</v>
      </c>
      <c r="O30" s="139">
        <v>0.0</v>
      </c>
      <c r="P30" s="139">
        <v>0.0</v>
      </c>
      <c r="Q30" s="139">
        <v>0.0</v>
      </c>
      <c r="R30" s="139">
        <v>0.0</v>
      </c>
      <c r="S30" s="139">
        <v>0.0</v>
      </c>
      <c r="T30" s="139">
        <v>0.0</v>
      </c>
      <c r="U30" s="139">
        <v>0.0</v>
      </c>
      <c r="V30" s="139">
        <v>0.0</v>
      </c>
      <c r="W30" s="139">
        <v>0.0</v>
      </c>
    </row>
    <row r="34">
      <c r="A34" s="91" t="s">
        <v>296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</row>
    <row r="35">
      <c r="A35" s="187" t="s">
        <v>297</v>
      </c>
      <c r="C35" s="188" t="s">
        <v>19</v>
      </c>
      <c r="D35" s="116" t="s">
        <v>5</v>
      </c>
      <c r="E35" s="116" t="s">
        <v>77</v>
      </c>
      <c r="F35" s="116" t="s">
        <v>6</v>
      </c>
      <c r="G35" s="116" t="s">
        <v>7</v>
      </c>
      <c r="H35" s="116" t="s">
        <v>8</v>
      </c>
      <c r="I35" s="116" t="s">
        <v>9</v>
      </c>
      <c r="J35" s="116" t="s">
        <v>10</v>
      </c>
      <c r="K35" s="116" t="s">
        <v>11</v>
      </c>
      <c r="L35" s="116" t="s">
        <v>12</v>
      </c>
      <c r="M35" s="116" t="s">
        <v>13</v>
      </c>
      <c r="N35" s="116" t="s">
        <v>14</v>
      </c>
      <c r="O35" s="116" t="s">
        <v>15</v>
      </c>
      <c r="P35" s="99" t="s">
        <v>92</v>
      </c>
      <c r="Q35" s="99" t="s">
        <v>78</v>
      </c>
      <c r="R35" s="99" t="s">
        <v>79</v>
      </c>
      <c r="S35" s="99" t="s">
        <v>80</v>
      </c>
      <c r="T35" s="99" t="s">
        <v>81</v>
      </c>
      <c r="U35" s="99" t="s">
        <v>82</v>
      </c>
      <c r="V35" s="99" t="s">
        <v>83</v>
      </c>
      <c r="W35" s="99" t="s">
        <v>84</v>
      </c>
    </row>
    <row r="36">
      <c r="A36" s="189">
        <v>1.0</v>
      </c>
      <c r="C36" s="190">
        <v>200.0</v>
      </c>
      <c r="D36" s="139">
        <v>0.0</v>
      </c>
      <c r="E36" s="139">
        <v>0.0</v>
      </c>
      <c r="F36" s="139">
        <v>0.0</v>
      </c>
      <c r="G36" s="139">
        <v>0.0</v>
      </c>
      <c r="H36" s="139">
        <v>0.0</v>
      </c>
      <c r="I36" s="139">
        <v>0.0</v>
      </c>
      <c r="J36" s="139">
        <v>0.0</v>
      </c>
      <c r="K36" s="139">
        <v>1.0</v>
      </c>
      <c r="L36" s="139">
        <v>0.0</v>
      </c>
      <c r="M36" s="139">
        <v>0.0</v>
      </c>
      <c r="N36" s="139">
        <v>0.0</v>
      </c>
      <c r="O36" s="139">
        <v>0.0</v>
      </c>
      <c r="P36" s="101">
        <v>0.0</v>
      </c>
      <c r="Q36" s="101">
        <v>0.0</v>
      </c>
      <c r="R36" s="101">
        <v>0.0</v>
      </c>
      <c r="S36" s="101">
        <v>0.0</v>
      </c>
      <c r="T36" s="101">
        <v>0.0</v>
      </c>
      <c r="U36" s="101">
        <v>0.0</v>
      </c>
      <c r="V36" s="101">
        <v>0.0</v>
      </c>
      <c r="W36" s="101">
        <v>0.0</v>
      </c>
    </row>
    <row r="37">
      <c r="A37" s="189">
        <v>2.0</v>
      </c>
      <c r="C37" s="190">
        <v>100.0</v>
      </c>
      <c r="D37" s="139">
        <v>0.0</v>
      </c>
      <c r="E37" s="139">
        <v>0.0</v>
      </c>
      <c r="F37" s="139">
        <v>0.0</v>
      </c>
      <c r="G37" s="139">
        <v>0.0</v>
      </c>
      <c r="H37" s="139">
        <v>0.0</v>
      </c>
      <c r="I37" s="139">
        <v>0.0</v>
      </c>
      <c r="J37" s="139">
        <v>1.0</v>
      </c>
      <c r="K37" s="139">
        <v>0.0</v>
      </c>
      <c r="L37" s="139">
        <v>0.0</v>
      </c>
      <c r="M37" s="139">
        <v>0.0</v>
      </c>
      <c r="N37" s="139">
        <v>0.0</v>
      </c>
      <c r="O37" s="139">
        <v>0.0</v>
      </c>
      <c r="P37" s="101">
        <v>0.0</v>
      </c>
      <c r="Q37" s="101">
        <v>0.0</v>
      </c>
      <c r="R37" s="101">
        <v>0.0</v>
      </c>
      <c r="S37" s="101">
        <v>0.0</v>
      </c>
      <c r="T37" s="101">
        <v>0.0</v>
      </c>
      <c r="U37" s="101">
        <v>0.0</v>
      </c>
      <c r="V37" s="101">
        <v>0.0</v>
      </c>
      <c r="W37" s="101">
        <v>0.0</v>
      </c>
    </row>
    <row r="38">
      <c r="A38" s="189">
        <v>3.0</v>
      </c>
      <c r="C38" s="190">
        <v>50.0</v>
      </c>
      <c r="D38" s="139">
        <v>0.0</v>
      </c>
      <c r="E38" s="139">
        <v>0.0</v>
      </c>
      <c r="F38" s="139">
        <v>0.0</v>
      </c>
      <c r="G38" s="139">
        <v>0.0</v>
      </c>
      <c r="H38" s="139">
        <v>0.0</v>
      </c>
      <c r="I38" s="139">
        <v>1.0</v>
      </c>
      <c r="J38" s="139">
        <v>0.0</v>
      </c>
      <c r="K38" s="139">
        <v>0.0</v>
      </c>
      <c r="L38" s="139">
        <v>0.0</v>
      </c>
      <c r="M38" s="139">
        <v>0.0</v>
      </c>
      <c r="N38" s="139">
        <v>0.0</v>
      </c>
      <c r="O38" s="139">
        <v>0.0</v>
      </c>
      <c r="P38" s="101">
        <v>0.0</v>
      </c>
      <c r="Q38" s="101">
        <v>0.0</v>
      </c>
      <c r="R38" s="101">
        <v>0.0</v>
      </c>
      <c r="S38" s="101">
        <v>0.0</v>
      </c>
      <c r="T38" s="101">
        <v>0.0</v>
      </c>
      <c r="U38" s="101">
        <v>0.0</v>
      </c>
      <c r="V38" s="101">
        <v>0.0</v>
      </c>
      <c r="W38" s="101">
        <v>0.0</v>
      </c>
    </row>
    <row r="39">
      <c r="A39" s="189">
        <v>4.0</v>
      </c>
      <c r="C39" s="190">
        <v>0.0</v>
      </c>
      <c r="D39" s="139">
        <v>0.0</v>
      </c>
      <c r="E39" s="139">
        <v>0.0</v>
      </c>
      <c r="F39" s="139">
        <v>0.0</v>
      </c>
      <c r="G39" s="139">
        <v>0.0</v>
      </c>
      <c r="H39" s="139">
        <v>0.0</v>
      </c>
      <c r="I39" s="139">
        <v>0.0</v>
      </c>
      <c r="J39" s="139">
        <v>1.0</v>
      </c>
      <c r="K39" s="139">
        <v>0.0</v>
      </c>
      <c r="L39" s="139">
        <v>0.0</v>
      </c>
      <c r="M39" s="139">
        <v>0.0</v>
      </c>
      <c r="N39" s="139">
        <v>0.0</v>
      </c>
      <c r="O39" s="139">
        <v>0.0</v>
      </c>
      <c r="P39" s="101">
        <v>0.0</v>
      </c>
      <c r="Q39" s="101">
        <v>0.0</v>
      </c>
      <c r="R39" s="101">
        <v>0.0</v>
      </c>
      <c r="S39" s="101">
        <v>0.0</v>
      </c>
      <c r="T39" s="101">
        <v>0.0</v>
      </c>
      <c r="U39" s="101">
        <v>0.0</v>
      </c>
      <c r="V39" s="101">
        <v>0.0</v>
      </c>
      <c r="W39" s="101">
        <v>0.0</v>
      </c>
    </row>
    <row r="40">
      <c r="A40" s="189">
        <v>5.0</v>
      </c>
      <c r="C40" s="190">
        <v>0.0</v>
      </c>
      <c r="D40" s="139">
        <v>0.0</v>
      </c>
      <c r="E40" s="139">
        <v>0.0</v>
      </c>
      <c r="F40" s="139">
        <v>0.0</v>
      </c>
      <c r="G40" s="139">
        <v>0.0</v>
      </c>
      <c r="H40" s="139">
        <v>0.0</v>
      </c>
      <c r="I40" s="139">
        <v>0.0</v>
      </c>
      <c r="J40" s="139">
        <v>1.0</v>
      </c>
      <c r="K40" s="139">
        <v>0.0</v>
      </c>
      <c r="L40" s="139">
        <v>0.0</v>
      </c>
      <c r="M40" s="139">
        <v>0.0</v>
      </c>
      <c r="N40" s="139">
        <v>0.0</v>
      </c>
      <c r="O40" s="139">
        <v>0.0</v>
      </c>
      <c r="P40" s="101">
        <v>0.0</v>
      </c>
      <c r="Q40" s="101">
        <v>0.0</v>
      </c>
      <c r="R40" s="101">
        <v>0.0</v>
      </c>
      <c r="S40" s="101">
        <v>0.0</v>
      </c>
      <c r="T40" s="101">
        <v>0.0</v>
      </c>
      <c r="U40" s="101">
        <v>0.0</v>
      </c>
      <c r="V40" s="101">
        <v>0.0</v>
      </c>
      <c r="W40" s="101">
        <v>0.0</v>
      </c>
    </row>
    <row r="41">
      <c r="A41" s="189">
        <v>6.0</v>
      </c>
      <c r="C41" s="190">
        <v>0.0</v>
      </c>
      <c r="D41" s="139">
        <v>0.0</v>
      </c>
      <c r="E41" s="139">
        <v>0.0</v>
      </c>
      <c r="F41" s="139">
        <v>0.0</v>
      </c>
      <c r="G41" s="139">
        <v>0.0</v>
      </c>
      <c r="H41" s="139">
        <v>0.0</v>
      </c>
      <c r="I41" s="139">
        <v>1.0</v>
      </c>
      <c r="J41" s="139">
        <v>0.0</v>
      </c>
      <c r="K41" s="139">
        <v>0.0</v>
      </c>
      <c r="L41" s="139">
        <v>0.0</v>
      </c>
      <c r="M41" s="139">
        <v>0.0</v>
      </c>
      <c r="N41" s="139">
        <v>0.0</v>
      </c>
      <c r="O41" s="139">
        <v>0.0</v>
      </c>
      <c r="P41" s="101">
        <v>0.0</v>
      </c>
      <c r="Q41" s="101">
        <v>0.0</v>
      </c>
      <c r="R41" s="101">
        <v>0.0</v>
      </c>
      <c r="S41" s="101">
        <v>0.0</v>
      </c>
      <c r="T41" s="101">
        <v>0.0</v>
      </c>
      <c r="U41" s="101">
        <v>0.0</v>
      </c>
      <c r="V41" s="101">
        <v>0.0</v>
      </c>
      <c r="W41" s="101">
        <v>0.0</v>
      </c>
    </row>
    <row r="42">
      <c r="A42" s="189">
        <v>7.0</v>
      </c>
      <c r="C42" s="190">
        <v>0.0</v>
      </c>
      <c r="D42" s="139">
        <v>0.0</v>
      </c>
      <c r="E42" s="139">
        <v>0.0</v>
      </c>
      <c r="F42" s="139">
        <v>0.0</v>
      </c>
      <c r="G42" s="139">
        <v>0.0</v>
      </c>
      <c r="H42" s="139">
        <v>0.0</v>
      </c>
      <c r="I42" s="139">
        <v>1.0</v>
      </c>
      <c r="J42" s="139">
        <v>0.0</v>
      </c>
      <c r="K42" s="139">
        <v>0.0</v>
      </c>
      <c r="L42" s="139">
        <v>0.0</v>
      </c>
      <c r="M42" s="139">
        <v>0.0</v>
      </c>
      <c r="N42" s="139">
        <v>0.0</v>
      </c>
      <c r="O42" s="139">
        <v>0.0</v>
      </c>
      <c r="P42" s="101">
        <v>0.0</v>
      </c>
      <c r="Q42" s="101">
        <v>0.0</v>
      </c>
      <c r="R42" s="101">
        <v>0.0</v>
      </c>
      <c r="S42" s="101">
        <v>0.0</v>
      </c>
      <c r="T42" s="101">
        <v>0.0</v>
      </c>
      <c r="U42" s="101">
        <v>0.0</v>
      </c>
      <c r="V42" s="101">
        <v>0.0</v>
      </c>
      <c r="W42" s="101">
        <v>0.0</v>
      </c>
    </row>
    <row r="43">
      <c r="A43" s="189">
        <v>8.0</v>
      </c>
      <c r="C43" s="190">
        <v>0.0</v>
      </c>
      <c r="D43" s="139">
        <v>0.0</v>
      </c>
      <c r="E43" s="139">
        <v>0.0</v>
      </c>
      <c r="F43" s="139">
        <v>0.0</v>
      </c>
      <c r="G43" s="139">
        <v>0.0</v>
      </c>
      <c r="H43" s="139">
        <v>0.0</v>
      </c>
      <c r="I43" s="139">
        <v>1.0</v>
      </c>
      <c r="J43" s="139">
        <v>0.0</v>
      </c>
      <c r="K43" s="139">
        <v>0.0</v>
      </c>
      <c r="L43" s="139">
        <v>0.0</v>
      </c>
      <c r="M43" s="139">
        <v>0.0</v>
      </c>
      <c r="N43" s="139">
        <v>0.0</v>
      </c>
      <c r="O43" s="139">
        <v>0.0</v>
      </c>
      <c r="P43" s="101">
        <v>0.0</v>
      </c>
      <c r="Q43" s="101">
        <v>0.0</v>
      </c>
      <c r="R43" s="101">
        <v>0.0</v>
      </c>
      <c r="S43" s="101">
        <v>0.0</v>
      </c>
      <c r="T43" s="101">
        <v>0.0</v>
      </c>
      <c r="U43" s="101">
        <v>0.0</v>
      </c>
      <c r="V43" s="101">
        <v>0.0</v>
      </c>
      <c r="W43" s="101">
        <v>0.0</v>
      </c>
    </row>
    <row r="44">
      <c r="A44" s="189">
        <v>9.0</v>
      </c>
      <c r="C44" s="190">
        <v>0.0</v>
      </c>
      <c r="D44" s="139">
        <v>0.0</v>
      </c>
      <c r="E44" s="139">
        <v>0.0</v>
      </c>
      <c r="F44" s="139">
        <v>0.0</v>
      </c>
      <c r="G44" s="139">
        <v>0.0</v>
      </c>
      <c r="H44" s="139">
        <v>0.0</v>
      </c>
      <c r="I44" s="139">
        <v>1.0</v>
      </c>
      <c r="J44" s="139">
        <v>0.0</v>
      </c>
      <c r="K44" s="139">
        <v>0.0</v>
      </c>
      <c r="L44" s="139">
        <v>0.0</v>
      </c>
      <c r="M44" s="139">
        <v>0.0</v>
      </c>
      <c r="N44" s="139">
        <v>0.0</v>
      </c>
      <c r="O44" s="139">
        <v>0.0</v>
      </c>
      <c r="P44" s="101">
        <v>0.0</v>
      </c>
      <c r="Q44" s="101">
        <v>0.0</v>
      </c>
      <c r="R44" s="101">
        <v>0.0</v>
      </c>
      <c r="S44" s="101">
        <v>0.0</v>
      </c>
      <c r="T44" s="101">
        <v>0.0</v>
      </c>
      <c r="U44" s="101">
        <v>0.0</v>
      </c>
      <c r="V44" s="101">
        <v>0.0</v>
      </c>
      <c r="W44" s="101">
        <v>0.0</v>
      </c>
    </row>
    <row r="45">
      <c r="A45" s="189">
        <v>10.0</v>
      </c>
      <c r="C45" s="190">
        <v>0.0</v>
      </c>
      <c r="D45" s="139">
        <v>0.0</v>
      </c>
      <c r="E45" s="139">
        <v>0.0</v>
      </c>
      <c r="F45" s="139">
        <v>0.0</v>
      </c>
      <c r="G45" s="139">
        <v>0.0</v>
      </c>
      <c r="H45" s="139">
        <v>0.0</v>
      </c>
      <c r="I45" s="139">
        <v>1.0</v>
      </c>
      <c r="J45" s="139">
        <v>0.0</v>
      </c>
      <c r="K45" s="139">
        <v>0.0</v>
      </c>
      <c r="L45" s="139">
        <v>0.0</v>
      </c>
      <c r="M45" s="139">
        <v>0.0</v>
      </c>
      <c r="N45" s="139">
        <v>0.0</v>
      </c>
      <c r="O45" s="139">
        <v>0.0</v>
      </c>
      <c r="P45" s="101">
        <v>0.0</v>
      </c>
      <c r="Q45" s="101">
        <v>0.0</v>
      </c>
      <c r="R45" s="101">
        <v>0.0</v>
      </c>
      <c r="S45" s="101">
        <v>0.0</v>
      </c>
      <c r="T45" s="101">
        <v>0.0</v>
      </c>
      <c r="U45" s="101">
        <v>0.0</v>
      </c>
      <c r="V45" s="101">
        <v>0.0</v>
      </c>
      <c r="W45" s="101">
        <v>0.0</v>
      </c>
    </row>
    <row r="46">
      <c r="A46" s="189">
        <v>11.0</v>
      </c>
      <c r="C46" s="190">
        <v>0.0</v>
      </c>
      <c r="D46" s="139">
        <v>0.0</v>
      </c>
      <c r="E46" s="139">
        <v>0.0</v>
      </c>
      <c r="F46" s="139">
        <v>0.0</v>
      </c>
      <c r="G46" s="139">
        <v>0.0</v>
      </c>
      <c r="H46" s="139">
        <v>0.0</v>
      </c>
      <c r="I46" s="139">
        <v>0.0</v>
      </c>
      <c r="J46" s="139">
        <v>0.0</v>
      </c>
      <c r="K46" s="139">
        <v>0.0</v>
      </c>
      <c r="L46" s="139">
        <v>0.0</v>
      </c>
      <c r="M46" s="139">
        <v>0.0</v>
      </c>
      <c r="N46" s="139">
        <v>0.0</v>
      </c>
      <c r="O46" s="139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1">
        <v>0.0</v>
      </c>
      <c r="V46" s="101">
        <v>0.0</v>
      </c>
      <c r="W46" s="101">
        <v>0.0</v>
      </c>
    </row>
    <row r="47">
      <c r="A47" s="189">
        <v>12.0</v>
      </c>
      <c r="C47" s="190">
        <v>0.0</v>
      </c>
      <c r="D47" s="139">
        <v>0.0</v>
      </c>
      <c r="E47" s="139">
        <v>0.0</v>
      </c>
      <c r="F47" s="139">
        <v>0.0</v>
      </c>
      <c r="G47" s="139">
        <v>0.0</v>
      </c>
      <c r="H47" s="139">
        <v>0.0</v>
      </c>
      <c r="I47" s="139">
        <v>0.0</v>
      </c>
      <c r="J47" s="139">
        <v>0.0</v>
      </c>
      <c r="K47" s="139">
        <v>0.0</v>
      </c>
      <c r="L47" s="139">
        <v>0.0</v>
      </c>
      <c r="M47" s="139">
        <v>0.0</v>
      </c>
      <c r="N47" s="139">
        <v>0.0</v>
      </c>
      <c r="O47" s="139">
        <v>0.0</v>
      </c>
      <c r="P47" s="101">
        <v>0.0</v>
      </c>
      <c r="Q47" s="101">
        <v>0.0</v>
      </c>
      <c r="R47" s="101">
        <v>0.0</v>
      </c>
      <c r="S47" s="101">
        <v>0.0</v>
      </c>
      <c r="T47" s="101">
        <v>0.0</v>
      </c>
      <c r="U47" s="101">
        <v>0.0</v>
      </c>
      <c r="V47" s="101">
        <v>0.0</v>
      </c>
      <c r="W47" s="101">
        <v>0.0</v>
      </c>
    </row>
    <row r="48">
      <c r="A48" s="189">
        <v>13.0</v>
      </c>
      <c r="C48" s="190">
        <v>0.0</v>
      </c>
      <c r="D48" s="139">
        <v>0.0</v>
      </c>
      <c r="E48" s="139">
        <v>0.0</v>
      </c>
      <c r="F48" s="139">
        <v>0.0</v>
      </c>
      <c r="G48" s="139">
        <v>0.0</v>
      </c>
      <c r="H48" s="139">
        <v>0.0</v>
      </c>
      <c r="I48" s="139">
        <v>0.0</v>
      </c>
      <c r="J48" s="139">
        <v>0.0</v>
      </c>
      <c r="K48" s="139">
        <v>0.0</v>
      </c>
      <c r="L48" s="139">
        <v>0.0</v>
      </c>
      <c r="M48" s="139">
        <v>0.0</v>
      </c>
      <c r="N48" s="139">
        <v>0.0</v>
      </c>
      <c r="O48" s="139">
        <v>0.0</v>
      </c>
      <c r="P48" s="101">
        <v>0.0</v>
      </c>
      <c r="Q48" s="101">
        <v>0.0</v>
      </c>
      <c r="R48" s="101">
        <v>0.0</v>
      </c>
      <c r="S48" s="101">
        <v>0.0</v>
      </c>
      <c r="T48" s="101">
        <v>0.0</v>
      </c>
      <c r="U48" s="101">
        <v>0.0</v>
      </c>
      <c r="V48" s="101">
        <v>0.0</v>
      </c>
      <c r="W48" s="101">
        <v>0.0</v>
      </c>
    </row>
    <row r="49">
      <c r="A49" s="189">
        <v>14.0</v>
      </c>
      <c r="C49" s="190">
        <v>0.0</v>
      </c>
      <c r="D49" s="139">
        <v>0.0</v>
      </c>
      <c r="E49" s="139">
        <v>0.0</v>
      </c>
      <c r="F49" s="139">
        <v>0.0</v>
      </c>
      <c r="G49" s="139">
        <v>0.0</v>
      </c>
      <c r="H49" s="139">
        <v>0.0</v>
      </c>
      <c r="I49" s="139">
        <v>0.0</v>
      </c>
      <c r="J49" s="139">
        <v>0.0</v>
      </c>
      <c r="K49" s="139">
        <v>0.0</v>
      </c>
      <c r="L49" s="139">
        <v>0.0</v>
      </c>
      <c r="M49" s="139">
        <v>0.0</v>
      </c>
      <c r="N49" s="139">
        <v>0.0</v>
      </c>
      <c r="O49" s="139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1">
        <v>0.0</v>
      </c>
      <c r="V49" s="101">
        <v>0.0</v>
      </c>
      <c r="W49" s="101">
        <v>0.0</v>
      </c>
    </row>
    <row r="50">
      <c r="A50" s="189">
        <v>15.0</v>
      </c>
      <c r="C50" s="190">
        <v>0.0</v>
      </c>
      <c r="D50" s="139">
        <v>0.0</v>
      </c>
      <c r="E50" s="139">
        <v>0.0</v>
      </c>
      <c r="F50" s="139">
        <v>0.0</v>
      </c>
      <c r="G50" s="139">
        <v>0.0</v>
      </c>
      <c r="H50" s="139">
        <v>0.0</v>
      </c>
      <c r="I50" s="139">
        <v>0.0</v>
      </c>
      <c r="J50" s="139">
        <v>0.0</v>
      </c>
      <c r="K50" s="139">
        <v>0.0</v>
      </c>
      <c r="L50" s="139">
        <v>0.0</v>
      </c>
      <c r="M50" s="139">
        <v>0.0</v>
      </c>
      <c r="N50" s="139">
        <v>0.0</v>
      </c>
      <c r="O50" s="139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  <c r="W50" s="101">
        <v>0.0</v>
      </c>
    </row>
    <row r="51">
      <c r="A51" s="189">
        <v>16.0</v>
      </c>
      <c r="C51" s="190">
        <v>0.0</v>
      </c>
      <c r="D51" s="139">
        <v>0.0</v>
      </c>
      <c r="E51" s="139">
        <v>0.0</v>
      </c>
      <c r="F51" s="139">
        <v>0.0</v>
      </c>
      <c r="G51" s="139">
        <v>0.0</v>
      </c>
      <c r="H51" s="139">
        <v>0.0</v>
      </c>
      <c r="I51" s="139">
        <v>0.0</v>
      </c>
      <c r="J51" s="139">
        <v>0.0</v>
      </c>
      <c r="K51" s="139">
        <v>0.0</v>
      </c>
      <c r="L51" s="139">
        <v>0.0</v>
      </c>
      <c r="M51" s="139">
        <v>0.0</v>
      </c>
      <c r="N51" s="139">
        <v>0.0</v>
      </c>
      <c r="O51" s="139">
        <v>0.0</v>
      </c>
      <c r="P51" s="101">
        <v>0.0</v>
      </c>
      <c r="Q51" s="101">
        <v>0.0</v>
      </c>
      <c r="R51" s="101">
        <v>0.0</v>
      </c>
      <c r="S51" s="101">
        <v>0.0</v>
      </c>
      <c r="T51" s="101">
        <v>0.0</v>
      </c>
      <c r="U51" s="101">
        <v>0.0</v>
      </c>
      <c r="V51" s="101">
        <v>0.0</v>
      </c>
      <c r="W51" s="101">
        <v>0.0</v>
      </c>
    </row>
    <row r="52">
      <c r="A52" s="189">
        <v>17.0</v>
      </c>
      <c r="C52" s="190">
        <v>0.0</v>
      </c>
      <c r="D52" s="139">
        <v>0.0</v>
      </c>
      <c r="E52" s="139">
        <v>0.0</v>
      </c>
      <c r="F52" s="139">
        <v>0.0</v>
      </c>
      <c r="G52" s="139">
        <v>0.0</v>
      </c>
      <c r="H52" s="139">
        <v>0.0</v>
      </c>
      <c r="I52" s="139">
        <v>0.0</v>
      </c>
      <c r="J52" s="139">
        <v>0.0</v>
      </c>
      <c r="K52" s="139">
        <v>0.0</v>
      </c>
      <c r="L52" s="139">
        <v>0.0</v>
      </c>
      <c r="M52" s="139">
        <v>0.0</v>
      </c>
      <c r="N52" s="139">
        <v>0.0</v>
      </c>
      <c r="O52" s="139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1">
        <v>0.0</v>
      </c>
      <c r="V52" s="101">
        <v>0.0</v>
      </c>
      <c r="W52" s="101">
        <v>0.0</v>
      </c>
    </row>
    <row r="53">
      <c r="A53" s="189">
        <v>18.0</v>
      </c>
      <c r="C53" s="190">
        <v>0.0</v>
      </c>
      <c r="D53" s="139">
        <v>0.0</v>
      </c>
      <c r="E53" s="139">
        <v>0.0</v>
      </c>
      <c r="F53" s="139">
        <v>0.0</v>
      </c>
      <c r="G53" s="139">
        <v>0.0</v>
      </c>
      <c r="H53" s="139">
        <v>0.0</v>
      </c>
      <c r="I53" s="139">
        <v>0.0</v>
      </c>
      <c r="J53" s="139">
        <v>0.0</v>
      </c>
      <c r="K53" s="139">
        <v>0.0</v>
      </c>
      <c r="L53" s="139">
        <v>0.0</v>
      </c>
      <c r="M53" s="139">
        <v>0.0</v>
      </c>
      <c r="N53" s="139">
        <v>0.0</v>
      </c>
      <c r="O53" s="139">
        <v>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1">
        <v>0.0</v>
      </c>
      <c r="V53" s="101">
        <v>0.0</v>
      </c>
      <c r="W53" s="101">
        <v>0.0</v>
      </c>
    </row>
    <row r="54">
      <c r="A54" s="189">
        <v>19.0</v>
      </c>
      <c r="C54" s="190">
        <v>0.0</v>
      </c>
      <c r="D54" s="139">
        <v>0.0</v>
      </c>
      <c r="E54" s="139">
        <v>0.0</v>
      </c>
      <c r="F54" s="139">
        <v>0.0</v>
      </c>
      <c r="G54" s="139">
        <v>0.0</v>
      </c>
      <c r="H54" s="139">
        <v>0.0</v>
      </c>
      <c r="I54" s="139">
        <v>0.0</v>
      </c>
      <c r="J54" s="139">
        <v>0.0</v>
      </c>
      <c r="K54" s="139">
        <v>0.0</v>
      </c>
      <c r="L54" s="139">
        <v>0.0</v>
      </c>
      <c r="M54" s="139">
        <v>0.0</v>
      </c>
      <c r="N54" s="139">
        <v>0.0</v>
      </c>
      <c r="O54" s="139">
        <v>0.0</v>
      </c>
      <c r="P54" s="101">
        <v>0.0</v>
      </c>
      <c r="Q54" s="101">
        <v>0.0</v>
      </c>
      <c r="R54" s="101">
        <v>0.0</v>
      </c>
      <c r="S54" s="101">
        <v>0.0</v>
      </c>
      <c r="T54" s="101">
        <v>0.0</v>
      </c>
      <c r="U54" s="101">
        <v>0.0</v>
      </c>
      <c r="V54" s="101">
        <v>0.0</v>
      </c>
      <c r="W54" s="101">
        <v>0.0</v>
      </c>
    </row>
    <row r="55">
      <c r="A55" s="189">
        <v>20.0</v>
      </c>
      <c r="C55" s="190">
        <v>0.0</v>
      </c>
      <c r="D55" s="139">
        <v>0.0</v>
      </c>
      <c r="E55" s="139">
        <v>0.0</v>
      </c>
      <c r="F55" s="139">
        <v>0.0</v>
      </c>
      <c r="G55" s="139">
        <v>0.0</v>
      </c>
      <c r="H55" s="139">
        <v>0.0</v>
      </c>
      <c r="I55" s="139">
        <v>0.0</v>
      </c>
      <c r="J55" s="139">
        <v>0.0</v>
      </c>
      <c r="K55" s="139">
        <v>0.0</v>
      </c>
      <c r="L55" s="139">
        <v>0.0</v>
      </c>
      <c r="M55" s="139">
        <v>0.0</v>
      </c>
      <c r="N55" s="139">
        <v>0.0</v>
      </c>
      <c r="O55" s="139">
        <v>0.0</v>
      </c>
      <c r="P55" s="101">
        <v>0.0</v>
      </c>
      <c r="Q55" s="101">
        <v>0.0</v>
      </c>
      <c r="R55" s="101">
        <v>0.0</v>
      </c>
      <c r="S55" s="101">
        <v>0.0</v>
      </c>
      <c r="T55" s="101">
        <v>0.0</v>
      </c>
      <c r="U55" s="101">
        <v>0.0</v>
      </c>
      <c r="V55" s="101">
        <v>0.0</v>
      </c>
      <c r="W55" s="101">
        <v>0.0</v>
      </c>
    </row>
  </sheetData>
  <conditionalFormatting sqref="C11:W30 C36:W55">
    <cfRule type="cellIs" dxfId="1" priority="1" operator="greaterThan">
      <formula>0</formula>
    </cfRule>
  </conditionalFormatting>
  <conditionalFormatting sqref="A11:W30 A36:A55 C36:W55">
    <cfRule type="expression" dxfId="2" priority="2">
      <formula>ISEVEN(ROW()-10+1)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  <col customWidth="1" min="24" max="32" width="7.63"/>
    <col customWidth="1" min="33" max="33" width="2.5"/>
    <col customWidth="1" min="34" max="34" width="14.0"/>
    <col customWidth="1" min="35" max="44" width="12.5"/>
  </cols>
  <sheetData>
    <row r="1">
      <c r="A1" s="39" t="s">
        <v>27</v>
      </c>
      <c r="AH1" s="130" t="s">
        <v>259</v>
      </c>
    </row>
    <row r="2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AH2" s="131" t="s">
        <v>134</v>
      </c>
      <c r="AI2" s="147" t="s">
        <v>170</v>
      </c>
    </row>
    <row r="3">
      <c r="A3" s="178" t="s">
        <v>288</v>
      </c>
      <c r="B3" s="133" t="s">
        <v>289</v>
      </c>
      <c r="AH3" s="131" t="s">
        <v>136</v>
      </c>
      <c r="AI3" s="132" t="s">
        <v>137</v>
      </c>
    </row>
    <row r="4">
      <c r="A4" s="178" t="s">
        <v>290</v>
      </c>
      <c r="B4" s="133" t="s">
        <v>291</v>
      </c>
    </row>
    <row r="5">
      <c r="A5" s="178" t="s">
        <v>292</v>
      </c>
      <c r="B5" s="133" t="s">
        <v>293</v>
      </c>
      <c r="AH5" s="134" t="s">
        <v>260</v>
      </c>
      <c r="AI5" s="134" t="s">
        <v>261</v>
      </c>
      <c r="AJ5" s="134" t="s">
        <v>140</v>
      </c>
      <c r="AK5" s="134" t="s">
        <v>262</v>
      </c>
      <c r="AL5" s="134" t="s">
        <v>142</v>
      </c>
      <c r="AM5" s="134" t="s">
        <v>263</v>
      </c>
      <c r="AN5" s="134" t="s">
        <v>144</v>
      </c>
      <c r="AO5" s="134" t="s">
        <v>264</v>
      </c>
      <c r="AP5" s="134" t="s">
        <v>146</v>
      </c>
      <c r="AQ5" s="134" t="s">
        <v>265</v>
      </c>
      <c r="AR5" s="134" t="s">
        <v>148</v>
      </c>
    </row>
    <row r="6">
      <c r="A6" s="178" t="s">
        <v>128</v>
      </c>
      <c r="B6" s="133">
        <v>25.0</v>
      </c>
      <c r="AH6" s="176" t="s">
        <v>298</v>
      </c>
      <c r="AI6" s="136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>9</v>
      </c>
      <c r="AJ6" s="137" t="str">
        <f t="array" ref="AJ6">LET(p,AI6,IF(p="n/a","n/a",IF(p&gt;20,"— (below ladder)",LET(s,INDEX($C$36:$W$55,p,0),b,TEXTJOIN(", ",TRUE,IF(s&gt;0,$C$35:$W$35&amp;": "&amp;ROUND(s,2),"")),IF(b="","{} (rank pays nothing)","{"&amp;b&amp;"}")))))</f>
        <v>{Slingshot: 1}</v>
      </c>
      <c r="AK6" s="136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>6</v>
      </c>
      <c r="AL6" s="137" t="str">
        <f t="array" ref="AL6">LET(p,AK6,IF(p="n/a","n/a",IF(p&gt;20,"— (below ladder)",LET(s,INDEX($C$36:$W$55,p,0),b,TEXTJOIN(", ",TRUE,IF(s&gt;0,$C$35:$W$35&amp;": "&amp;ROUND(s,2),"")),IF(b="","{} (rank pays nothing)","{"&amp;b&amp;"}")))))</f>
        <v>{Slingshot: 1}</v>
      </c>
      <c r="AM6" s="136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>4</v>
      </c>
      <c r="AN6" s="137" t="str">
        <f t="array" ref="AN6">LET(p,AM6,IF(p="n/a","n/a",IF(p&gt;20,"— (below ladder)",LET(s,INDEX($C$36:$W$55,p,0),b,TEXTJOIN(", ",TRUE,IF(s&gt;0,$C$35:$W$35&amp;": "&amp;ROUND(s,2),"")),IF(b="","{} (rank pays nothing)","{"&amp;b&amp;"}")))))</f>
        <v>{Shuffle: 1}</v>
      </c>
      <c r="AO6" s="136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>2</v>
      </c>
      <c r="AP6" s="137" t="str">
        <f t="array" ref="AP6">LET(p,AO6,IF(p="n/a","n/a",IF(p&gt;20,"— (below ladder)",LET(s,INDEX($C$36:$W$55,p,0),b,TEXTJOIN(", ",TRUE,IF(s&gt;0,$C$35:$W$35&amp;": "&amp;ROUND(s,2),"")),IF(b="","{} (rank pays nothing)","{"&amp;b&amp;"}")))))</f>
        <v>{Coins: 100, Shuffle: 1}</v>
      </c>
      <c r="AQ6" s="136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>1</v>
      </c>
      <c r="AR6" s="137" t="str">
        <f t="array" ref="AR6">LET(p,AQ6,IF(p="n/a","n/a",IF(p&gt;20,"— (below ladder)",LET(s,INDEX($C$36:$W$55,p,0),b,TEXTJOIN(", ",TRUE,IF(s&gt;0,$C$35:$W$35&amp;": "&amp;ROUND(s,2),"")),IF(b="","{} (rank pays nothing)","{"&amp;b&amp;"}")))))</f>
        <v>{Coins: 200, Comet: 1}</v>
      </c>
    </row>
    <row r="7">
      <c r="A7" s="125" t="s">
        <v>126</v>
      </c>
      <c r="B7" s="133">
        <v>1.0</v>
      </c>
    </row>
    <row r="8">
      <c r="AH8" s="145" t="s">
        <v>266</v>
      </c>
    </row>
    <row r="9">
      <c r="A9" s="179" t="s">
        <v>294</v>
      </c>
      <c r="B9" s="159"/>
      <c r="C9" s="159"/>
      <c r="D9" s="159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AH9" s="177" t="s">
        <v>299</v>
      </c>
    </row>
    <row r="10">
      <c r="A10" s="180" t="s">
        <v>131</v>
      </c>
      <c r="B10" s="180" t="s">
        <v>295</v>
      </c>
      <c r="C10" s="181" t="s">
        <v>19</v>
      </c>
      <c r="D10" s="182" t="s">
        <v>5</v>
      </c>
      <c r="E10" s="183" t="s">
        <v>77</v>
      </c>
      <c r="F10" s="116" t="s">
        <v>6</v>
      </c>
      <c r="G10" s="116" t="s">
        <v>7</v>
      </c>
      <c r="H10" s="116" t="s">
        <v>8</v>
      </c>
      <c r="I10" s="116" t="s">
        <v>9</v>
      </c>
      <c r="J10" s="116" t="s">
        <v>10</v>
      </c>
      <c r="K10" s="116" t="s">
        <v>11</v>
      </c>
      <c r="L10" s="116" t="s">
        <v>12</v>
      </c>
      <c r="M10" s="116" t="s">
        <v>13</v>
      </c>
      <c r="N10" s="116" t="s">
        <v>14</v>
      </c>
      <c r="O10" s="116" t="s">
        <v>15</v>
      </c>
      <c r="P10" s="99" t="s">
        <v>92</v>
      </c>
      <c r="Q10" s="99" t="s">
        <v>78</v>
      </c>
      <c r="R10" s="99" t="s">
        <v>79</v>
      </c>
      <c r="S10" s="99" t="s">
        <v>80</v>
      </c>
      <c r="T10" s="99" t="s">
        <v>81</v>
      </c>
      <c r="U10" s="99" t="s">
        <v>82</v>
      </c>
      <c r="V10" s="99" t="s">
        <v>83</v>
      </c>
      <c r="W10" s="99" t="s">
        <v>84</v>
      </c>
      <c r="AH10" s="145" t="s">
        <v>300</v>
      </c>
    </row>
    <row r="11">
      <c r="A11" s="184">
        <v>1.0</v>
      </c>
      <c r="B11" s="184">
        <v>100.0</v>
      </c>
      <c r="C11" s="185">
        <v>0.0</v>
      </c>
      <c r="D11" s="184">
        <v>0.0</v>
      </c>
      <c r="E11" s="186">
        <v>0.0</v>
      </c>
      <c r="F11" s="139">
        <v>0.0</v>
      </c>
      <c r="G11" s="139">
        <v>0.0</v>
      </c>
      <c r="H11" s="139">
        <v>0.0</v>
      </c>
      <c r="I11" s="139">
        <v>0.0</v>
      </c>
      <c r="J11" s="139">
        <v>0.0</v>
      </c>
      <c r="K11" s="139">
        <v>0.0</v>
      </c>
      <c r="L11" s="139">
        <v>0.0</v>
      </c>
      <c r="M11" s="139">
        <v>0.0</v>
      </c>
      <c r="N11" s="139">
        <v>0.0</v>
      </c>
      <c r="O11" s="139">
        <v>0.0</v>
      </c>
      <c r="P11" s="139">
        <v>0.0</v>
      </c>
      <c r="Q11" s="139">
        <v>0.0</v>
      </c>
      <c r="R11" s="139">
        <v>0.0</v>
      </c>
      <c r="S11" s="139">
        <v>0.0</v>
      </c>
      <c r="T11" s="139">
        <v>0.0</v>
      </c>
      <c r="U11" s="139">
        <v>0.0</v>
      </c>
      <c r="V11" s="139">
        <v>0.0</v>
      </c>
      <c r="W11" s="139">
        <v>0.0</v>
      </c>
    </row>
    <row r="12">
      <c r="A12" s="184">
        <v>2.0</v>
      </c>
      <c r="B12" s="184">
        <v>300.0</v>
      </c>
      <c r="C12" s="185">
        <v>0.0</v>
      </c>
      <c r="D12" s="184">
        <v>0.0</v>
      </c>
      <c r="E12" s="186">
        <v>0.0</v>
      </c>
      <c r="F12" s="139">
        <v>0.0</v>
      </c>
      <c r="G12" s="139">
        <v>0.0</v>
      </c>
      <c r="H12" s="139">
        <v>0.0</v>
      </c>
      <c r="I12" s="139">
        <v>0.0</v>
      </c>
      <c r="J12" s="139">
        <v>0.0</v>
      </c>
      <c r="K12" s="139">
        <v>0.0</v>
      </c>
      <c r="L12" s="139">
        <v>0.0</v>
      </c>
      <c r="M12" s="139">
        <v>0.0</v>
      </c>
      <c r="N12" s="139">
        <v>0.0</v>
      </c>
      <c r="O12" s="139">
        <v>0.0</v>
      </c>
      <c r="P12" s="139">
        <v>0.0</v>
      </c>
      <c r="Q12" s="139">
        <v>0.0</v>
      </c>
      <c r="R12" s="139">
        <v>0.0</v>
      </c>
      <c r="S12" s="139">
        <v>0.0</v>
      </c>
      <c r="T12" s="139">
        <v>0.0</v>
      </c>
      <c r="U12" s="139">
        <v>0.0</v>
      </c>
      <c r="V12" s="139">
        <v>0.0</v>
      </c>
      <c r="W12" s="139">
        <v>0.0</v>
      </c>
    </row>
    <row r="13">
      <c r="A13" s="184">
        <v>3.0</v>
      </c>
      <c r="B13" s="184">
        <v>500.0</v>
      </c>
      <c r="C13" s="185">
        <v>0.0</v>
      </c>
      <c r="D13" s="184">
        <v>0.0</v>
      </c>
      <c r="E13" s="186">
        <v>0.0</v>
      </c>
      <c r="F13" s="139">
        <v>0.0</v>
      </c>
      <c r="G13" s="139">
        <v>0.0</v>
      </c>
      <c r="H13" s="139">
        <v>0.0</v>
      </c>
      <c r="I13" s="139">
        <v>0.0</v>
      </c>
      <c r="J13" s="139">
        <v>0.0</v>
      </c>
      <c r="K13" s="139">
        <v>0.0</v>
      </c>
      <c r="L13" s="139">
        <v>0.0</v>
      </c>
      <c r="M13" s="139">
        <v>0.0</v>
      </c>
      <c r="N13" s="139">
        <v>0.0</v>
      </c>
      <c r="O13" s="139">
        <v>0.0</v>
      </c>
      <c r="P13" s="139">
        <v>0.0</v>
      </c>
      <c r="Q13" s="139">
        <v>0.0</v>
      </c>
      <c r="R13" s="139">
        <v>0.0</v>
      </c>
      <c r="S13" s="139">
        <v>0.0</v>
      </c>
      <c r="T13" s="139">
        <v>0.0</v>
      </c>
      <c r="U13" s="139">
        <v>0.0</v>
      </c>
      <c r="V13" s="139">
        <v>0.0</v>
      </c>
      <c r="W13" s="139">
        <v>0.0</v>
      </c>
    </row>
    <row r="14">
      <c r="A14" s="184">
        <v>4.0</v>
      </c>
      <c r="B14" s="184">
        <v>700.0</v>
      </c>
      <c r="C14" s="185">
        <v>0.0</v>
      </c>
      <c r="D14" s="184">
        <v>0.0</v>
      </c>
      <c r="E14" s="186">
        <v>0.0</v>
      </c>
      <c r="F14" s="139">
        <v>0.0</v>
      </c>
      <c r="G14" s="139">
        <v>0.0</v>
      </c>
      <c r="H14" s="139">
        <v>0.0</v>
      </c>
      <c r="I14" s="139">
        <v>0.0</v>
      </c>
      <c r="J14" s="139">
        <v>0.0</v>
      </c>
      <c r="K14" s="139">
        <v>0.0</v>
      </c>
      <c r="L14" s="139">
        <v>0.0</v>
      </c>
      <c r="M14" s="139">
        <v>0.0</v>
      </c>
      <c r="N14" s="139">
        <v>0.0</v>
      </c>
      <c r="O14" s="139">
        <v>0.0</v>
      </c>
      <c r="P14" s="139">
        <v>0.0</v>
      </c>
      <c r="Q14" s="139">
        <v>0.0</v>
      </c>
      <c r="R14" s="139">
        <v>0.0</v>
      </c>
      <c r="S14" s="139">
        <v>0.0</v>
      </c>
      <c r="T14" s="139">
        <v>0.0</v>
      </c>
      <c r="U14" s="139">
        <v>0.0</v>
      </c>
      <c r="V14" s="139">
        <v>0.0</v>
      </c>
      <c r="W14" s="139">
        <v>0.0</v>
      </c>
    </row>
    <row r="15">
      <c r="A15" s="184">
        <v>5.0</v>
      </c>
      <c r="B15" s="184">
        <v>2000.0</v>
      </c>
      <c r="C15" s="185">
        <v>0.0</v>
      </c>
      <c r="D15" s="184">
        <v>0.0</v>
      </c>
      <c r="E15" s="186">
        <v>0.0</v>
      </c>
      <c r="F15" s="139">
        <v>0.0</v>
      </c>
      <c r="G15" s="139">
        <v>0.0</v>
      </c>
      <c r="H15" s="139">
        <v>0.0</v>
      </c>
      <c r="I15" s="139">
        <v>0.0</v>
      </c>
      <c r="J15" s="139">
        <v>0.0</v>
      </c>
      <c r="K15" s="139">
        <v>0.0</v>
      </c>
      <c r="L15" s="139">
        <v>0.0</v>
      </c>
      <c r="M15" s="139">
        <v>0.0</v>
      </c>
      <c r="N15" s="139">
        <v>0.0</v>
      </c>
      <c r="O15" s="139">
        <v>0.0</v>
      </c>
      <c r="P15" s="139">
        <v>0.0</v>
      </c>
      <c r="Q15" s="139">
        <v>0.0</v>
      </c>
      <c r="R15" s="139">
        <v>0.0</v>
      </c>
      <c r="S15" s="139">
        <v>0.0</v>
      </c>
      <c r="T15" s="139">
        <v>0.0</v>
      </c>
      <c r="U15" s="139">
        <v>0.0</v>
      </c>
      <c r="V15" s="139">
        <v>0.0</v>
      </c>
      <c r="W15" s="139">
        <v>0.0</v>
      </c>
    </row>
    <row r="16">
      <c r="A16" s="184">
        <v>6.0</v>
      </c>
      <c r="B16" s="184">
        <v>3000.0</v>
      </c>
      <c r="C16" s="185">
        <v>0.0</v>
      </c>
      <c r="D16" s="184">
        <v>0.0</v>
      </c>
      <c r="E16" s="186">
        <v>0.0</v>
      </c>
      <c r="F16" s="139">
        <v>0.0</v>
      </c>
      <c r="G16" s="139">
        <v>0.0</v>
      </c>
      <c r="H16" s="139">
        <v>0.0</v>
      </c>
      <c r="I16" s="139">
        <v>0.0</v>
      </c>
      <c r="J16" s="139">
        <v>0.0</v>
      </c>
      <c r="K16" s="139">
        <v>0.0</v>
      </c>
      <c r="L16" s="139">
        <v>0.0</v>
      </c>
      <c r="M16" s="139">
        <v>0.0</v>
      </c>
      <c r="N16" s="139">
        <v>0.0</v>
      </c>
      <c r="O16" s="139">
        <v>0.0</v>
      </c>
      <c r="P16" s="139">
        <v>0.0</v>
      </c>
      <c r="Q16" s="139">
        <v>0.0</v>
      </c>
      <c r="R16" s="139">
        <v>0.0</v>
      </c>
      <c r="S16" s="139">
        <v>0.0</v>
      </c>
      <c r="T16" s="139">
        <v>0.0</v>
      </c>
      <c r="U16" s="139">
        <v>0.0</v>
      </c>
      <c r="V16" s="139">
        <v>0.0</v>
      </c>
      <c r="W16" s="139">
        <v>0.0</v>
      </c>
    </row>
    <row r="17">
      <c r="A17" s="184">
        <v>7.0</v>
      </c>
      <c r="B17" s="184">
        <v>4000.0</v>
      </c>
      <c r="C17" s="185">
        <v>0.0</v>
      </c>
      <c r="D17" s="184">
        <v>0.0</v>
      </c>
      <c r="E17" s="186">
        <v>0.0</v>
      </c>
      <c r="F17" s="139">
        <v>0.0</v>
      </c>
      <c r="G17" s="139">
        <v>0.0</v>
      </c>
      <c r="H17" s="139">
        <v>0.0</v>
      </c>
      <c r="I17" s="139">
        <v>0.0</v>
      </c>
      <c r="J17" s="139">
        <v>0.0</v>
      </c>
      <c r="K17" s="139">
        <v>0.0</v>
      </c>
      <c r="L17" s="139">
        <v>0.0</v>
      </c>
      <c r="M17" s="139">
        <v>0.0</v>
      </c>
      <c r="N17" s="139">
        <v>0.0</v>
      </c>
      <c r="O17" s="139">
        <v>0.0</v>
      </c>
      <c r="P17" s="139">
        <v>0.0</v>
      </c>
      <c r="Q17" s="139">
        <v>0.0</v>
      </c>
      <c r="R17" s="139">
        <v>0.0</v>
      </c>
      <c r="S17" s="139">
        <v>0.0</v>
      </c>
      <c r="T17" s="139">
        <v>0.0</v>
      </c>
      <c r="U17" s="139">
        <v>0.0</v>
      </c>
      <c r="V17" s="139">
        <v>0.0</v>
      </c>
      <c r="W17" s="139">
        <v>0.0</v>
      </c>
    </row>
    <row r="18">
      <c r="A18" s="184">
        <v>8.0</v>
      </c>
      <c r="B18" s="184">
        <v>5500.0</v>
      </c>
      <c r="C18" s="185">
        <v>0.0</v>
      </c>
      <c r="D18" s="184">
        <v>0.0</v>
      </c>
      <c r="E18" s="186">
        <v>0.0</v>
      </c>
      <c r="F18" s="139">
        <v>0.0</v>
      </c>
      <c r="G18" s="139">
        <v>0.0</v>
      </c>
      <c r="H18" s="139">
        <v>0.0</v>
      </c>
      <c r="I18" s="139">
        <v>0.0</v>
      </c>
      <c r="J18" s="139">
        <v>0.0</v>
      </c>
      <c r="K18" s="139">
        <v>0.0</v>
      </c>
      <c r="L18" s="139">
        <v>0.0</v>
      </c>
      <c r="M18" s="139">
        <v>0.0</v>
      </c>
      <c r="N18" s="139">
        <v>0.0</v>
      </c>
      <c r="O18" s="139">
        <v>0.0</v>
      </c>
      <c r="P18" s="139">
        <v>0.0</v>
      </c>
      <c r="Q18" s="139">
        <v>0.0</v>
      </c>
      <c r="R18" s="139">
        <v>0.0</v>
      </c>
      <c r="S18" s="139">
        <v>0.0</v>
      </c>
      <c r="T18" s="139">
        <v>0.0</v>
      </c>
      <c r="U18" s="139">
        <v>0.0</v>
      </c>
      <c r="V18" s="139">
        <v>0.0</v>
      </c>
      <c r="W18" s="139">
        <v>0.0</v>
      </c>
    </row>
    <row r="19">
      <c r="A19" s="184">
        <v>9.0</v>
      </c>
      <c r="B19" s="184">
        <v>7000.0</v>
      </c>
      <c r="C19" s="185">
        <v>0.0</v>
      </c>
      <c r="D19" s="184">
        <v>0.0</v>
      </c>
      <c r="E19" s="186">
        <v>0.0</v>
      </c>
      <c r="F19" s="139">
        <v>0.0</v>
      </c>
      <c r="G19" s="139">
        <v>0.0</v>
      </c>
      <c r="H19" s="139">
        <v>0.0</v>
      </c>
      <c r="I19" s="139">
        <v>0.0</v>
      </c>
      <c r="J19" s="139">
        <v>0.0</v>
      </c>
      <c r="K19" s="139">
        <v>0.0</v>
      </c>
      <c r="L19" s="139">
        <v>0.0</v>
      </c>
      <c r="M19" s="139">
        <v>0.0</v>
      </c>
      <c r="N19" s="139">
        <v>0.0</v>
      </c>
      <c r="O19" s="139">
        <v>0.0</v>
      </c>
      <c r="P19" s="139">
        <v>0.0</v>
      </c>
      <c r="Q19" s="139">
        <v>0.0</v>
      </c>
      <c r="R19" s="139">
        <v>0.0</v>
      </c>
      <c r="S19" s="139">
        <v>0.0</v>
      </c>
      <c r="T19" s="139">
        <v>0.0</v>
      </c>
      <c r="U19" s="139">
        <v>0.0</v>
      </c>
      <c r="V19" s="139">
        <v>0.0</v>
      </c>
      <c r="W19" s="139">
        <v>0.0</v>
      </c>
    </row>
    <row r="20">
      <c r="A20" s="184">
        <v>10.0</v>
      </c>
      <c r="B20" s="184">
        <v>8500.0</v>
      </c>
      <c r="C20" s="185">
        <v>0.0</v>
      </c>
      <c r="D20" s="184">
        <v>0.0</v>
      </c>
      <c r="E20" s="186">
        <v>0.0</v>
      </c>
      <c r="F20" s="139">
        <v>0.0</v>
      </c>
      <c r="G20" s="139">
        <v>0.0</v>
      </c>
      <c r="H20" s="139">
        <v>0.0</v>
      </c>
      <c r="I20" s="139">
        <v>0.0</v>
      </c>
      <c r="J20" s="139">
        <v>0.0</v>
      </c>
      <c r="K20" s="139">
        <v>0.0</v>
      </c>
      <c r="L20" s="139">
        <v>0.0</v>
      </c>
      <c r="M20" s="139">
        <v>0.0</v>
      </c>
      <c r="N20" s="139">
        <v>0.0</v>
      </c>
      <c r="O20" s="139">
        <v>0.0</v>
      </c>
      <c r="P20" s="139">
        <v>0.0</v>
      </c>
      <c r="Q20" s="139">
        <v>0.0</v>
      </c>
      <c r="R20" s="139">
        <v>0.0</v>
      </c>
      <c r="S20" s="139">
        <v>0.0</v>
      </c>
      <c r="T20" s="139">
        <v>0.0</v>
      </c>
      <c r="U20" s="139">
        <v>0.0</v>
      </c>
      <c r="V20" s="139">
        <v>0.0</v>
      </c>
      <c r="W20" s="139">
        <v>0.0</v>
      </c>
    </row>
    <row r="21" ht="15.75" customHeight="1">
      <c r="A21" s="184">
        <v>11.0</v>
      </c>
      <c r="B21" s="184">
        <v>10000.0</v>
      </c>
      <c r="C21" s="185">
        <v>0.0</v>
      </c>
      <c r="D21" s="184">
        <v>0.0</v>
      </c>
      <c r="E21" s="186">
        <v>0.0</v>
      </c>
      <c r="F21" s="139">
        <v>0.0</v>
      </c>
      <c r="G21" s="139">
        <v>0.0</v>
      </c>
      <c r="H21" s="139">
        <v>0.0</v>
      </c>
      <c r="I21" s="139">
        <v>0.0</v>
      </c>
      <c r="J21" s="139">
        <v>0.0</v>
      </c>
      <c r="K21" s="139">
        <v>0.0</v>
      </c>
      <c r="L21" s="139">
        <v>0.0</v>
      </c>
      <c r="M21" s="139">
        <v>0.0</v>
      </c>
      <c r="N21" s="139">
        <v>0.0</v>
      </c>
      <c r="O21" s="139">
        <v>0.0</v>
      </c>
      <c r="P21" s="139">
        <v>0.0</v>
      </c>
      <c r="Q21" s="139">
        <v>0.0</v>
      </c>
      <c r="R21" s="139">
        <v>0.0</v>
      </c>
      <c r="S21" s="139">
        <v>0.0</v>
      </c>
      <c r="T21" s="139">
        <v>0.0</v>
      </c>
      <c r="U21" s="139">
        <v>0.0</v>
      </c>
      <c r="V21" s="139">
        <v>0.0</v>
      </c>
      <c r="W21" s="139">
        <v>0.0</v>
      </c>
    </row>
    <row r="22" ht="15.75" customHeight="1">
      <c r="A22" s="184">
        <v>12.0</v>
      </c>
      <c r="B22" s="184">
        <v>11500.0</v>
      </c>
      <c r="C22" s="185">
        <v>0.0</v>
      </c>
      <c r="D22" s="184">
        <v>0.0</v>
      </c>
      <c r="E22" s="186">
        <v>0.0</v>
      </c>
      <c r="F22" s="139">
        <v>0.0</v>
      </c>
      <c r="G22" s="139">
        <v>0.0</v>
      </c>
      <c r="H22" s="139">
        <v>0.0</v>
      </c>
      <c r="I22" s="139">
        <v>0.0</v>
      </c>
      <c r="J22" s="139">
        <v>0.0</v>
      </c>
      <c r="K22" s="139">
        <v>0.0</v>
      </c>
      <c r="L22" s="139">
        <v>0.0</v>
      </c>
      <c r="M22" s="139">
        <v>0.0</v>
      </c>
      <c r="N22" s="139">
        <v>0.0</v>
      </c>
      <c r="O22" s="139">
        <v>0.0</v>
      </c>
      <c r="P22" s="139">
        <v>0.0</v>
      </c>
      <c r="Q22" s="139">
        <v>0.0</v>
      </c>
      <c r="R22" s="139">
        <v>0.0</v>
      </c>
      <c r="S22" s="139">
        <v>0.0</v>
      </c>
      <c r="T22" s="139">
        <v>0.0</v>
      </c>
      <c r="U22" s="139">
        <v>0.0</v>
      </c>
      <c r="V22" s="139">
        <v>0.0</v>
      </c>
      <c r="W22" s="139">
        <v>0.0</v>
      </c>
    </row>
    <row r="23" ht="15.75" customHeight="1">
      <c r="A23" s="184">
        <v>13.0</v>
      </c>
      <c r="B23" s="184">
        <v>13000.0</v>
      </c>
      <c r="C23" s="185">
        <v>0.0</v>
      </c>
      <c r="D23" s="184">
        <v>0.0</v>
      </c>
      <c r="E23" s="186">
        <v>0.0</v>
      </c>
      <c r="F23" s="139">
        <v>0.0</v>
      </c>
      <c r="G23" s="139">
        <v>0.0</v>
      </c>
      <c r="H23" s="139">
        <v>0.0</v>
      </c>
      <c r="I23" s="139">
        <v>0.0</v>
      </c>
      <c r="J23" s="139">
        <v>0.0</v>
      </c>
      <c r="K23" s="139">
        <v>0.0</v>
      </c>
      <c r="L23" s="139">
        <v>0.0</v>
      </c>
      <c r="M23" s="139">
        <v>0.0</v>
      </c>
      <c r="N23" s="139">
        <v>0.0</v>
      </c>
      <c r="O23" s="139">
        <v>0.0</v>
      </c>
      <c r="P23" s="139">
        <v>0.0</v>
      </c>
      <c r="Q23" s="139">
        <v>0.0</v>
      </c>
      <c r="R23" s="139">
        <v>0.0</v>
      </c>
      <c r="S23" s="139">
        <v>0.0</v>
      </c>
      <c r="T23" s="139">
        <v>0.0</v>
      </c>
      <c r="U23" s="139">
        <v>0.0</v>
      </c>
      <c r="V23" s="139">
        <v>0.0</v>
      </c>
      <c r="W23" s="139">
        <v>0.0</v>
      </c>
    </row>
    <row r="24" ht="15.75" customHeight="1">
      <c r="A24" s="184">
        <v>14.0</v>
      </c>
      <c r="B24" s="184">
        <v>14500.0</v>
      </c>
      <c r="C24" s="185">
        <v>0.0</v>
      </c>
      <c r="D24" s="184">
        <v>0.0</v>
      </c>
      <c r="E24" s="186">
        <v>0.0</v>
      </c>
      <c r="F24" s="139">
        <v>0.0</v>
      </c>
      <c r="G24" s="139">
        <v>0.0</v>
      </c>
      <c r="H24" s="139">
        <v>0.0</v>
      </c>
      <c r="I24" s="139">
        <v>0.0</v>
      </c>
      <c r="J24" s="139">
        <v>0.0</v>
      </c>
      <c r="K24" s="139">
        <v>0.0</v>
      </c>
      <c r="L24" s="139">
        <v>0.0</v>
      </c>
      <c r="M24" s="139">
        <v>0.0</v>
      </c>
      <c r="N24" s="139">
        <v>0.0</v>
      </c>
      <c r="O24" s="139">
        <v>0.0</v>
      </c>
      <c r="P24" s="139">
        <v>0.0</v>
      </c>
      <c r="Q24" s="139">
        <v>0.0</v>
      </c>
      <c r="R24" s="139">
        <v>0.0</v>
      </c>
      <c r="S24" s="139">
        <v>0.0</v>
      </c>
      <c r="T24" s="139">
        <v>0.0</v>
      </c>
      <c r="U24" s="139">
        <v>0.0</v>
      </c>
      <c r="V24" s="139">
        <v>0.0</v>
      </c>
      <c r="W24" s="139">
        <v>0.0</v>
      </c>
    </row>
    <row r="25" ht="15.75" customHeight="1">
      <c r="A25" s="184">
        <v>15.0</v>
      </c>
      <c r="B25" s="184">
        <v>16000.0</v>
      </c>
      <c r="C25" s="185">
        <v>0.0</v>
      </c>
      <c r="D25" s="184">
        <v>0.0</v>
      </c>
      <c r="E25" s="186">
        <v>0.0</v>
      </c>
      <c r="F25" s="139">
        <v>0.0</v>
      </c>
      <c r="G25" s="139">
        <v>0.0</v>
      </c>
      <c r="H25" s="139">
        <v>0.0</v>
      </c>
      <c r="I25" s="139">
        <v>0.0</v>
      </c>
      <c r="J25" s="139">
        <v>0.0</v>
      </c>
      <c r="K25" s="139">
        <v>0.0</v>
      </c>
      <c r="L25" s="139">
        <v>0.0</v>
      </c>
      <c r="M25" s="139">
        <v>0.0</v>
      </c>
      <c r="N25" s="139">
        <v>0.0</v>
      </c>
      <c r="O25" s="139">
        <v>0.0</v>
      </c>
      <c r="P25" s="139">
        <v>0.0</v>
      </c>
      <c r="Q25" s="139">
        <v>0.0</v>
      </c>
      <c r="R25" s="139">
        <v>0.0</v>
      </c>
      <c r="S25" s="139">
        <v>0.0</v>
      </c>
      <c r="T25" s="139">
        <v>0.0</v>
      </c>
      <c r="U25" s="139">
        <v>0.0</v>
      </c>
      <c r="V25" s="139">
        <v>0.0</v>
      </c>
      <c r="W25" s="139">
        <v>0.0</v>
      </c>
    </row>
    <row r="26" ht="15.75" customHeight="1">
      <c r="A26" s="184">
        <v>16.0</v>
      </c>
      <c r="B26" s="184">
        <v>17500.0</v>
      </c>
      <c r="C26" s="185">
        <v>0.0</v>
      </c>
      <c r="D26" s="184">
        <v>0.0</v>
      </c>
      <c r="E26" s="186">
        <v>0.0</v>
      </c>
      <c r="F26" s="139">
        <v>0.0</v>
      </c>
      <c r="G26" s="139">
        <v>0.0</v>
      </c>
      <c r="H26" s="139">
        <v>0.0</v>
      </c>
      <c r="I26" s="139">
        <v>0.0</v>
      </c>
      <c r="J26" s="139">
        <v>0.0</v>
      </c>
      <c r="K26" s="139">
        <v>0.0</v>
      </c>
      <c r="L26" s="139">
        <v>0.0</v>
      </c>
      <c r="M26" s="139">
        <v>0.0</v>
      </c>
      <c r="N26" s="139">
        <v>0.0</v>
      </c>
      <c r="O26" s="139">
        <v>0.0</v>
      </c>
      <c r="P26" s="139">
        <v>0.0</v>
      </c>
      <c r="Q26" s="139">
        <v>0.0</v>
      </c>
      <c r="R26" s="139">
        <v>0.0</v>
      </c>
      <c r="S26" s="139">
        <v>0.0</v>
      </c>
      <c r="T26" s="139">
        <v>0.0</v>
      </c>
      <c r="U26" s="139">
        <v>0.0</v>
      </c>
      <c r="V26" s="139">
        <v>0.0</v>
      </c>
      <c r="W26" s="139">
        <v>0.0</v>
      </c>
    </row>
    <row r="27" ht="15.75" customHeight="1">
      <c r="A27" s="184">
        <v>17.0</v>
      </c>
      <c r="B27" s="184">
        <v>19000.0</v>
      </c>
      <c r="C27" s="185">
        <v>0.0</v>
      </c>
      <c r="D27" s="184">
        <v>0.0</v>
      </c>
      <c r="E27" s="186">
        <v>0.0</v>
      </c>
      <c r="F27" s="139">
        <v>0.0</v>
      </c>
      <c r="G27" s="139">
        <v>0.0</v>
      </c>
      <c r="H27" s="139">
        <v>0.0</v>
      </c>
      <c r="I27" s="139">
        <v>0.0</v>
      </c>
      <c r="J27" s="139">
        <v>0.0</v>
      </c>
      <c r="K27" s="139">
        <v>0.0</v>
      </c>
      <c r="L27" s="139">
        <v>0.0</v>
      </c>
      <c r="M27" s="139">
        <v>0.0</v>
      </c>
      <c r="N27" s="139">
        <v>0.0</v>
      </c>
      <c r="O27" s="139">
        <v>0.0</v>
      </c>
      <c r="P27" s="139">
        <v>0.0</v>
      </c>
      <c r="Q27" s="139">
        <v>0.0</v>
      </c>
      <c r="R27" s="139">
        <v>0.0</v>
      </c>
      <c r="S27" s="139">
        <v>0.0</v>
      </c>
      <c r="T27" s="139">
        <v>0.0</v>
      </c>
      <c r="U27" s="139">
        <v>0.0</v>
      </c>
      <c r="V27" s="139">
        <v>0.0</v>
      </c>
      <c r="W27" s="139">
        <v>0.0</v>
      </c>
    </row>
    <row r="28" ht="15.75" customHeight="1">
      <c r="A28" s="184">
        <v>18.0</v>
      </c>
      <c r="B28" s="184">
        <v>20500.0</v>
      </c>
      <c r="C28" s="185">
        <v>0.0</v>
      </c>
      <c r="D28" s="184">
        <v>0.0</v>
      </c>
      <c r="E28" s="186">
        <v>0.0</v>
      </c>
      <c r="F28" s="139">
        <v>0.0</v>
      </c>
      <c r="G28" s="139">
        <v>0.0</v>
      </c>
      <c r="H28" s="139">
        <v>0.0</v>
      </c>
      <c r="I28" s="139">
        <v>0.0</v>
      </c>
      <c r="J28" s="139">
        <v>0.0</v>
      </c>
      <c r="K28" s="139">
        <v>0.0</v>
      </c>
      <c r="L28" s="139">
        <v>0.0</v>
      </c>
      <c r="M28" s="139">
        <v>0.0</v>
      </c>
      <c r="N28" s="139">
        <v>0.0</v>
      </c>
      <c r="O28" s="139">
        <v>0.0</v>
      </c>
      <c r="P28" s="139">
        <v>0.0</v>
      </c>
      <c r="Q28" s="139">
        <v>0.0</v>
      </c>
      <c r="R28" s="139">
        <v>0.0</v>
      </c>
      <c r="S28" s="139">
        <v>0.0</v>
      </c>
      <c r="T28" s="139">
        <v>0.0</v>
      </c>
      <c r="U28" s="139">
        <v>0.0</v>
      </c>
      <c r="V28" s="139">
        <v>0.0</v>
      </c>
      <c r="W28" s="139">
        <v>0.0</v>
      </c>
    </row>
    <row r="29" ht="15.75" customHeight="1">
      <c r="A29" s="184">
        <v>19.0</v>
      </c>
      <c r="B29" s="184">
        <v>22000.0</v>
      </c>
      <c r="C29" s="185">
        <v>0.0</v>
      </c>
      <c r="D29" s="184">
        <v>0.0</v>
      </c>
      <c r="E29" s="186">
        <v>0.0</v>
      </c>
      <c r="F29" s="139">
        <v>0.0</v>
      </c>
      <c r="G29" s="139">
        <v>0.0</v>
      </c>
      <c r="H29" s="139">
        <v>0.0</v>
      </c>
      <c r="I29" s="139">
        <v>0.0</v>
      </c>
      <c r="J29" s="139">
        <v>0.0</v>
      </c>
      <c r="K29" s="139">
        <v>0.0</v>
      </c>
      <c r="L29" s="139">
        <v>0.0</v>
      </c>
      <c r="M29" s="139">
        <v>0.0</v>
      </c>
      <c r="N29" s="139">
        <v>0.0</v>
      </c>
      <c r="O29" s="139">
        <v>0.0</v>
      </c>
      <c r="P29" s="139">
        <v>0.0</v>
      </c>
      <c r="Q29" s="139">
        <v>0.0</v>
      </c>
      <c r="R29" s="139">
        <v>0.0</v>
      </c>
      <c r="S29" s="139">
        <v>0.0</v>
      </c>
      <c r="T29" s="139">
        <v>0.0</v>
      </c>
      <c r="U29" s="139">
        <v>0.0</v>
      </c>
      <c r="V29" s="139">
        <v>0.0</v>
      </c>
      <c r="W29" s="139">
        <v>0.0</v>
      </c>
    </row>
    <row r="30" ht="15.75" customHeight="1">
      <c r="A30" s="184">
        <v>20.0</v>
      </c>
      <c r="B30" s="184">
        <v>23500.0</v>
      </c>
      <c r="C30" s="185">
        <v>0.0</v>
      </c>
      <c r="D30" s="184">
        <v>0.0</v>
      </c>
      <c r="E30" s="186">
        <v>0.0</v>
      </c>
      <c r="F30" s="139">
        <v>0.0</v>
      </c>
      <c r="G30" s="139">
        <v>0.0</v>
      </c>
      <c r="H30" s="139">
        <v>0.0</v>
      </c>
      <c r="I30" s="139">
        <v>0.0</v>
      </c>
      <c r="J30" s="139">
        <v>0.0</v>
      </c>
      <c r="K30" s="139">
        <v>0.0</v>
      </c>
      <c r="L30" s="139">
        <v>0.0</v>
      </c>
      <c r="M30" s="139">
        <v>0.0</v>
      </c>
      <c r="N30" s="139">
        <v>0.0</v>
      </c>
      <c r="O30" s="139">
        <v>0.0</v>
      </c>
      <c r="P30" s="139">
        <v>0.0</v>
      </c>
      <c r="Q30" s="139">
        <v>0.0</v>
      </c>
      <c r="R30" s="139">
        <v>0.0</v>
      </c>
      <c r="S30" s="139">
        <v>0.0</v>
      </c>
      <c r="T30" s="139">
        <v>0.0</v>
      </c>
      <c r="U30" s="139">
        <v>0.0</v>
      </c>
      <c r="V30" s="139">
        <v>0.0</v>
      </c>
      <c r="W30" s="139">
        <v>0.0</v>
      </c>
    </row>
    <row r="31" ht="15.75" customHeight="1"/>
    <row r="32" ht="15.75" customHeight="1"/>
    <row r="33" ht="15.75" customHeight="1"/>
    <row r="34" ht="15.75" customHeight="1">
      <c r="A34" s="91" t="s">
        <v>296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</row>
    <row r="35" ht="15.75" customHeight="1">
      <c r="A35" s="187" t="s">
        <v>297</v>
      </c>
      <c r="C35" s="188" t="s">
        <v>19</v>
      </c>
      <c r="D35" s="116" t="s">
        <v>5</v>
      </c>
      <c r="E35" s="116" t="s">
        <v>77</v>
      </c>
      <c r="F35" s="116" t="s">
        <v>6</v>
      </c>
      <c r="G35" s="116" t="s">
        <v>7</v>
      </c>
      <c r="H35" s="116" t="s">
        <v>8</v>
      </c>
      <c r="I35" s="116" t="s">
        <v>9</v>
      </c>
      <c r="J35" s="116" t="s">
        <v>10</v>
      </c>
      <c r="K35" s="116" t="s">
        <v>11</v>
      </c>
      <c r="L35" s="116" t="s">
        <v>12</v>
      </c>
      <c r="M35" s="116" t="s">
        <v>13</v>
      </c>
      <c r="N35" s="116" t="s">
        <v>14</v>
      </c>
      <c r="O35" s="116" t="s">
        <v>15</v>
      </c>
      <c r="P35" s="99" t="s">
        <v>92</v>
      </c>
      <c r="Q35" s="99" t="s">
        <v>78</v>
      </c>
      <c r="R35" s="99" t="s">
        <v>79</v>
      </c>
      <c r="S35" s="99" t="s">
        <v>80</v>
      </c>
      <c r="T35" s="99" t="s">
        <v>81</v>
      </c>
      <c r="U35" s="99" t="s">
        <v>82</v>
      </c>
      <c r="V35" s="99" t="s">
        <v>83</v>
      </c>
      <c r="W35" s="99" t="s">
        <v>84</v>
      </c>
    </row>
    <row r="36" ht="15.75" customHeight="1">
      <c r="A36" s="189">
        <v>1.0</v>
      </c>
      <c r="C36" s="190">
        <v>200.0</v>
      </c>
      <c r="D36" s="139">
        <v>0.0</v>
      </c>
      <c r="E36" s="139">
        <v>0.0</v>
      </c>
      <c r="F36" s="139">
        <v>0.0</v>
      </c>
      <c r="G36" s="139">
        <v>0.0</v>
      </c>
      <c r="H36" s="139">
        <v>0.0</v>
      </c>
      <c r="I36" s="139">
        <v>0.0</v>
      </c>
      <c r="J36" s="139">
        <v>0.0</v>
      </c>
      <c r="K36" s="139">
        <v>1.0</v>
      </c>
      <c r="L36" s="139">
        <v>0.0</v>
      </c>
      <c r="M36" s="139">
        <v>0.0</v>
      </c>
      <c r="N36" s="139">
        <v>0.0</v>
      </c>
      <c r="O36" s="139">
        <v>0.0</v>
      </c>
      <c r="P36" s="101">
        <v>0.0</v>
      </c>
      <c r="Q36" s="101">
        <v>0.0</v>
      </c>
      <c r="R36" s="101">
        <v>0.0</v>
      </c>
      <c r="S36" s="101">
        <v>0.0</v>
      </c>
      <c r="T36" s="101">
        <v>0.0</v>
      </c>
      <c r="U36" s="101">
        <v>0.0</v>
      </c>
      <c r="V36" s="101">
        <v>0.0</v>
      </c>
      <c r="W36" s="101">
        <v>0.0</v>
      </c>
    </row>
    <row r="37" ht="15.75" customHeight="1">
      <c r="A37" s="189">
        <v>2.0</v>
      </c>
      <c r="C37" s="190">
        <v>100.0</v>
      </c>
      <c r="D37" s="139">
        <v>0.0</v>
      </c>
      <c r="E37" s="139">
        <v>0.0</v>
      </c>
      <c r="F37" s="139">
        <v>0.0</v>
      </c>
      <c r="G37" s="139">
        <v>0.0</v>
      </c>
      <c r="H37" s="139">
        <v>0.0</v>
      </c>
      <c r="I37" s="139">
        <v>0.0</v>
      </c>
      <c r="J37" s="139">
        <v>1.0</v>
      </c>
      <c r="K37" s="139">
        <v>0.0</v>
      </c>
      <c r="L37" s="139">
        <v>0.0</v>
      </c>
      <c r="M37" s="139">
        <v>0.0</v>
      </c>
      <c r="N37" s="139">
        <v>0.0</v>
      </c>
      <c r="O37" s="139">
        <v>0.0</v>
      </c>
      <c r="P37" s="101">
        <v>0.0</v>
      </c>
      <c r="Q37" s="101">
        <v>0.0</v>
      </c>
      <c r="R37" s="101">
        <v>0.0</v>
      </c>
      <c r="S37" s="101">
        <v>0.0</v>
      </c>
      <c r="T37" s="101">
        <v>0.0</v>
      </c>
      <c r="U37" s="101">
        <v>0.0</v>
      </c>
      <c r="V37" s="101">
        <v>0.0</v>
      </c>
      <c r="W37" s="101">
        <v>0.0</v>
      </c>
    </row>
    <row r="38" ht="15.75" customHeight="1">
      <c r="A38" s="189">
        <v>3.0</v>
      </c>
      <c r="C38" s="190">
        <v>50.0</v>
      </c>
      <c r="D38" s="139">
        <v>0.0</v>
      </c>
      <c r="E38" s="139">
        <v>0.0</v>
      </c>
      <c r="F38" s="139">
        <v>0.0</v>
      </c>
      <c r="G38" s="139">
        <v>0.0</v>
      </c>
      <c r="H38" s="139">
        <v>0.0</v>
      </c>
      <c r="I38" s="139">
        <v>1.0</v>
      </c>
      <c r="J38" s="139">
        <v>0.0</v>
      </c>
      <c r="K38" s="139">
        <v>0.0</v>
      </c>
      <c r="L38" s="139">
        <v>0.0</v>
      </c>
      <c r="M38" s="139">
        <v>0.0</v>
      </c>
      <c r="N38" s="139">
        <v>0.0</v>
      </c>
      <c r="O38" s="139">
        <v>0.0</v>
      </c>
      <c r="P38" s="101">
        <v>0.0</v>
      </c>
      <c r="Q38" s="101">
        <v>0.0</v>
      </c>
      <c r="R38" s="101">
        <v>0.0</v>
      </c>
      <c r="S38" s="101">
        <v>0.0</v>
      </c>
      <c r="T38" s="101">
        <v>0.0</v>
      </c>
      <c r="U38" s="101">
        <v>0.0</v>
      </c>
      <c r="V38" s="101">
        <v>0.0</v>
      </c>
      <c r="W38" s="101">
        <v>0.0</v>
      </c>
    </row>
    <row r="39" ht="15.75" customHeight="1">
      <c r="A39" s="189">
        <v>4.0</v>
      </c>
      <c r="C39" s="190">
        <v>0.0</v>
      </c>
      <c r="D39" s="139">
        <v>0.0</v>
      </c>
      <c r="E39" s="139">
        <v>0.0</v>
      </c>
      <c r="F39" s="139">
        <v>0.0</v>
      </c>
      <c r="G39" s="139">
        <v>0.0</v>
      </c>
      <c r="H39" s="139">
        <v>0.0</v>
      </c>
      <c r="I39" s="139">
        <v>0.0</v>
      </c>
      <c r="J39" s="139">
        <v>1.0</v>
      </c>
      <c r="K39" s="139">
        <v>0.0</v>
      </c>
      <c r="L39" s="139">
        <v>0.0</v>
      </c>
      <c r="M39" s="139">
        <v>0.0</v>
      </c>
      <c r="N39" s="139">
        <v>0.0</v>
      </c>
      <c r="O39" s="139">
        <v>0.0</v>
      </c>
      <c r="P39" s="101">
        <v>0.0</v>
      </c>
      <c r="Q39" s="101">
        <v>0.0</v>
      </c>
      <c r="R39" s="101">
        <v>0.0</v>
      </c>
      <c r="S39" s="101">
        <v>0.0</v>
      </c>
      <c r="T39" s="101">
        <v>0.0</v>
      </c>
      <c r="U39" s="101">
        <v>0.0</v>
      </c>
      <c r="V39" s="101">
        <v>0.0</v>
      </c>
      <c r="W39" s="101">
        <v>0.0</v>
      </c>
    </row>
    <row r="40" ht="15.75" customHeight="1">
      <c r="A40" s="189">
        <v>5.0</v>
      </c>
      <c r="C40" s="190">
        <v>0.0</v>
      </c>
      <c r="D40" s="139">
        <v>0.0</v>
      </c>
      <c r="E40" s="139">
        <v>0.0</v>
      </c>
      <c r="F40" s="139">
        <v>0.0</v>
      </c>
      <c r="G40" s="139">
        <v>0.0</v>
      </c>
      <c r="H40" s="139">
        <v>0.0</v>
      </c>
      <c r="I40" s="139">
        <v>0.0</v>
      </c>
      <c r="J40" s="139">
        <v>1.0</v>
      </c>
      <c r="K40" s="139">
        <v>0.0</v>
      </c>
      <c r="L40" s="139">
        <v>0.0</v>
      </c>
      <c r="M40" s="139">
        <v>0.0</v>
      </c>
      <c r="N40" s="139">
        <v>0.0</v>
      </c>
      <c r="O40" s="139">
        <v>0.0</v>
      </c>
      <c r="P40" s="101">
        <v>0.0</v>
      </c>
      <c r="Q40" s="101">
        <v>0.0</v>
      </c>
      <c r="R40" s="101">
        <v>0.0</v>
      </c>
      <c r="S40" s="101">
        <v>0.0</v>
      </c>
      <c r="T40" s="101">
        <v>0.0</v>
      </c>
      <c r="U40" s="101">
        <v>0.0</v>
      </c>
      <c r="V40" s="101">
        <v>0.0</v>
      </c>
      <c r="W40" s="101">
        <v>0.0</v>
      </c>
    </row>
    <row r="41" ht="15.75" customHeight="1">
      <c r="A41" s="189">
        <v>6.0</v>
      </c>
      <c r="C41" s="190">
        <v>0.0</v>
      </c>
      <c r="D41" s="139">
        <v>0.0</v>
      </c>
      <c r="E41" s="139">
        <v>0.0</v>
      </c>
      <c r="F41" s="139">
        <v>0.0</v>
      </c>
      <c r="G41" s="139">
        <v>0.0</v>
      </c>
      <c r="H41" s="139">
        <v>0.0</v>
      </c>
      <c r="I41" s="139">
        <v>1.0</v>
      </c>
      <c r="J41" s="139">
        <v>0.0</v>
      </c>
      <c r="K41" s="139">
        <v>0.0</v>
      </c>
      <c r="L41" s="139">
        <v>0.0</v>
      </c>
      <c r="M41" s="139">
        <v>0.0</v>
      </c>
      <c r="N41" s="139">
        <v>0.0</v>
      </c>
      <c r="O41" s="139">
        <v>0.0</v>
      </c>
      <c r="P41" s="101">
        <v>0.0</v>
      </c>
      <c r="Q41" s="101">
        <v>0.0</v>
      </c>
      <c r="R41" s="101">
        <v>0.0</v>
      </c>
      <c r="S41" s="101">
        <v>0.0</v>
      </c>
      <c r="T41" s="101">
        <v>0.0</v>
      </c>
      <c r="U41" s="101">
        <v>0.0</v>
      </c>
      <c r="V41" s="101">
        <v>0.0</v>
      </c>
      <c r="W41" s="101">
        <v>0.0</v>
      </c>
    </row>
    <row r="42" ht="15.75" customHeight="1">
      <c r="A42" s="189">
        <v>7.0</v>
      </c>
      <c r="C42" s="190">
        <v>0.0</v>
      </c>
      <c r="D42" s="139">
        <v>0.0</v>
      </c>
      <c r="E42" s="139">
        <v>0.0</v>
      </c>
      <c r="F42" s="139">
        <v>0.0</v>
      </c>
      <c r="G42" s="139">
        <v>0.0</v>
      </c>
      <c r="H42" s="139">
        <v>0.0</v>
      </c>
      <c r="I42" s="139">
        <v>1.0</v>
      </c>
      <c r="J42" s="139">
        <v>0.0</v>
      </c>
      <c r="K42" s="139">
        <v>0.0</v>
      </c>
      <c r="L42" s="139">
        <v>0.0</v>
      </c>
      <c r="M42" s="139">
        <v>0.0</v>
      </c>
      <c r="N42" s="139">
        <v>0.0</v>
      </c>
      <c r="O42" s="139">
        <v>0.0</v>
      </c>
      <c r="P42" s="101">
        <v>0.0</v>
      </c>
      <c r="Q42" s="101">
        <v>0.0</v>
      </c>
      <c r="R42" s="101">
        <v>0.0</v>
      </c>
      <c r="S42" s="101">
        <v>0.0</v>
      </c>
      <c r="T42" s="101">
        <v>0.0</v>
      </c>
      <c r="U42" s="101">
        <v>0.0</v>
      </c>
      <c r="V42" s="101">
        <v>0.0</v>
      </c>
      <c r="W42" s="101">
        <v>0.0</v>
      </c>
    </row>
    <row r="43" ht="15.75" customHeight="1">
      <c r="A43" s="189">
        <v>8.0</v>
      </c>
      <c r="C43" s="190">
        <v>0.0</v>
      </c>
      <c r="D43" s="139">
        <v>0.0</v>
      </c>
      <c r="E43" s="139">
        <v>0.0</v>
      </c>
      <c r="F43" s="139">
        <v>0.0</v>
      </c>
      <c r="G43" s="139">
        <v>0.0</v>
      </c>
      <c r="H43" s="139">
        <v>0.0</v>
      </c>
      <c r="I43" s="139">
        <v>1.0</v>
      </c>
      <c r="J43" s="139">
        <v>0.0</v>
      </c>
      <c r="K43" s="139">
        <v>0.0</v>
      </c>
      <c r="L43" s="139">
        <v>0.0</v>
      </c>
      <c r="M43" s="139">
        <v>0.0</v>
      </c>
      <c r="N43" s="139">
        <v>0.0</v>
      </c>
      <c r="O43" s="139">
        <v>0.0</v>
      </c>
      <c r="P43" s="101">
        <v>0.0</v>
      </c>
      <c r="Q43" s="101">
        <v>0.0</v>
      </c>
      <c r="R43" s="101">
        <v>0.0</v>
      </c>
      <c r="S43" s="101">
        <v>0.0</v>
      </c>
      <c r="T43" s="101">
        <v>0.0</v>
      </c>
      <c r="U43" s="101">
        <v>0.0</v>
      </c>
      <c r="V43" s="101">
        <v>0.0</v>
      </c>
      <c r="W43" s="101">
        <v>0.0</v>
      </c>
    </row>
    <row r="44" ht="15.75" customHeight="1">
      <c r="A44" s="189">
        <v>9.0</v>
      </c>
      <c r="C44" s="190">
        <v>0.0</v>
      </c>
      <c r="D44" s="139">
        <v>0.0</v>
      </c>
      <c r="E44" s="139">
        <v>0.0</v>
      </c>
      <c r="F44" s="139">
        <v>0.0</v>
      </c>
      <c r="G44" s="139">
        <v>0.0</v>
      </c>
      <c r="H44" s="139">
        <v>0.0</v>
      </c>
      <c r="I44" s="139">
        <v>1.0</v>
      </c>
      <c r="J44" s="139">
        <v>0.0</v>
      </c>
      <c r="K44" s="139">
        <v>0.0</v>
      </c>
      <c r="L44" s="139">
        <v>0.0</v>
      </c>
      <c r="M44" s="139">
        <v>0.0</v>
      </c>
      <c r="N44" s="139">
        <v>0.0</v>
      </c>
      <c r="O44" s="139">
        <v>0.0</v>
      </c>
      <c r="P44" s="101">
        <v>0.0</v>
      </c>
      <c r="Q44" s="101">
        <v>0.0</v>
      </c>
      <c r="R44" s="101">
        <v>0.0</v>
      </c>
      <c r="S44" s="101">
        <v>0.0</v>
      </c>
      <c r="T44" s="101">
        <v>0.0</v>
      </c>
      <c r="U44" s="101">
        <v>0.0</v>
      </c>
      <c r="V44" s="101">
        <v>0.0</v>
      </c>
      <c r="W44" s="101">
        <v>0.0</v>
      </c>
    </row>
    <row r="45" ht="15.75" customHeight="1">
      <c r="A45" s="189">
        <v>10.0</v>
      </c>
      <c r="C45" s="190">
        <v>0.0</v>
      </c>
      <c r="D45" s="139">
        <v>0.0</v>
      </c>
      <c r="E45" s="139">
        <v>0.0</v>
      </c>
      <c r="F45" s="139">
        <v>0.0</v>
      </c>
      <c r="G45" s="139">
        <v>0.0</v>
      </c>
      <c r="H45" s="139">
        <v>0.0</v>
      </c>
      <c r="I45" s="139">
        <v>1.0</v>
      </c>
      <c r="J45" s="139">
        <v>0.0</v>
      </c>
      <c r="K45" s="139">
        <v>0.0</v>
      </c>
      <c r="L45" s="139">
        <v>0.0</v>
      </c>
      <c r="M45" s="139">
        <v>0.0</v>
      </c>
      <c r="N45" s="139">
        <v>0.0</v>
      </c>
      <c r="O45" s="139">
        <v>0.0</v>
      </c>
      <c r="P45" s="101">
        <v>0.0</v>
      </c>
      <c r="Q45" s="101">
        <v>0.0</v>
      </c>
      <c r="R45" s="101">
        <v>0.0</v>
      </c>
      <c r="S45" s="101">
        <v>0.0</v>
      </c>
      <c r="T45" s="101">
        <v>0.0</v>
      </c>
      <c r="U45" s="101">
        <v>0.0</v>
      </c>
      <c r="V45" s="101">
        <v>0.0</v>
      </c>
      <c r="W45" s="101">
        <v>0.0</v>
      </c>
    </row>
    <row r="46" ht="15.75" customHeight="1">
      <c r="A46" s="189">
        <v>11.0</v>
      </c>
      <c r="C46" s="190">
        <v>0.0</v>
      </c>
      <c r="D46" s="139">
        <v>0.0</v>
      </c>
      <c r="E46" s="139">
        <v>0.0</v>
      </c>
      <c r="F46" s="139">
        <v>0.0</v>
      </c>
      <c r="G46" s="139">
        <v>0.0</v>
      </c>
      <c r="H46" s="139">
        <v>0.0</v>
      </c>
      <c r="I46" s="139">
        <v>0.0</v>
      </c>
      <c r="J46" s="139">
        <v>0.0</v>
      </c>
      <c r="K46" s="139">
        <v>0.0</v>
      </c>
      <c r="L46" s="139">
        <v>0.0</v>
      </c>
      <c r="M46" s="139">
        <v>0.0</v>
      </c>
      <c r="N46" s="139">
        <v>0.0</v>
      </c>
      <c r="O46" s="139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1">
        <v>0.0</v>
      </c>
      <c r="V46" s="101">
        <v>0.0</v>
      </c>
      <c r="W46" s="101">
        <v>0.0</v>
      </c>
    </row>
    <row r="47" ht="15.75" customHeight="1">
      <c r="A47" s="189">
        <v>12.0</v>
      </c>
      <c r="C47" s="190">
        <v>0.0</v>
      </c>
      <c r="D47" s="139">
        <v>0.0</v>
      </c>
      <c r="E47" s="139">
        <v>0.0</v>
      </c>
      <c r="F47" s="139">
        <v>0.0</v>
      </c>
      <c r="G47" s="139">
        <v>0.0</v>
      </c>
      <c r="H47" s="139">
        <v>0.0</v>
      </c>
      <c r="I47" s="139">
        <v>0.0</v>
      </c>
      <c r="J47" s="139">
        <v>0.0</v>
      </c>
      <c r="K47" s="139">
        <v>0.0</v>
      </c>
      <c r="L47" s="139">
        <v>0.0</v>
      </c>
      <c r="M47" s="139">
        <v>0.0</v>
      </c>
      <c r="N47" s="139">
        <v>0.0</v>
      </c>
      <c r="O47" s="139">
        <v>0.0</v>
      </c>
      <c r="P47" s="101">
        <v>0.0</v>
      </c>
      <c r="Q47" s="101">
        <v>0.0</v>
      </c>
      <c r="R47" s="101">
        <v>0.0</v>
      </c>
      <c r="S47" s="101">
        <v>0.0</v>
      </c>
      <c r="T47" s="101">
        <v>0.0</v>
      </c>
      <c r="U47" s="101">
        <v>0.0</v>
      </c>
      <c r="V47" s="101">
        <v>0.0</v>
      </c>
      <c r="W47" s="101">
        <v>0.0</v>
      </c>
    </row>
    <row r="48" ht="15.75" customHeight="1">
      <c r="A48" s="189">
        <v>13.0</v>
      </c>
      <c r="C48" s="190">
        <v>0.0</v>
      </c>
      <c r="D48" s="139">
        <v>0.0</v>
      </c>
      <c r="E48" s="139">
        <v>0.0</v>
      </c>
      <c r="F48" s="139">
        <v>0.0</v>
      </c>
      <c r="G48" s="139">
        <v>0.0</v>
      </c>
      <c r="H48" s="139">
        <v>0.0</v>
      </c>
      <c r="I48" s="139">
        <v>0.0</v>
      </c>
      <c r="J48" s="139">
        <v>0.0</v>
      </c>
      <c r="K48" s="139">
        <v>0.0</v>
      </c>
      <c r="L48" s="139">
        <v>0.0</v>
      </c>
      <c r="M48" s="139">
        <v>0.0</v>
      </c>
      <c r="N48" s="139">
        <v>0.0</v>
      </c>
      <c r="O48" s="139">
        <v>0.0</v>
      </c>
      <c r="P48" s="101">
        <v>0.0</v>
      </c>
      <c r="Q48" s="101">
        <v>0.0</v>
      </c>
      <c r="R48" s="101">
        <v>0.0</v>
      </c>
      <c r="S48" s="101">
        <v>0.0</v>
      </c>
      <c r="T48" s="101">
        <v>0.0</v>
      </c>
      <c r="U48" s="101">
        <v>0.0</v>
      </c>
      <c r="V48" s="101">
        <v>0.0</v>
      </c>
      <c r="W48" s="101">
        <v>0.0</v>
      </c>
    </row>
    <row r="49" ht="15.75" customHeight="1">
      <c r="A49" s="189">
        <v>14.0</v>
      </c>
      <c r="C49" s="190">
        <v>0.0</v>
      </c>
      <c r="D49" s="139">
        <v>0.0</v>
      </c>
      <c r="E49" s="139">
        <v>0.0</v>
      </c>
      <c r="F49" s="139">
        <v>0.0</v>
      </c>
      <c r="G49" s="139">
        <v>0.0</v>
      </c>
      <c r="H49" s="139">
        <v>0.0</v>
      </c>
      <c r="I49" s="139">
        <v>0.0</v>
      </c>
      <c r="J49" s="139">
        <v>0.0</v>
      </c>
      <c r="K49" s="139">
        <v>0.0</v>
      </c>
      <c r="L49" s="139">
        <v>0.0</v>
      </c>
      <c r="M49" s="139">
        <v>0.0</v>
      </c>
      <c r="N49" s="139">
        <v>0.0</v>
      </c>
      <c r="O49" s="139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1">
        <v>0.0</v>
      </c>
      <c r="V49" s="101">
        <v>0.0</v>
      </c>
      <c r="W49" s="101">
        <v>0.0</v>
      </c>
    </row>
    <row r="50" ht="15.75" customHeight="1">
      <c r="A50" s="189">
        <v>15.0</v>
      </c>
      <c r="C50" s="190">
        <v>0.0</v>
      </c>
      <c r="D50" s="139">
        <v>0.0</v>
      </c>
      <c r="E50" s="139">
        <v>0.0</v>
      </c>
      <c r="F50" s="139">
        <v>0.0</v>
      </c>
      <c r="G50" s="139">
        <v>0.0</v>
      </c>
      <c r="H50" s="139">
        <v>0.0</v>
      </c>
      <c r="I50" s="139">
        <v>0.0</v>
      </c>
      <c r="J50" s="139">
        <v>0.0</v>
      </c>
      <c r="K50" s="139">
        <v>0.0</v>
      </c>
      <c r="L50" s="139">
        <v>0.0</v>
      </c>
      <c r="M50" s="139">
        <v>0.0</v>
      </c>
      <c r="N50" s="139">
        <v>0.0</v>
      </c>
      <c r="O50" s="139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  <c r="W50" s="101">
        <v>0.0</v>
      </c>
    </row>
    <row r="51" ht="15.75" customHeight="1">
      <c r="A51" s="189">
        <v>16.0</v>
      </c>
      <c r="C51" s="190">
        <v>0.0</v>
      </c>
      <c r="D51" s="139">
        <v>0.0</v>
      </c>
      <c r="E51" s="139">
        <v>0.0</v>
      </c>
      <c r="F51" s="139">
        <v>0.0</v>
      </c>
      <c r="G51" s="139">
        <v>0.0</v>
      </c>
      <c r="H51" s="139">
        <v>0.0</v>
      </c>
      <c r="I51" s="139">
        <v>0.0</v>
      </c>
      <c r="J51" s="139">
        <v>0.0</v>
      </c>
      <c r="K51" s="139">
        <v>0.0</v>
      </c>
      <c r="L51" s="139">
        <v>0.0</v>
      </c>
      <c r="M51" s="139">
        <v>0.0</v>
      </c>
      <c r="N51" s="139">
        <v>0.0</v>
      </c>
      <c r="O51" s="139">
        <v>0.0</v>
      </c>
      <c r="P51" s="101">
        <v>0.0</v>
      </c>
      <c r="Q51" s="101">
        <v>0.0</v>
      </c>
      <c r="R51" s="101">
        <v>0.0</v>
      </c>
      <c r="S51" s="101">
        <v>0.0</v>
      </c>
      <c r="T51" s="101">
        <v>0.0</v>
      </c>
      <c r="U51" s="101">
        <v>0.0</v>
      </c>
      <c r="V51" s="101">
        <v>0.0</v>
      </c>
      <c r="W51" s="101">
        <v>0.0</v>
      </c>
    </row>
    <row r="52" ht="15.75" customHeight="1">
      <c r="A52" s="189">
        <v>17.0</v>
      </c>
      <c r="C52" s="190">
        <v>0.0</v>
      </c>
      <c r="D52" s="139">
        <v>0.0</v>
      </c>
      <c r="E52" s="139">
        <v>0.0</v>
      </c>
      <c r="F52" s="139">
        <v>0.0</v>
      </c>
      <c r="G52" s="139">
        <v>0.0</v>
      </c>
      <c r="H52" s="139">
        <v>0.0</v>
      </c>
      <c r="I52" s="139">
        <v>0.0</v>
      </c>
      <c r="J52" s="139">
        <v>0.0</v>
      </c>
      <c r="K52" s="139">
        <v>0.0</v>
      </c>
      <c r="L52" s="139">
        <v>0.0</v>
      </c>
      <c r="M52" s="139">
        <v>0.0</v>
      </c>
      <c r="N52" s="139">
        <v>0.0</v>
      </c>
      <c r="O52" s="139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1">
        <v>0.0</v>
      </c>
      <c r="V52" s="101">
        <v>0.0</v>
      </c>
      <c r="W52" s="101">
        <v>0.0</v>
      </c>
    </row>
    <row r="53" ht="15.75" customHeight="1">
      <c r="A53" s="189">
        <v>18.0</v>
      </c>
      <c r="C53" s="190">
        <v>0.0</v>
      </c>
      <c r="D53" s="139">
        <v>0.0</v>
      </c>
      <c r="E53" s="139">
        <v>0.0</v>
      </c>
      <c r="F53" s="139">
        <v>0.0</v>
      </c>
      <c r="G53" s="139">
        <v>0.0</v>
      </c>
      <c r="H53" s="139">
        <v>0.0</v>
      </c>
      <c r="I53" s="139">
        <v>0.0</v>
      </c>
      <c r="J53" s="139">
        <v>0.0</v>
      </c>
      <c r="K53" s="139">
        <v>0.0</v>
      </c>
      <c r="L53" s="139">
        <v>0.0</v>
      </c>
      <c r="M53" s="139">
        <v>0.0</v>
      </c>
      <c r="N53" s="139">
        <v>0.0</v>
      </c>
      <c r="O53" s="139">
        <v>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1">
        <v>0.0</v>
      </c>
      <c r="V53" s="101">
        <v>0.0</v>
      </c>
      <c r="W53" s="101">
        <v>0.0</v>
      </c>
    </row>
    <row r="54" ht="15.75" customHeight="1">
      <c r="A54" s="189">
        <v>19.0</v>
      </c>
      <c r="C54" s="190">
        <v>0.0</v>
      </c>
      <c r="D54" s="139">
        <v>0.0</v>
      </c>
      <c r="E54" s="139">
        <v>0.0</v>
      </c>
      <c r="F54" s="139">
        <v>0.0</v>
      </c>
      <c r="G54" s="139">
        <v>0.0</v>
      </c>
      <c r="H54" s="139">
        <v>0.0</v>
      </c>
      <c r="I54" s="139">
        <v>0.0</v>
      </c>
      <c r="J54" s="139">
        <v>0.0</v>
      </c>
      <c r="K54" s="139">
        <v>0.0</v>
      </c>
      <c r="L54" s="139">
        <v>0.0</v>
      </c>
      <c r="M54" s="139">
        <v>0.0</v>
      </c>
      <c r="N54" s="139">
        <v>0.0</v>
      </c>
      <c r="O54" s="139">
        <v>0.0</v>
      </c>
      <c r="P54" s="101">
        <v>0.0</v>
      </c>
      <c r="Q54" s="101">
        <v>0.0</v>
      </c>
      <c r="R54" s="101">
        <v>0.0</v>
      </c>
      <c r="S54" s="101">
        <v>0.0</v>
      </c>
      <c r="T54" s="101">
        <v>0.0</v>
      </c>
      <c r="U54" s="101">
        <v>0.0</v>
      </c>
      <c r="V54" s="101">
        <v>0.0</v>
      </c>
      <c r="W54" s="101">
        <v>0.0</v>
      </c>
    </row>
    <row r="55" ht="15.75" customHeight="1">
      <c r="A55" s="189">
        <v>20.0</v>
      </c>
      <c r="C55" s="190">
        <v>0.0</v>
      </c>
      <c r="D55" s="139">
        <v>0.0</v>
      </c>
      <c r="E55" s="139">
        <v>0.0</v>
      </c>
      <c r="F55" s="139">
        <v>0.0</v>
      </c>
      <c r="G55" s="139">
        <v>0.0</v>
      </c>
      <c r="H55" s="139">
        <v>0.0</v>
      </c>
      <c r="I55" s="139">
        <v>0.0</v>
      </c>
      <c r="J55" s="139">
        <v>0.0</v>
      </c>
      <c r="K55" s="139">
        <v>0.0</v>
      </c>
      <c r="L55" s="139">
        <v>0.0</v>
      </c>
      <c r="M55" s="139">
        <v>0.0</v>
      </c>
      <c r="N55" s="139">
        <v>0.0</v>
      </c>
      <c r="O55" s="139">
        <v>0.0</v>
      </c>
      <c r="P55" s="101">
        <v>0.0</v>
      </c>
      <c r="Q55" s="101">
        <v>0.0</v>
      </c>
      <c r="R55" s="101">
        <v>0.0</v>
      </c>
      <c r="S55" s="101">
        <v>0.0</v>
      </c>
      <c r="T55" s="101">
        <v>0.0</v>
      </c>
      <c r="U55" s="101">
        <v>0.0</v>
      </c>
      <c r="V55" s="101">
        <v>0.0</v>
      </c>
      <c r="W55" s="101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W30 C36:W55">
    <cfRule type="cellIs" dxfId="1" priority="1" operator="greaterThan">
      <formula>0</formula>
    </cfRule>
  </conditionalFormatting>
  <conditionalFormatting sqref="A11:W30 A36:A55 C36:W55">
    <cfRule type="expression" dxfId="2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148" t="s">
        <v>35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</row>
    <row r="2" ht="19.5" customHeight="1">
      <c r="A2" s="192" t="s">
        <v>88</v>
      </c>
      <c r="B2" s="192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</row>
    <row r="3">
      <c r="A3" s="193" t="s">
        <v>301</v>
      </c>
      <c r="B3" s="194" t="s">
        <v>302</v>
      </c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</row>
    <row r="4">
      <c r="A4" s="193" t="s">
        <v>171</v>
      </c>
      <c r="B4" s="195">
        <v>7.0</v>
      </c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</row>
    <row r="5">
      <c r="A5" s="193" t="s">
        <v>303</v>
      </c>
      <c r="B5" s="195">
        <v>3.0</v>
      </c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</row>
    <row r="6">
      <c r="A6" s="193" t="s">
        <v>304</v>
      </c>
      <c r="B6" s="195">
        <v>3.0</v>
      </c>
      <c r="C6" s="191"/>
      <c r="D6" s="191"/>
      <c r="E6" s="191"/>
      <c r="F6" s="191"/>
      <c r="G6" s="191"/>
      <c r="H6" s="191"/>
      <c r="I6" s="191"/>
      <c r="J6" s="191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</row>
    <row r="7">
      <c r="A7" s="193" t="s">
        <v>305</v>
      </c>
      <c r="B7" s="195" t="b">
        <f t="shared" ref="B7:B8" si="1">FALSE()</f>
        <v>0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</row>
    <row r="8">
      <c r="A8" s="193" t="s">
        <v>306</v>
      </c>
      <c r="B8" s="195" t="b">
        <f t="shared" si="1"/>
        <v>0</v>
      </c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</row>
    <row r="9">
      <c r="A9" s="193" t="s">
        <v>307</v>
      </c>
      <c r="B9" s="195">
        <v>12.0</v>
      </c>
      <c r="C9" s="191"/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</row>
    <row r="10">
      <c r="A10" s="193" t="s">
        <v>308</v>
      </c>
      <c r="B10" s="195">
        <f>SUM(B16:B22)</f>
        <v>165</v>
      </c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</row>
    <row r="11">
      <c r="A11" s="193" t="s">
        <v>309</v>
      </c>
      <c r="B11" s="195">
        <f>SUM(B26:B28)</f>
        <v>110</v>
      </c>
      <c r="C11" s="191"/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</row>
    <row r="12">
      <c r="A12" s="193" t="s">
        <v>310</v>
      </c>
      <c r="B12" s="195">
        <f>COUNTIFS(B16:B22,"&gt;0")</f>
        <v>3</v>
      </c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</row>
    <row r="13">
      <c r="A13" s="191"/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</row>
    <row r="14" ht="19.5" customHeight="1">
      <c r="A14" s="192" t="s">
        <v>311</v>
      </c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</row>
    <row r="15" ht="75.0" customHeight="1">
      <c r="A15" s="196" t="s">
        <v>118</v>
      </c>
      <c r="B15" s="197" t="s">
        <v>19</v>
      </c>
      <c r="C15" s="154" t="s">
        <v>5</v>
      </c>
      <c r="D15" s="154" t="s">
        <v>77</v>
      </c>
      <c r="E15" s="154" t="s">
        <v>6</v>
      </c>
      <c r="F15" s="154" t="s">
        <v>7</v>
      </c>
      <c r="G15" s="154" t="s">
        <v>8</v>
      </c>
      <c r="H15" s="154" t="s">
        <v>9</v>
      </c>
      <c r="I15" s="154" t="s">
        <v>10</v>
      </c>
      <c r="J15" s="154" t="s">
        <v>11</v>
      </c>
      <c r="K15" s="154" t="s">
        <v>12</v>
      </c>
      <c r="L15" s="154" t="s">
        <v>13</v>
      </c>
      <c r="M15" s="154" t="s">
        <v>14</v>
      </c>
      <c r="N15" s="154" t="s">
        <v>15</v>
      </c>
      <c r="O15" s="154" t="s">
        <v>92</v>
      </c>
      <c r="P15" s="154" t="s">
        <v>78</v>
      </c>
      <c r="Q15" s="154" t="s">
        <v>79</v>
      </c>
      <c r="R15" s="154" t="s">
        <v>80</v>
      </c>
      <c r="S15" s="154" t="s">
        <v>81</v>
      </c>
      <c r="T15" s="154" t="s">
        <v>82</v>
      </c>
      <c r="U15" s="154" t="s">
        <v>83</v>
      </c>
      <c r="V15" s="154" t="s">
        <v>84</v>
      </c>
    </row>
    <row r="16">
      <c r="A16" s="198" t="str">
        <f t="shared" ref="A16:A22" si="2">CHOOSE(ROW()-ROW($A$16)+1,"1st","2nd","3rd","4th","5th","6th","7th","8th","9th","10th")</f>
        <v>1st</v>
      </c>
      <c r="B16" s="199">
        <v>100.0</v>
      </c>
      <c r="C16" s="152">
        <v>0.0</v>
      </c>
      <c r="D16" s="152">
        <v>0.0</v>
      </c>
      <c r="E16" s="152">
        <v>0.0</v>
      </c>
      <c r="F16" s="152">
        <v>0.0</v>
      </c>
      <c r="G16" s="152">
        <v>1.0</v>
      </c>
      <c r="H16" s="152">
        <v>0.0</v>
      </c>
      <c r="I16" s="152">
        <v>1.0</v>
      </c>
      <c r="J16" s="152">
        <v>1.0</v>
      </c>
      <c r="K16" s="152">
        <v>0.0</v>
      </c>
      <c r="L16" s="152">
        <v>0.0</v>
      </c>
      <c r="M16" s="152">
        <v>0.0</v>
      </c>
      <c r="N16" s="152">
        <v>0.0</v>
      </c>
      <c r="O16" s="152">
        <v>0.0</v>
      </c>
      <c r="P16" s="152">
        <v>0.0</v>
      </c>
      <c r="Q16" s="152">
        <v>0.0</v>
      </c>
      <c r="R16" s="152">
        <v>0.0</v>
      </c>
      <c r="S16" s="152">
        <v>0.0</v>
      </c>
      <c r="T16" s="152">
        <v>0.0</v>
      </c>
      <c r="U16" s="152">
        <v>0.0</v>
      </c>
      <c r="V16" s="152">
        <v>0.0</v>
      </c>
    </row>
    <row r="17">
      <c r="A17" s="198" t="str">
        <f t="shared" si="2"/>
        <v>2nd</v>
      </c>
      <c r="B17" s="199">
        <v>45.0</v>
      </c>
      <c r="C17" s="152">
        <v>0.0</v>
      </c>
      <c r="D17" s="152">
        <v>0.0</v>
      </c>
      <c r="E17" s="152">
        <v>0.0</v>
      </c>
      <c r="F17" s="152">
        <v>0.0</v>
      </c>
      <c r="G17" s="152">
        <v>1.0</v>
      </c>
      <c r="H17" s="152">
        <v>1.0</v>
      </c>
      <c r="I17" s="152">
        <v>0.0</v>
      </c>
      <c r="J17" s="152">
        <v>1.0</v>
      </c>
      <c r="K17" s="152">
        <v>0.0</v>
      </c>
      <c r="L17" s="152">
        <v>0.0</v>
      </c>
      <c r="M17" s="152">
        <v>0.0</v>
      </c>
      <c r="N17" s="152">
        <v>0.0</v>
      </c>
      <c r="O17" s="152">
        <v>0.0</v>
      </c>
      <c r="P17" s="152">
        <v>0.0</v>
      </c>
      <c r="Q17" s="152">
        <v>0.0</v>
      </c>
      <c r="R17" s="152">
        <v>0.0</v>
      </c>
      <c r="S17" s="152">
        <v>0.0</v>
      </c>
      <c r="T17" s="152">
        <v>0.0</v>
      </c>
      <c r="U17" s="152">
        <v>0.0</v>
      </c>
      <c r="V17" s="152">
        <v>0.0</v>
      </c>
    </row>
    <row r="18">
      <c r="A18" s="198" t="str">
        <f t="shared" si="2"/>
        <v>3rd</v>
      </c>
      <c r="B18" s="199">
        <v>20.0</v>
      </c>
      <c r="C18" s="152">
        <v>0.0</v>
      </c>
      <c r="D18" s="152">
        <v>0.0</v>
      </c>
      <c r="E18" s="152">
        <v>0.0</v>
      </c>
      <c r="F18" s="152">
        <v>0.0</v>
      </c>
      <c r="G18" s="152">
        <v>0.0</v>
      </c>
      <c r="H18" s="152">
        <v>1.0</v>
      </c>
      <c r="I18" s="152">
        <v>1.0</v>
      </c>
      <c r="J18" s="152">
        <v>0.0</v>
      </c>
      <c r="K18" s="152">
        <v>0.0</v>
      </c>
      <c r="L18" s="152">
        <v>0.0</v>
      </c>
      <c r="M18" s="152">
        <v>0.0</v>
      </c>
      <c r="N18" s="152">
        <v>0.0</v>
      </c>
      <c r="O18" s="152">
        <v>0.0</v>
      </c>
      <c r="P18" s="152">
        <v>0.0</v>
      </c>
      <c r="Q18" s="152">
        <v>0.0</v>
      </c>
      <c r="R18" s="152">
        <v>0.0</v>
      </c>
      <c r="S18" s="152">
        <v>0.0</v>
      </c>
      <c r="T18" s="152">
        <v>0.0</v>
      </c>
      <c r="U18" s="152">
        <v>0.0</v>
      </c>
      <c r="V18" s="152">
        <v>0.0</v>
      </c>
    </row>
    <row r="19">
      <c r="A19" s="198" t="str">
        <f t="shared" si="2"/>
        <v>4th</v>
      </c>
      <c r="B19" s="199">
        <v>0.0</v>
      </c>
      <c r="C19" s="152">
        <v>0.0</v>
      </c>
      <c r="D19" s="152">
        <v>0.0</v>
      </c>
      <c r="E19" s="152">
        <v>0.0</v>
      </c>
      <c r="F19" s="152">
        <v>0.0</v>
      </c>
      <c r="G19" s="152">
        <v>0.0</v>
      </c>
      <c r="H19" s="152">
        <v>0.0</v>
      </c>
      <c r="I19" s="152">
        <v>0.0</v>
      </c>
      <c r="J19" s="152">
        <v>0.0</v>
      </c>
      <c r="K19" s="152">
        <v>0.0</v>
      </c>
      <c r="L19" s="152">
        <v>0.0</v>
      </c>
      <c r="M19" s="152">
        <v>0.0</v>
      </c>
      <c r="N19" s="152">
        <v>0.0</v>
      </c>
      <c r="O19" s="152">
        <v>0.0</v>
      </c>
      <c r="P19" s="152">
        <v>0.0</v>
      </c>
      <c r="Q19" s="152">
        <v>0.0</v>
      </c>
      <c r="R19" s="152">
        <v>0.0</v>
      </c>
      <c r="S19" s="152">
        <v>0.0</v>
      </c>
      <c r="T19" s="152">
        <v>0.0</v>
      </c>
      <c r="U19" s="152">
        <v>0.0</v>
      </c>
      <c r="V19" s="152">
        <v>0.0</v>
      </c>
    </row>
    <row r="20">
      <c r="A20" s="198" t="str">
        <f t="shared" si="2"/>
        <v>5th</v>
      </c>
      <c r="B20" s="199">
        <v>0.0</v>
      </c>
      <c r="C20" s="152">
        <v>0.0</v>
      </c>
      <c r="D20" s="152">
        <v>0.0</v>
      </c>
      <c r="E20" s="152">
        <v>0.0</v>
      </c>
      <c r="F20" s="152">
        <v>0.0</v>
      </c>
      <c r="G20" s="152">
        <v>0.0</v>
      </c>
      <c r="H20" s="152">
        <v>0.0</v>
      </c>
      <c r="I20" s="152">
        <v>0.0</v>
      </c>
      <c r="J20" s="152">
        <v>0.0</v>
      </c>
      <c r="K20" s="152">
        <v>0.0</v>
      </c>
      <c r="L20" s="152">
        <v>0.0</v>
      </c>
      <c r="M20" s="152">
        <v>0.0</v>
      </c>
      <c r="N20" s="152">
        <v>0.0</v>
      </c>
      <c r="O20" s="152">
        <v>0.0</v>
      </c>
      <c r="P20" s="152">
        <v>0.0</v>
      </c>
      <c r="Q20" s="152">
        <v>0.0</v>
      </c>
      <c r="R20" s="152">
        <v>0.0</v>
      </c>
      <c r="S20" s="152">
        <v>0.0</v>
      </c>
      <c r="T20" s="152">
        <v>0.0</v>
      </c>
      <c r="U20" s="152">
        <v>0.0</v>
      </c>
      <c r="V20" s="152">
        <v>0.0</v>
      </c>
    </row>
    <row r="21" ht="15.75" customHeight="1">
      <c r="A21" s="198" t="str">
        <f t="shared" si="2"/>
        <v>6th</v>
      </c>
      <c r="B21" s="199">
        <v>0.0</v>
      </c>
      <c r="C21" s="152">
        <v>0.0</v>
      </c>
      <c r="D21" s="152">
        <v>0.0</v>
      </c>
      <c r="E21" s="152">
        <v>0.0</v>
      </c>
      <c r="F21" s="152">
        <v>0.0</v>
      </c>
      <c r="G21" s="152">
        <v>0.0</v>
      </c>
      <c r="H21" s="152">
        <v>0.0</v>
      </c>
      <c r="I21" s="152">
        <v>0.0</v>
      </c>
      <c r="J21" s="152">
        <v>0.0</v>
      </c>
      <c r="K21" s="152">
        <v>0.0</v>
      </c>
      <c r="L21" s="152">
        <v>0.0</v>
      </c>
      <c r="M21" s="152">
        <v>0.0</v>
      </c>
      <c r="N21" s="152">
        <v>0.0</v>
      </c>
      <c r="O21" s="152">
        <v>0.0</v>
      </c>
      <c r="P21" s="152">
        <v>0.0</v>
      </c>
      <c r="Q21" s="152">
        <v>0.0</v>
      </c>
      <c r="R21" s="152">
        <v>0.0</v>
      </c>
      <c r="S21" s="152">
        <v>0.0</v>
      </c>
      <c r="T21" s="152">
        <v>0.0</v>
      </c>
      <c r="U21" s="152">
        <v>0.0</v>
      </c>
      <c r="V21" s="152">
        <v>0.0</v>
      </c>
    </row>
    <row r="22" ht="15.75" customHeight="1">
      <c r="A22" s="198" t="str">
        <f t="shared" si="2"/>
        <v>7th</v>
      </c>
      <c r="B22" s="199">
        <v>0.0</v>
      </c>
      <c r="C22" s="152">
        <v>0.0</v>
      </c>
      <c r="D22" s="152">
        <v>0.0</v>
      </c>
      <c r="E22" s="152">
        <v>0.0</v>
      </c>
      <c r="F22" s="152">
        <v>0.0</v>
      </c>
      <c r="G22" s="152">
        <v>0.0</v>
      </c>
      <c r="H22" s="152">
        <v>0.0</v>
      </c>
      <c r="I22" s="152">
        <v>0.0</v>
      </c>
      <c r="J22" s="152">
        <v>0.0</v>
      </c>
      <c r="K22" s="152">
        <v>0.0</v>
      </c>
      <c r="L22" s="152">
        <v>0.0</v>
      </c>
      <c r="M22" s="152">
        <v>0.0</v>
      </c>
      <c r="N22" s="152">
        <v>0.0</v>
      </c>
      <c r="O22" s="152">
        <v>0.0</v>
      </c>
      <c r="P22" s="152">
        <v>0.0</v>
      </c>
      <c r="Q22" s="152">
        <v>0.0</v>
      </c>
      <c r="R22" s="152">
        <v>0.0</v>
      </c>
      <c r="S22" s="152">
        <v>0.0</v>
      </c>
      <c r="T22" s="152">
        <v>0.0</v>
      </c>
      <c r="U22" s="152">
        <v>0.0</v>
      </c>
      <c r="V22" s="152">
        <v>0.0</v>
      </c>
    </row>
    <row r="23" ht="15.75" customHeight="1">
      <c r="A23" s="191"/>
      <c r="B23" s="191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</row>
    <row r="24" ht="19.5" customHeight="1">
      <c r="A24" s="192" t="s">
        <v>312</v>
      </c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</row>
    <row r="25" ht="75.0" customHeight="1">
      <c r="A25" s="196" t="s">
        <v>118</v>
      </c>
      <c r="B25" s="197" t="s">
        <v>19</v>
      </c>
      <c r="C25" s="154" t="s">
        <v>5</v>
      </c>
      <c r="D25" s="154" t="s">
        <v>77</v>
      </c>
      <c r="E25" s="154" t="s">
        <v>6</v>
      </c>
      <c r="F25" s="154" t="s">
        <v>7</v>
      </c>
      <c r="G25" s="154" t="s">
        <v>8</v>
      </c>
      <c r="H25" s="154" t="s">
        <v>9</v>
      </c>
      <c r="I25" s="154" t="s">
        <v>10</v>
      </c>
      <c r="J25" s="154" t="s">
        <v>11</v>
      </c>
      <c r="K25" s="154" t="s">
        <v>12</v>
      </c>
      <c r="L25" s="154" t="s">
        <v>13</v>
      </c>
      <c r="M25" s="154" t="s">
        <v>14</v>
      </c>
      <c r="N25" s="154" t="s">
        <v>15</v>
      </c>
      <c r="O25" s="154" t="s">
        <v>92</v>
      </c>
      <c r="P25" s="154" t="s">
        <v>78</v>
      </c>
      <c r="Q25" s="154" t="s">
        <v>79</v>
      </c>
      <c r="R25" s="154" t="s">
        <v>80</v>
      </c>
      <c r="S25" s="154" t="s">
        <v>81</v>
      </c>
      <c r="T25" s="154" t="s">
        <v>82</v>
      </c>
      <c r="U25" s="154" t="s">
        <v>83</v>
      </c>
      <c r="V25" s="154" t="s">
        <v>84</v>
      </c>
    </row>
    <row r="26" ht="15.75" customHeight="1">
      <c r="A26" s="198" t="str">
        <f t="shared" ref="A26:A28" si="3">CHOOSE(ROW()-ROW($A$26)+1,"1st","2nd","3rd","4th","5th","6th","7th","8th","9th","10th")</f>
        <v>1st</v>
      </c>
      <c r="B26" s="199">
        <v>70.0</v>
      </c>
      <c r="C26" s="152">
        <v>0.0</v>
      </c>
      <c r="D26" s="152">
        <v>0.0</v>
      </c>
      <c r="E26" s="152">
        <v>0.0</v>
      </c>
      <c r="F26" s="152">
        <v>0.0</v>
      </c>
      <c r="G26" s="152">
        <v>1.0</v>
      </c>
      <c r="H26" s="152">
        <v>0.0</v>
      </c>
      <c r="I26" s="152">
        <v>0.0</v>
      </c>
      <c r="J26" s="152">
        <v>1.0</v>
      </c>
      <c r="K26" s="152">
        <v>0.0</v>
      </c>
      <c r="L26" s="152">
        <v>0.0</v>
      </c>
      <c r="M26" s="152">
        <v>0.0</v>
      </c>
      <c r="N26" s="152">
        <v>0.0</v>
      </c>
      <c r="O26" s="152">
        <v>0.0</v>
      </c>
      <c r="P26" s="152">
        <v>0.0</v>
      </c>
      <c r="Q26" s="152">
        <v>0.0</v>
      </c>
      <c r="R26" s="152">
        <v>0.0</v>
      </c>
      <c r="S26" s="152">
        <v>0.0</v>
      </c>
      <c r="T26" s="152">
        <v>0.0</v>
      </c>
      <c r="U26" s="152">
        <v>0.0</v>
      </c>
      <c r="V26" s="152">
        <v>0.0</v>
      </c>
    </row>
    <row r="27" ht="15.75" customHeight="1">
      <c r="A27" s="198" t="str">
        <f t="shared" si="3"/>
        <v>2nd</v>
      </c>
      <c r="B27" s="199">
        <v>30.0</v>
      </c>
      <c r="C27" s="152">
        <v>0.0</v>
      </c>
      <c r="D27" s="152">
        <v>0.0</v>
      </c>
      <c r="E27" s="152">
        <v>0.0</v>
      </c>
      <c r="F27" s="152">
        <v>1.0</v>
      </c>
      <c r="G27" s="152">
        <v>0.0</v>
      </c>
      <c r="H27" s="152">
        <v>0.0</v>
      </c>
      <c r="I27" s="152">
        <v>1.0</v>
      </c>
      <c r="J27" s="152">
        <v>0.0</v>
      </c>
      <c r="K27" s="152">
        <v>0.0</v>
      </c>
      <c r="L27" s="152">
        <v>0.0</v>
      </c>
      <c r="M27" s="152">
        <v>0.0</v>
      </c>
      <c r="N27" s="152">
        <v>0.0</v>
      </c>
      <c r="O27" s="152">
        <v>0.0</v>
      </c>
      <c r="P27" s="152">
        <v>0.0</v>
      </c>
      <c r="Q27" s="152">
        <v>0.0</v>
      </c>
      <c r="R27" s="152">
        <v>0.0</v>
      </c>
      <c r="S27" s="152">
        <v>0.0</v>
      </c>
      <c r="T27" s="152">
        <v>0.0</v>
      </c>
      <c r="U27" s="152">
        <v>0.0</v>
      </c>
      <c r="V27" s="152">
        <v>0.0</v>
      </c>
    </row>
    <row r="28" ht="15.75" customHeight="1">
      <c r="A28" s="198" t="str">
        <f t="shared" si="3"/>
        <v>3rd</v>
      </c>
      <c r="B28" s="199">
        <v>10.0</v>
      </c>
      <c r="C28" s="152">
        <v>0.0</v>
      </c>
      <c r="D28" s="152">
        <v>0.0</v>
      </c>
      <c r="E28" s="152">
        <v>1.0</v>
      </c>
      <c r="F28" s="152">
        <v>0.0</v>
      </c>
      <c r="G28" s="152">
        <v>0.0</v>
      </c>
      <c r="H28" s="152">
        <v>1.0</v>
      </c>
      <c r="I28" s="152">
        <v>0.0</v>
      </c>
      <c r="J28" s="152">
        <v>0.0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</row>
    <row r="29" ht="15.75" customHeight="1">
      <c r="A29" s="191"/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</row>
    <row r="30" ht="15.75" customHeight="1">
      <c r="A30" s="191"/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</row>
    <row r="31" ht="15.75" customHeight="1">
      <c r="A31" s="191"/>
      <c r="B31" s="191"/>
      <c r="C31" s="191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</row>
    <row r="32" ht="15.75" customHeight="1">
      <c r="A32" s="191"/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</row>
    <row r="33" ht="15.75" customHeight="1">
      <c r="A33" s="191"/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</row>
    <row r="34" ht="15.75" customHeight="1">
      <c r="A34" s="191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</row>
    <row r="35" ht="15.75" customHeight="1">
      <c r="A35" s="191"/>
      <c r="B35" s="191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</row>
    <row r="36" ht="15.75" customHeight="1">
      <c r="A36" s="191"/>
      <c r="B36" s="191"/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</row>
    <row r="37" ht="15.75" customHeight="1">
      <c r="A37" s="191"/>
      <c r="B37" s="191"/>
      <c r="C37" s="191"/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</row>
    <row r="38" ht="15.75" customHeight="1">
      <c r="A38" s="191"/>
      <c r="B38" s="191"/>
      <c r="C38" s="191"/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</row>
    <row r="39" ht="15.75" customHeight="1">
      <c r="A39" s="191"/>
      <c r="B39" s="191"/>
      <c r="C39" s="191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</row>
    <row r="40" ht="15.75" customHeight="1">
      <c r="A40" s="191"/>
      <c r="B40" s="191"/>
      <c r="C40" s="191"/>
      <c r="D40" s="191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</row>
    <row r="41" ht="15.75" customHeight="1">
      <c r="A41" s="191"/>
      <c r="B41" s="191"/>
      <c r="C41" s="191"/>
      <c r="D41" s="191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</row>
    <row r="42" ht="15.75" customHeight="1">
      <c r="A42" s="191"/>
      <c r="B42" s="191"/>
      <c r="C42" s="191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</row>
    <row r="43" ht="15.75" customHeight="1">
      <c r="A43" s="191"/>
      <c r="B43" s="191"/>
      <c r="C43" s="191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</row>
    <row r="44" ht="15.75" customHeight="1">
      <c r="A44" s="191"/>
      <c r="B44" s="191"/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</row>
    <row r="45" ht="15.75" customHeight="1">
      <c r="A45" s="191"/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</row>
    <row r="46" ht="15.75" customHeight="1">
      <c r="A46" s="191"/>
      <c r="B46" s="191"/>
      <c r="C46" s="191"/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</row>
    <row r="47" ht="15.75" customHeight="1">
      <c r="A47" s="191"/>
      <c r="B47" s="191"/>
      <c r="C47" s="191"/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</row>
    <row r="48" ht="15.75" customHeight="1">
      <c r="A48" s="191"/>
      <c r="B48" s="191"/>
      <c r="C48" s="191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</row>
    <row r="49" ht="15.75" customHeight="1">
      <c r="A49" s="191"/>
      <c r="B49" s="191"/>
      <c r="C49" s="191"/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</row>
    <row r="50" ht="15.75" customHeight="1">
      <c r="A50" s="191"/>
      <c r="B50" s="191"/>
      <c r="C50" s="191"/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</row>
    <row r="51" ht="15.75" customHeight="1">
      <c r="A51" s="191"/>
      <c r="B51" s="191"/>
      <c r="C51" s="191"/>
      <c r="D51" s="191"/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</row>
    <row r="52" ht="15.75" customHeight="1">
      <c r="A52" s="191"/>
      <c r="B52" s="191"/>
      <c r="C52" s="191"/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</row>
    <row r="53" ht="15.75" customHeight="1">
      <c r="A53" s="191"/>
      <c r="B53" s="191"/>
      <c r="C53" s="191"/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</row>
    <row r="54" ht="15.75" customHeight="1">
      <c r="A54" s="191"/>
      <c r="B54" s="191"/>
      <c r="C54" s="191"/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</row>
    <row r="55" ht="15.75" customHeight="1">
      <c r="A55" s="191"/>
      <c r="B55" s="191"/>
      <c r="C55" s="191"/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</row>
    <row r="56" ht="15.75" customHeight="1">
      <c r="A56" s="191"/>
      <c r="B56" s="191"/>
      <c r="C56" s="191"/>
      <c r="D56" s="191"/>
      <c r="E56" s="191"/>
      <c r="F56" s="191"/>
      <c r="G56" s="191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</row>
    <row r="57" ht="15.75" customHeight="1">
      <c r="A57" s="191"/>
      <c r="B57" s="191"/>
      <c r="C57" s="191"/>
      <c r="D57" s="191"/>
      <c r="E57" s="191"/>
      <c r="F57" s="191"/>
      <c r="G57" s="191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</row>
    <row r="58" ht="15.75" customHeight="1">
      <c r="A58" s="191"/>
      <c r="B58" s="191"/>
      <c r="C58" s="191"/>
      <c r="D58" s="191"/>
      <c r="E58" s="191"/>
      <c r="F58" s="191"/>
      <c r="G58" s="191"/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</row>
    <row r="59" ht="15.75" customHeight="1">
      <c r="A59" s="191"/>
      <c r="B59" s="191"/>
      <c r="C59" s="191"/>
      <c r="D59" s="191"/>
      <c r="E59" s="191"/>
      <c r="F59" s="191"/>
      <c r="G59" s="191"/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</row>
    <row r="60" ht="15.75" customHeight="1">
      <c r="A60" s="191"/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</row>
    <row r="61" ht="15.75" customHeight="1">
      <c r="A61" s="191"/>
      <c r="B61" s="191"/>
      <c r="C61" s="191"/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</row>
    <row r="62" ht="15.75" customHeight="1">
      <c r="A62" s="191"/>
      <c r="B62" s="191"/>
      <c r="C62" s="191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</row>
    <row r="63" ht="15.75" customHeight="1">
      <c r="A63" s="191"/>
      <c r="B63" s="191"/>
      <c r="C63" s="191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</row>
    <row r="64" ht="15.75" customHeight="1">
      <c r="A64" s="191"/>
      <c r="B64" s="191"/>
      <c r="C64" s="191"/>
      <c r="D64" s="191"/>
      <c r="E64" s="191"/>
      <c r="F64" s="191"/>
      <c r="G64" s="191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</row>
    <row r="65" ht="15.75" customHeight="1">
      <c r="A65" s="191"/>
      <c r="B65" s="191"/>
      <c r="C65" s="191"/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</row>
    <row r="66" ht="15.75" customHeight="1">
      <c r="A66" s="191"/>
      <c r="B66" s="191"/>
      <c r="C66" s="191"/>
      <c r="D66" s="191"/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</row>
    <row r="67" ht="15.75" customHeight="1">
      <c r="A67" s="191"/>
      <c r="B67" s="191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</row>
    <row r="68" ht="15.75" customHeight="1">
      <c r="A68" s="191"/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</row>
    <row r="69" ht="15.75" customHeight="1">
      <c r="A69" s="191"/>
      <c r="B69" s="191"/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</row>
    <row r="70" ht="15.75" customHeight="1">
      <c r="A70" s="191"/>
      <c r="B70" s="191"/>
      <c r="C70" s="191"/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</row>
    <row r="71" ht="15.75" customHeight="1">
      <c r="A71" s="191"/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</row>
    <row r="72" ht="15.75" customHeight="1">
      <c r="A72" s="191"/>
      <c r="B72" s="191"/>
      <c r="C72" s="191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</row>
    <row r="73" ht="15.75" customHeight="1">
      <c r="A73" s="191"/>
      <c r="B73" s="191"/>
      <c r="C73" s="191"/>
      <c r="D73" s="191"/>
      <c r="E73" s="191"/>
      <c r="F73" s="191"/>
      <c r="G73" s="191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</row>
    <row r="74" ht="15.75" customHeight="1">
      <c r="A74" s="191"/>
      <c r="B74" s="191"/>
      <c r="C74" s="191"/>
      <c r="D74" s="191"/>
      <c r="E74" s="191"/>
      <c r="F74" s="191"/>
      <c r="G74" s="191"/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</row>
    <row r="75" ht="15.75" customHeight="1">
      <c r="A75" s="191"/>
      <c r="B75" s="191"/>
      <c r="C75" s="191"/>
      <c r="D75" s="191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</row>
    <row r="76" ht="15.75" customHeight="1">
      <c r="A76" s="191"/>
      <c r="B76" s="191"/>
      <c r="C76" s="191"/>
      <c r="D76" s="191"/>
      <c r="E76" s="191"/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</row>
    <row r="77" ht="15.75" customHeight="1">
      <c r="A77" s="191"/>
      <c r="B77" s="191"/>
      <c r="C77" s="191"/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</row>
    <row r="78" ht="15.75" customHeight="1">
      <c r="A78" s="191"/>
      <c r="B78" s="191"/>
      <c r="C78" s="191"/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</row>
    <row r="79" ht="15.75" customHeight="1">
      <c r="A79" s="191"/>
      <c r="B79" s="191"/>
      <c r="C79" s="191"/>
      <c r="D79" s="191"/>
      <c r="E79" s="191"/>
      <c r="F79" s="191"/>
      <c r="G79" s="191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</row>
    <row r="80" ht="15.75" customHeight="1">
      <c r="A80" s="191"/>
      <c r="B80" s="191"/>
      <c r="C80" s="191"/>
      <c r="D80" s="191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</row>
    <row r="81" ht="15.75" customHeight="1">
      <c r="A81" s="191"/>
      <c r="B81" s="191"/>
      <c r="C81" s="191"/>
      <c r="D81" s="191"/>
      <c r="E81" s="191"/>
      <c r="F81" s="191"/>
      <c r="G81" s="191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</row>
    <row r="82" ht="15.75" customHeight="1">
      <c r="A82" s="191"/>
      <c r="B82" s="191"/>
      <c r="C82" s="191"/>
      <c r="D82" s="191"/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</row>
    <row r="83" ht="15.75" customHeight="1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</row>
    <row r="84" ht="15.75" customHeight="1">
      <c r="A84" s="191"/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</row>
    <row r="85" ht="15.75" customHeight="1">
      <c r="A85" s="19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</row>
    <row r="86" ht="15.75" customHeight="1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</row>
    <row r="87" ht="15.75" customHeight="1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</row>
    <row r="88" ht="15.75" customHeight="1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</row>
    <row r="89" ht="15.75" customHeight="1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</row>
    <row r="90" ht="15.75" customHeight="1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</row>
    <row r="91" ht="15.75" customHeight="1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</row>
    <row r="92" ht="15.75" customHeight="1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</row>
    <row r="93" ht="15.75" customHeight="1">
      <c r="A93" s="19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</row>
    <row r="94" ht="15.75" customHeight="1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</row>
    <row r="95" ht="15.75" customHeight="1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</row>
    <row r="96" ht="15.75" customHeight="1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</row>
    <row r="97" ht="15.75" customHeight="1">
      <c r="A97" s="19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</row>
    <row r="98" ht="15.75" customHeight="1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</row>
    <row r="99" ht="15.75" customHeight="1">
      <c r="A99" s="19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</row>
    <row r="100" ht="15.75" customHeight="1">
      <c r="A100" s="19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</row>
    <row r="101" ht="15.75" customHeight="1">
      <c r="A101" s="19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1"/>
    </row>
    <row r="102" ht="15.75" customHeight="1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</row>
    <row r="103" ht="15.75" customHeight="1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</row>
    <row r="104" ht="15.75" customHeight="1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</row>
    <row r="105" ht="15.75" customHeight="1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</row>
    <row r="106" ht="15.75" customHeight="1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</row>
    <row r="107" ht="15.75" customHeight="1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</row>
    <row r="108" ht="15.75" customHeight="1">
      <c r="A108" s="191"/>
      <c r="B108" s="191"/>
      <c r="C108" s="191"/>
      <c r="D108" s="191"/>
      <c r="E108" s="191"/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</row>
    <row r="109" ht="15.75" customHeight="1">
      <c r="A109" s="191"/>
      <c r="B109" s="191"/>
      <c r="C109" s="191"/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</row>
    <row r="110" ht="15.75" customHeight="1">
      <c r="A110" s="191"/>
      <c r="B110" s="191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</row>
    <row r="111" ht="15.75" customHeight="1">
      <c r="A111" s="191"/>
      <c r="B111" s="191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</row>
    <row r="112" ht="15.75" customHeight="1">
      <c r="A112" s="191"/>
      <c r="B112" s="191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</row>
    <row r="113" ht="15.75" customHeight="1">
      <c r="A113" s="191"/>
      <c r="B113" s="191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</row>
    <row r="114" ht="15.75" customHeight="1">
      <c r="A114" s="191"/>
      <c r="B114" s="191"/>
      <c r="C114" s="191"/>
      <c r="D114" s="191"/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</row>
    <row r="115" ht="15.75" customHeight="1">
      <c r="A115" s="191"/>
      <c r="B115" s="191"/>
      <c r="C115" s="191"/>
      <c r="D115" s="191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</row>
    <row r="116" ht="15.75" customHeight="1">
      <c r="A116" s="191"/>
      <c r="B116" s="191"/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</row>
    <row r="117" ht="15.75" customHeight="1">
      <c r="A117" s="191"/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</row>
    <row r="118" ht="15.75" customHeight="1">
      <c r="A118" s="191"/>
      <c r="B118" s="191"/>
      <c r="C118" s="191"/>
      <c r="D118" s="191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</row>
    <row r="119" ht="15.75" customHeight="1">
      <c r="A119" s="191"/>
      <c r="B119" s="191"/>
      <c r="C119" s="191"/>
      <c r="D119" s="191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</row>
    <row r="120" ht="15.75" customHeight="1">
      <c r="A120" s="191"/>
      <c r="B120" s="191"/>
      <c r="C120" s="191"/>
      <c r="D120" s="191"/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</row>
    <row r="121" ht="15.75" customHeight="1">
      <c r="A121" s="191"/>
      <c r="B121" s="191"/>
      <c r="C121" s="191"/>
      <c r="D121" s="191"/>
      <c r="E121" s="191"/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</row>
    <row r="122" ht="15.75" customHeight="1">
      <c r="A122" s="191"/>
      <c r="B122" s="191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</row>
    <row r="123" ht="15.75" customHeight="1">
      <c r="A123" s="191"/>
      <c r="B123" s="191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</row>
    <row r="124" ht="15.75" customHeight="1">
      <c r="A124" s="191"/>
      <c r="B124" s="191"/>
      <c r="C124" s="191"/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</row>
    <row r="125" ht="15.75" customHeight="1">
      <c r="A125" s="191"/>
      <c r="B125" s="191"/>
      <c r="C125" s="191"/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</row>
    <row r="126" ht="15.75" customHeight="1">
      <c r="A126" s="191"/>
      <c r="B126" s="191"/>
      <c r="C126" s="191"/>
      <c r="D126" s="191"/>
      <c r="E126" s="191"/>
      <c r="F126" s="191"/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</row>
    <row r="127" ht="15.75" customHeight="1">
      <c r="A127" s="191"/>
      <c r="B127" s="191"/>
      <c r="C127" s="191"/>
      <c r="D127" s="191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</row>
    <row r="128" ht="15.75" customHeight="1">
      <c r="A128" s="191"/>
      <c r="B128" s="191"/>
      <c r="C128" s="191"/>
      <c r="D128" s="191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</row>
    <row r="129" ht="15.75" customHeight="1">
      <c r="A129" s="191"/>
      <c r="B129" s="191"/>
      <c r="C129" s="191"/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</row>
    <row r="130" ht="15.75" customHeight="1">
      <c r="A130" s="191"/>
      <c r="B130" s="191"/>
      <c r="C130" s="191"/>
      <c r="D130" s="191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</row>
    <row r="131" ht="15.75" customHeight="1">
      <c r="A131" s="191"/>
      <c r="B131" s="191"/>
      <c r="C131" s="191"/>
      <c r="D131" s="191"/>
      <c r="E131" s="191"/>
      <c r="F131" s="191"/>
      <c r="G131" s="191"/>
      <c r="H131" s="191"/>
      <c r="I131" s="191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</row>
    <row r="132" ht="15.75" customHeight="1">
      <c r="A132" s="191"/>
      <c r="B132" s="191"/>
      <c r="C132" s="191"/>
      <c r="D132" s="191"/>
      <c r="E132" s="191"/>
      <c r="F132" s="191"/>
      <c r="G132" s="191"/>
      <c r="H132" s="191"/>
      <c r="I132" s="191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</row>
    <row r="133" ht="15.75" customHeight="1">
      <c r="A133" s="191"/>
      <c r="B133" s="191"/>
      <c r="C133" s="191"/>
      <c r="D133" s="191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</row>
    <row r="134" ht="15.75" customHeight="1">
      <c r="A134" s="191"/>
      <c r="B134" s="191"/>
      <c r="C134" s="191"/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</row>
    <row r="135" ht="15.75" customHeight="1">
      <c r="A135" s="191"/>
      <c r="B135" s="191"/>
      <c r="C135" s="191"/>
      <c r="D135" s="191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</row>
    <row r="136" ht="15.75" customHeight="1">
      <c r="A136" s="191"/>
      <c r="B136" s="191"/>
      <c r="C136" s="191"/>
      <c r="D136" s="191"/>
      <c r="E136" s="191"/>
      <c r="F136" s="191"/>
      <c r="G136" s="191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</row>
    <row r="137" ht="15.75" customHeight="1">
      <c r="A137" s="191"/>
      <c r="B137" s="191"/>
      <c r="C137" s="191"/>
      <c r="D137" s="191"/>
      <c r="E137" s="191"/>
      <c r="F137" s="191"/>
      <c r="G137" s="191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</row>
    <row r="138" ht="15.75" customHeight="1">
      <c r="A138" s="191"/>
      <c r="B138" s="191"/>
      <c r="C138" s="191"/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</row>
    <row r="139" ht="15.75" customHeight="1">
      <c r="A139" s="191"/>
      <c r="B139" s="191"/>
      <c r="C139" s="191"/>
      <c r="D139" s="191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</row>
    <row r="140" ht="15.75" customHeight="1">
      <c r="A140" s="191"/>
      <c r="B140" s="191"/>
      <c r="C140" s="191"/>
      <c r="D140" s="191"/>
      <c r="E140" s="191"/>
      <c r="F140" s="191"/>
      <c r="G140" s="191"/>
      <c r="H140" s="191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</row>
    <row r="141" ht="15.75" customHeight="1">
      <c r="A141" s="191"/>
      <c r="B141" s="191"/>
      <c r="C141" s="191"/>
      <c r="D141" s="191"/>
      <c r="E141" s="191"/>
      <c r="F141" s="191"/>
      <c r="G141" s="191"/>
      <c r="H141" s="191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</row>
    <row r="142" ht="15.75" customHeight="1">
      <c r="A142" s="191"/>
      <c r="B142" s="191"/>
      <c r="C142" s="191"/>
      <c r="D142" s="191"/>
      <c r="E142" s="191"/>
      <c r="F142" s="191"/>
      <c r="G142" s="191"/>
      <c r="H142" s="191"/>
      <c r="I142" s="191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</row>
    <row r="143" ht="15.75" customHeight="1">
      <c r="A143" s="191"/>
      <c r="B143" s="191"/>
      <c r="C143" s="191"/>
      <c r="D143" s="191"/>
      <c r="E143" s="191"/>
      <c r="F143" s="191"/>
      <c r="G143" s="191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</row>
    <row r="144" ht="15.75" customHeight="1">
      <c r="A144" s="191"/>
      <c r="B144" s="191"/>
      <c r="C144" s="191"/>
      <c r="D144" s="191"/>
      <c r="E144" s="191"/>
      <c r="F144" s="191"/>
      <c r="G144" s="191"/>
      <c r="H144" s="191"/>
      <c r="I144" s="191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</row>
    <row r="145" ht="15.75" customHeight="1">
      <c r="A145" s="191"/>
      <c r="B145" s="191"/>
      <c r="C145" s="191"/>
      <c r="D145" s="191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</row>
    <row r="146" ht="15.75" customHeight="1">
      <c r="A146" s="191"/>
      <c r="B146" s="191"/>
      <c r="C146" s="191"/>
      <c r="D146" s="191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</row>
    <row r="147" ht="15.75" customHeight="1">
      <c r="A147" s="191"/>
      <c r="B147" s="191"/>
      <c r="C147" s="191"/>
      <c r="D147" s="191"/>
      <c r="E147" s="191"/>
      <c r="F147" s="191"/>
      <c r="G147" s="191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</row>
    <row r="148" ht="15.75" customHeight="1">
      <c r="A148" s="191"/>
      <c r="B148" s="191"/>
      <c r="C148" s="191"/>
      <c r="D148" s="191"/>
      <c r="E148" s="191"/>
      <c r="F148" s="191"/>
      <c r="G148" s="191"/>
      <c r="H148" s="191"/>
      <c r="I148" s="191"/>
      <c r="J148" s="191"/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1"/>
    </row>
    <row r="149" ht="15.75" customHeight="1">
      <c r="A149" s="191"/>
      <c r="B149" s="191"/>
      <c r="C149" s="191"/>
      <c r="D149" s="191"/>
      <c r="E149" s="191"/>
      <c r="F149" s="191"/>
      <c r="G149" s="191"/>
      <c r="H149" s="191"/>
      <c r="I149" s="191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1"/>
    </row>
    <row r="150" ht="15.75" customHeight="1">
      <c r="A150" s="191"/>
      <c r="B150" s="191"/>
      <c r="C150" s="191"/>
      <c r="D150" s="191"/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</row>
    <row r="151" ht="15.75" customHeight="1">
      <c r="A151" s="191"/>
      <c r="B151" s="191"/>
      <c r="C151" s="191"/>
      <c r="D151" s="191"/>
      <c r="E151" s="191"/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</row>
    <row r="152" ht="15.75" customHeight="1">
      <c r="A152" s="191"/>
      <c r="B152" s="191"/>
      <c r="C152" s="191"/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</row>
    <row r="153" ht="15.75" customHeight="1">
      <c r="A153" s="191"/>
      <c r="B153" s="191"/>
      <c r="C153" s="191"/>
      <c r="D153" s="191"/>
      <c r="E153" s="191"/>
      <c r="F153" s="191"/>
      <c r="G153" s="191"/>
      <c r="H153" s="191"/>
      <c r="I153" s="191"/>
      <c r="J153" s="191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1"/>
    </row>
    <row r="154" ht="15.75" customHeight="1">
      <c r="A154" s="191"/>
      <c r="B154" s="191"/>
      <c r="C154" s="191"/>
      <c r="D154" s="191"/>
      <c r="E154" s="191"/>
      <c r="F154" s="191"/>
      <c r="G154" s="191"/>
      <c r="H154" s="191"/>
      <c r="I154" s="191"/>
      <c r="J154" s="191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</row>
    <row r="155" ht="15.75" customHeight="1">
      <c r="A155" s="191"/>
      <c r="B155" s="191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</row>
    <row r="156" ht="15.75" customHeight="1">
      <c r="A156" s="191"/>
      <c r="B156" s="191"/>
      <c r="C156" s="191"/>
      <c r="D156" s="191"/>
      <c r="E156" s="191"/>
      <c r="F156" s="191"/>
      <c r="G156" s="191"/>
      <c r="H156" s="191"/>
      <c r="I156" s="191"/>
      <c r="J156" s="191"/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1"/>
    </row>
    <row r="157" ht="15.75" customHeight="1">
      <c r="A157" s="191"/>
      <c r="B157" s="191"/>
      <c r="C157" s="191"/>
      <c r="D157" s="191"/>
      <c r="E157" s="191"/>
      <c r="F157" s="191"/>
      <c r="G157" s="191"/>
      <c r="H157" s="191"/>
      <c r="I157" s="191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</row>
    <row r="158" ht="15.75" customHeight="1">
      <c r="A158" s="191"/>
      <c r="B158" s="191"/>
      <c r="C158" s="191"/>
      <c r="D158" s="191"/>
      <c r="E158" s="191"/>
      <c r="F158" s="191"/>
      <c r="G158" s="191"/>
      <c r="H158" s="191"/>
      <c r="I158" s="191"/>
      <c r="J158" s="191"/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</row>
    <row r="159" ht="15.75" customHeight="1">
      <c r="A159" s="191"/>
      <c r="B159" s="191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1"/>
    </row>
    <row r="160" ht="15.75" customHeight="1">
      <c r="A160" s="191"/>
      <c r="B160" s="191"/>
      <c r="C160" s="191"/>
      <c r="D160" s="191"/>
      <c r="E160" s="191"/>
      <c r="F160" s="191"/>
      <c r="G160" s="191"/>
      <c r="H160" s="191"/>
      <c r="I160" s="191"/>
      <c r="J160" s="191"/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1"/>
    </row>
    <row r="161" ht="15.75" customHeight="1">
      <c r="A161" s="191"/>
      <c r="B161" s="191"/>
      <c r="C161" s="191"/>
      <c r="D161" s="191"/>
      <c r="E161" s="191"/>
      <c r="F161" s="191"/>
      <c r="G161" s="191"/>
      <c r="H161" s="191"/>
      <c r="I161" s="191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1"/>
    </row>
    <row r="162" ht="15.75" customHeight="1">
      <c r="A162" s="191"/>
      <c r="B162" s="191"/>
      <c r="C162" s="191"/>
      <c r="D162" s="191"/>
      <c r="E162" s="191"/>
      <c r="F162" s="191"/>
      <c r="G162" s="191"/>
      <c r="H162" s="191"/>
      <c r="I162" s="191"/>
      <c r="J162" s="191"/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</row>
    <row r="163" ht="15.75" customHeight="1">
      <c r="A163" s="191"/>
      <c r="B163" s="191"/>
      <c r="C163" s="191"/>
      <c r="D163" s="191"/>
      <c r="E163" s="191"/>
      <c r="F163" s="191"/>
      <c r="G163" s="191"/>
      <c r="H163" s="191"/>
      <c r="I163" s="191"/>
      <c r="J163" s="191"/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1"/>
    </row>
    <row r="164" ht="15.75" customHeight="1">
      <c r="A164" s="191"/>
      <c r="B164" s="191"/>
      <c r="C164" s="191"/>
      <c r="D164" s="191"/>
      <c r="E164" s="191"/>
      <c r="F164" s="191"/>
      <c r="G164" s="191"/>
      <c r="H164" s="191"/>
      <c r="I164" s="191"/>
      <c r="J164" s="191"/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1"/>
    </row>
    <row r="165" ht="15.75" customHeight="1">
      <c r="A165" s="191"/>
      <c r="B165" s="191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1"/>
    </row>
    <row r="166" ht="15.75" customHeight="1">
      <c r="A166" s="191"/>
      <c r="B166" s="191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1"/>
    </row>
    <row r="167" ht="15.75" customHeight="1">
      <c r="A167" s="191"/>
      <c r="B167" s="191"/>
      <c r="C167" s="191"/>
      <c r="D167" s="191"/>
      <c r="E167" s="191"/>
      <c r="F167" s="191"/>
      <c r="G167" s="191"/>
      <c r="H167" s="191"/>
      <c r="I167" s="191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1"/>
    </row>
    <row r="168" ht="15.75" customHeight="1">
      <c r="A168" s="191"/>
      <c r="B168" s="191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</row>
    <row r="169" ht="15.75" customHeight="1">
      <c r="A169" s="191"/>
      <c r="B169" s="191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1"/>
    </row>
    <row r="170" ht="15.75" customHeight="1">
      <c r="A170" s="191"/>
      <c r="B170" s="191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1"/>
    </row>
    <row r="171" ht="15.75" customHeight="1">
      <c r="A171" s="191"/>
      <c r="B171" s="191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1"/>
    </row>
    <row r="172" ht="15.75" customHeight="1">
      <c r="A172" s="191"/>
      <c r="B172" s="191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</row>
    <row r="173" ht="15.75" customHeight="1">
      <c r="A173" s="191"/>
      <c r="B173" s="191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</row>
    <row r="174" ht="15.75" customHeight="1">
      <c r="A174" s="191"/>
      <c r="B174" s="191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1"/>
    </row>
    <row r="175" ht="15.75" customHeight="1">
      <c r="A175" s="191"/>
      <c r="B175" s="191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1"/>
    </row>
    <row r="176" ht="15.75" customHeight="1">
      <c r="A176" s="191"/>
      <c r="B176" s="191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</row>
    <row r="177" ht="15.75" customHeight="1">
      <c r="A177" s="191"/>
      <c r="B177" s="191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1"/>
    </row>
    <row r="178" ht="15.75" customHeight="1">
      <c r="A178" s="191"/>
      <c r="B178" s="191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</row>
    <row r="179" ht="15.75" customHeight="1">
      <c r="A179" s="191"/>
      <c r="B179" s="191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</row>
    <row r="180" ht="15.75" customHeight="1">
      <c r="A180" s="191"/>
      <c r="B180" s="191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</row>
    <row r="181" ht="15.75" customHeight="1">
      <c r="A181" s="191"/>
      <c r="B181" s="191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1"/>
    </row>
    <row r="182" ht="15.75" customHeight="1">
      <c r="A182" s="191"/>
      <c r="B182" s="191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</row>
    <row r="183" ht="15.75" customHeight="1">
      <c r="A183" s="191"/>
      <c r="B183" s="191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1"/>
    </row>
    <row r="184" ht="15.75" customHeight="1">
      <c r="A184" s="191"/>
      <c r="B184" s="191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</row>
    <row r="185" ht="15.75" customHeight="1">
      <c r="A185" s="191"/>
      <c r="B185" s="191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1"/>
    </row>
    <row r="186" ht="15.75" customHeight="1">
      <c r="A186" s="191"/>
      <c r="B186" s="191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91"/>
      <c r="U186" s="191"/>
      <c r="V186" s="191"/>
    </row>
    <row r="187" ht="15.75" customHeight="1">
      <c r="A187" s="191"/>
      <c r="B187" s="191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</row>
    <row r="188" ht="15.75" customHeight="1">
      <c r="A188" s="191"/>
      <c r="B188" s="191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1"/>
    </row>
    <row r="189" ht="15.75" customHeight="1">
      <c r="A189" s="191"/>
      <c r="B189" s="191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1"/>
    </row>
    <row r="190" ht="15.75" customHeight="1">
      <c r="A190" s="191"/>
      <c r="B190" s="191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1"/>
    </row>
    <row r="191" ht="15.75" customHeight="1">
      <c r="A191" s="191"/>
      <c r="B191" s="191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</row>
    <row r="192" ht="15.75" customHeight="1">
      <c r="A192" s="191"/>
      <c r="B192" s="191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</row>
    <row r="193" ht="15.75" customHeight="1">
      <c r="A193" s="191"/>
      <c r="B193" s="191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1"/>
    </row>
    <row r="194" ht="15.75" customHeight="1">
      <c r="A194" s="191"/>
      <c r="B194" s="191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1"/>
    </row>
    <row r="195" ht="15.75" customHeight="1">
      <c r="A195" s="191"/>
      <c r="B195" s="191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91"/>
      <c r="U195" s="191"/>
      <c r="V195" s="191"/>
    </row>
    <row r="196" ht="15.75" customHeight="1">
      <c r="A196" s="191"/>
      <c r="B196" s="191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</row>
    <row r="197" ht="15.75" customHeight="1">
      <c r="A197" s="191"/>
      <c r="B197" s="191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</row>
    <row r="198" ht="15.75" customHeight="1">
      <c r="A198" s="191"/>
      <c r="B198" s="191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91"/>
      <c r="U198" s="191"/>
      <c r="V198" s="191"/>
    </row>
    <row r="199" ht="15.75" customHeight="1">
      <c r="A199" s="191"/>
      <c r="B199" s="191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</row>
    <row r="200" ht="15.75" customHeight="1">
      <c r="A200" s="191"/>
      <c r="B200" s="191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</row>
    <row r="201" ht="15.75" customHeight="1">
      <c r="A201" s="191"/>
      <c r="B201" s="191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91"/>
      <c r="U201" s="191"/>
      <c r="V201" s="191"/>
    </row>
    <row r="202" ht="15.75" customHeight="1">
      <c r="A202" s="191"/>
      <c r="B202" s="191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</row>
    <row r="203" ht="15.75" customHeight="1">
      <c r="A203" s="191"/>
      <c r="B203" s="191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91"/>
      <c r="U203" s="191"/>
      <c r="V203" s="191"/>
    </row>
    <row r="204" ht="15.75" customHeight="1">
      <c r="A204" s="191"/>
      <c r="B204" s="191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91"/>
      <c r="U204" s="191"/>
      <c r="V204" s="191"/>
    </row>
    <row r="205" ht="15.75" customHeight="1">
      <c r="A205" s="191"/>
      <c r="B205" s="191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</row>
    <row r="206" ht="15.75" customHeight="1">
      <c r="A206" s="191"/>
      <c r="B206" s="191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91"/>
      <c r="U206" s="191"/>
      <c r="V206" s="191"/>
    </row>
    <row r="207" ht="15.75" customHeight="1">
      <c r="A207" s="191"/>
      <c r="B207" s="191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91"/>
      <c r="U207" s="191"/>
      <c r="V207" s="191"/>
    </row>
    <row r="208" ht="15.75" customHeight="1">
      <c r="A208" s="191"/>
      <c r="B208" s="191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91"/>
      <c r="U208" s="191"/>
      <c r="V208" s="191"/>
    </row>
    <row r="209" ht="15.75" customHeight="1">
      <c r="A209" s="191"/>
      <c r="B209" s="191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91"/>
      <c r="U209" s="191"/>
      <c r="V209" s="191"/>
    </row>
    <row r="210" ht="15.75" customHeight="1">
      <c r="A210" s="191"/>
      <c r="B210" s="191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91"/>
      <c r="U210" s="191"/>
      <c r="V210" s="191"/>
    </row>
    <row r="211" ht="15.75" customHeight="1">
      <c r="A211" s="191"/>
      <c r="B211" s="191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91"/>
      <c r="U211" s="191"/>
      <c r="V211" s="191"/>
    </row>
    <row r="212" ht="15.75" customHeight="1">
      <c r="A212" s="191"/>
      <c r="B212" s="191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91"/>
      <c r="U212" s="191"/>
      <c r="V212" s="191"/>
    </row>
    <row r="213" ht="15.75" customHeight="1">
      <c r="A213" s="191"/>
      <c r="B213" s="191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91"/>
      <c r="U213" s="191"/>
      <c r="V213" s="191"/>
    </row>
    <row r="214" ht="15.75" customHeight="1">
      <c r="A214" s="191"/>
      <c r="B214" s="191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91"/>
      <c r="U214" s="191"/>
      <c r="V214" s="191"/>
    </row>
    <row r="215" ht="15.75" customHeight="1">
      <c r="A215" s="191"/>
      <c r="B215" s="191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91"/>
      <c r="U215" s="191"/>
      <c r="V215" s="191"/>
    </row>
    <row r="216" ht="15.75" customHeight="1">
      <c r="A216" s="191"/>
      <c r="B216" s="191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91"/>
      <c r="U216" s="191"/>
      <c r="V216" s="191"/>
    </row>
    <row r="217" ht="15.75" customHeight="1">
      <c r="A217" s="191"/>
      <c r="B217" s="191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91"/>
      <c r="U217" s="191"/>
      <c r="V217" s="191"/>
    </row>
    <row r="218" ht="15.75" customHeight="1">
      <c r="A218" s="191"/>
      <c r="B218" s="191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91"/>
      <c r="U218" s="191"/>
      <c r="V218" s="191"/>
    </row>
    <row r="219" ht="15.75" customHeight="1">
      <c r="A219" s="191"/>
      <c r="B219" s="191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91"/>
      <c r="U219" s="191"/>
      <c r="V219" s="191"/>
    </row>
    <row r="220" ht="15.75" customHeight="1">
      <c r="A220" s="191"/>
      <c r="B220" s="191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91"/>
      <c r="U220" s="191"/>
      <c r="V220" s="191"/>
    </row>
    <row r="221" ht="15.75" customHeight="1">
      <c r="A221" s="191"/>
      <c r="B221" s="191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91"/>
      <c r="U221" s="191"/>
      <c r="V221" s="191"/>
    </row>
    <row r="222" ht="15.75" customHeight="1">
      <c r="A222" s="191"/>
      <c r="B222" s="191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91"/>
      <c r="U222" s="191"/>
      <c r="V222" s="191"/>
    </row>
    <row r="223" ht="15.75" customHeight="1">
      <c r="A223" s="191"/>
      <c r="B223" s="191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91"/>
      <c r="U223" s="191"/>
      <c r="V223" s="191"/>
    </row>
    <row r="224" ht="15.75" customHeight="1">
      <c r="A224" s="191"/>
      <c r="B224" s="191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91"/>
      <c r="U224" s="191"/>
      <c r="V224" s="191"/>
    </row>
    <row r="225" ht="15.75" customHeight="1">
      <c r="A225" s="191"/>
      <c r="B225" s="191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91"/>
      <c r="U225" s="191"/>
      <c r="V225" s="191"/>
    </row>
    <row r="226" ht="15.75" customHeight="1">
      <c r="A226" s="191"/>
      <c r="B226" s="191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91"/>
      <c r="U226" s="191"/>
      <c r="V226" s="191"/>
    </row>
    <row r="227" ht="15.75" customHeight="1">
      <c r="A227" s="191"/>
      <c r="B227" s="191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91"/>
      <c r="U227" s="191"/>
      <c r="V227" s="191"/>
    </row>
    <row r="228" ht="15.75" customHeight="1">
      <c r="A228" s="191"/>
      <c r="B228" s="191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91"/>
      <c r="U228" s="191"/>
      <c r="V228" s="191"/>
    </row>
    <row r="229" ht="15.75" customHeight="1">
      <c r="A229" s="191"/>
      <c r="B229" s="191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</row>
    <row r="230" ht="15.75" customHeight="1">
      <c r="A230" s="191"/>
      <c r="B230" s="191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91"/>
      <c r="U230" s="191"/>
      <c r="V230" s="191"/>
    </row>
    <row r="231" ht="15.75" customHeight="1">
      <c r="A231" s="191"/>
      <c r="B231" s="191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91"/>
      <c r="U231" s="191"/>
      <c r="V231" s="191"/>
    </row>
    <row r="232" ht="15.75" customHeight="1">
      <c r="A232" s="191"/>
      <c r="B232" s="191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91"/>
      <c r="U232" s="191"/>
      <c r="V232" s="191"/>
    </row>
    <row r="233" ht="15.75" customHeight="1">
      <c r="A233" s="191"/>
      <c r="B233" s="191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91"/>
      <c r="U233" s="191"/>
      <c r="V233" s="191"/>
    </row>
    <row r="234" ht="15.75" customHeight="1">
      <c r="A234" s="191"/>
      <c r="B234" s="191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91"/>
      <c r="U234" s="191"/>
      <c r="V234" s="191"/>
    </row>
    <row r="235" ht="15.75" customHeight="1">
      <c r="A235" s="191"/>
      <c r="B235" s="191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91"/>
      <c r="U235" s="191"/>
      <c r="V235" s="191"/>
    </row>
    <row r="236" ht="15.75" customHeight="1">
      <c r="A236" s="191"/>
      <c r="B236" s="191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91"/>
      <c r="U236" s="191"/>
      <c r="V236" s="191"/>
    </row>
    <row r="237" ht="15.75" customHeight="1">
      <c r="A237" s="191"/>
      <c r="B237" s="191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91"/>
      <c r="U237" s="191"/>
      <c r="V237" s="191"/>
    </row>
    <row r="238" ht="15.75" customHeight="1">
      <c r="A238" s="191"/>
      <c r="B238" s="191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91"/>
      <c r="U238" s="191"/>
      <c r="V238" s="191"/>
    </row>
    <row r="239" ht="15.75" customHeight="1">
      <c r="A239" s="191"/>
      <c r="B239" s="191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91"/>
      <c r="U239" s="191"/>
      <c r="V239" s="191"/>
    </row>
    <row r="240" ht="15.75" customHeight="1">
      <c r="A240" s="191"/>
      <c r="B240" s="191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91"/>
      <c r="U240" s="191"/>
      <c r="V240" s="191"/>
    </row>
    <row r="241" ht="15.75" customHeight="1">
      <c r="A241" s="191"/>
      <c r="B241" s="191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91"/>
      <c r="U241" s="191"/>
      <c r="V241" s="191"/>
    </row>
    <row r="242" ht="15.75" customHeight="1">
      <c r="A242" s="191"/>
      <c r="B242" s="191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91"/>
      <c r="U242" s="191"/>
      <c r="V242" s="191"/>
    </row>
    <row r="243" ht="15.75" customHeight="1">
      <c r="A243" s="191"/>
      <c r="B243" s="191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91"/>
      <c r="U243" s="191"/>
      <c r="V243" s="191"/>
    </row>
    <row r="244" ht="15.75" customHeight="1">
      <c r="A244" s="191"/>
      <c r="B244" s="191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91"/>
      <c r="U244" s="191"/>
      <c r="V244" s="191"/>
    </row>
    <row r="245" ht="15.75" customHeight="1">
      <c r="A245" s="191"/>
      <c r="B245" s="191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91"/>
      <c r="U245" s="191"/>
      <c r="V245" s="191"/>
    </row>
    <row r="246" ht="15.75" customHeight="1">
      <c r="A246" s="191"/>
      <c r="B246" s="191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91"/>
      <c r="U246" s="191"/>
      <c r="V246" s="191"/>
    </row>
    <row r="247" ht="15.75" customHeight="1">
      <c r="A247" s="191"/>
      <c r="B247" s="191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91"/>
      <c r="U247" s="191"/>
      <c r="V247" s="191"/>
    </row>
    <row r="248" ht="15.75" customHeight="1">
      <c r="A248" s="191"/>
      <c r="B248" s="191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91"/>
      <c r="U248" s="191"/>
      <c r="V248" s="191"/>
    </row>
    <row r="249" ht="15.75" customHeight="1">
      <c r="A249" s="191"/>
      <c r="B249" s="191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91"/>
      <c r="U249" s="191"/>
      <c r="V249" s="191"/>
    </row>
    <row r="250" ht="15.75" customHeight="1">
      <c r="A250" s="191"/>
      <c r="B250" s="191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91"/>
      <c r="U250" s="191"/>
      <c r="V250" s="191"/>
    </row>
    <row r="251" ht="15.75" customHeight="1">
      <c r="A251" s="191"/>
      <c r="B251" s="191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91"/>
      <c r="U251" s="191"/>
      <c r="V251" s="191"/>
    </row>
    <row r="252" ht="15.75" customHeight="1">
      <c r="A252" s="191"/>
      <c r="B252" s="191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91"/>
      <c r="U252" s="191"/>
      <c r="V252" s="191"/>
    </row>
    <row r="253" ht="15.75" customHeight="1">
      <c r="A253" s="191"/>
      <c r="B253" s="191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91"/>
      <c r="U253" s="191"/>
      <c r="V253" s="191"/>
    </row>
    <row r="254" ht="15.75" customHeight="1">
      <c r="A254" s="191"/>
      <c r="B254" s="191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91"/>
      <c r="U254" s="191"/>
      <c r="V254" s="191"/>
    </row>
    <row r="255" ht="15.75" customHeight="1">
      <c r="A255" s="191"/>
      <c r="B255" s="191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91"/>
      <c r="U255" s="191"/>
      <c r="V255" s="191"/>
    </row>
    <row r="256" ht="15.75" customHeight="1">
      <c r="A256" s="191"/>
      <c r="B256" s="191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91"/>
      <c r="U256" s="191"/>
      <c r="V256" s="191"/>
    </row>
    <row r="257" ht="15.75" customHeight="1">
      <c r="A257" s="191"/>
      <c r="B257" s="191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91"/>
      <c r="U257" s="191"/>
      <c r="V257" s="191"/>
    </row>
    <row r="258" ht="15.75" customHeight="1">
      <c r="A258" s="191"/>
      <c r="B258" s="191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91"/>
      <c r="U258" s="191"/>
      <c r="V258" s="191"/>
    </row>
    <row r="259" ht="15.75" customHeight="1">
      <c r="A259" s="191"/>
      <c r="B259" s="191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91"/>
      <c r="U259" s="191"/>
      <c r="V259" s="191"/>
    </row>
    <row r="260" ht="15.75" customHeight="1">
      <c r="A260" s="191"/>
      <c r="B260" s="191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91"/>
      <c r="U260" s="191"/>
      <c r="V260" s="191"/>
    </row>
    <row r="261" ht="15.75" customHeight="1">
      <c r="A261" s="191"/>
      <c r="B261" s="191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91"/>
      <c r="U261" s="191"/>
      <c r="V261" s="191"/>
    </row>
    <row r="262" ht="15.75" customHeight="1">
      <c r="A262" s="191"/>
      <c r="B262" s="191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91"/>
      <c r="U262" s="191"/>
      <c r="V262" s="191"/>
    </row>
    <row r="263" ht="15.75" customHeight="1">
      <c r="A263" s="191"/>
      <c r="B263" s="191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91"/>
      <c r="U263" s="191"/>
      <c r="V263" s="191"/>
    </row>
    <row r="264" ht="15.75" customHeight="1">
      <c r="A264" s="191"/>
      <c r="B264" s="191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91"/>
      <c r="U264" s="191"/>
      <c r="V264" s="191"/>
    </row>
    <row r="265" ht="15.75" customHeight="1">
      <c r="A265" s="191"/>
      <c r="B265" s="191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91"/>
      <c r="U265" s="191"/>
      <c r="V265" s="191"/>
    </row>
    <row r="266" ht="15.75" customHeight="1">
      <c r="A266" s="191"/>
      <c r="B266" s="191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91"/>
      <c r="U266" s="191"/>
      <c r="V266" s="191"/>
    </row>
    <row r="267" ht="15.75" customHeight="1">
      <c r="A267" s="191"/>
      <c r="B267" s="191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91"/>
      <c r="U267" s="191"/>
      <c r="V267" s="191"/>
    </row>
    <row r="268" ht="15.75" customHeight="1">
      <c r="A268" s="191"/>
      <c r="B268" s="191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91"/>
      <c r="U268" s="191"/>
      <c r="V268" s="191"/>
    </row>
    <row r="269" ht="15.75" customHeight="1">
      <c r="A269" s="191"/>
      <c r="B269" s="191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91"/>
      <c r="U269" s="191"/>
      <c r="V269" s="191"/>
    </row>
    <row r="270" ht="15.75" customHeight="1">
      <c r="A270" s="191"/>
      <c r="B270" s="191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91"/>
      <c r="U270" s="191"/>
      <c r="V270" s="191"/>
    </row>
    <row r="271" ht="15.75" customHeight="1">
      <c r="A271" s="191"/>
      <c r="B271" s="191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91"/>
      <c r="U271" s="191"/>
      <c r="V271" s="191"/>
    </row>
    <row r="272" ht="15.75" customHeight="1">
      <c r="A272" s="191"/>
      <c r="B272" s="191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91"/>
      <c r="U272" s="191"/>
      <c r="V272" s="191"/>
    </row>
    <row r="273" ht="15.75" customHeight="1">
      <c r="A273" s="191"/>
      <c r="B273" s="191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91"/>
      <c r="U273" s="191"/>
      <c r="V273" s="191"/>
    </row>
    <row r="274" ht="15.75" customHeight="1">
      <c r="A274" s="191"/>
      <c r="B274" s="191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91"/>
      <c r="U274" s="191"/>
      <c r="V274" s="191"/>
    </row>
    <row r="275" ht="15.75" customHeight="1">
      <c r="A275" s="191"/>
      <c r="B275" s="191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91"/>
      <c r="U275" s="191"/>
      <c r="V275" s="191"/>
    </row>
    <row r="276" ht="15.75" customHeight="1">
      <c r="A276" s="191"/>
      <c r="B276" s="191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91"/>
      <c r="U276" s="191"/>
      <c r="V276" s="191"/>
    </row>
    <row r="277" ht="15.75" customHeight="1">
      <c r="A277" s="191"/>
      <c r="B277" s="191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91"/>
      <c r="U277" s="191"/>
      <c r="V277" s="191"/>
    </row>
    <row r="278" ht="15.75" customHeight="1">
      <c r="A278" s="191"/>
      <c r="B278" s="191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91"/>
      <c r="U278" s="191"/>
      <c r="V278" s="191"/>
    </row>
    <row r="279" ht="15.75" customHeight="1">
      <c r="A279" s="191"/>
      <c r="B279" s="191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91"/>
      <c r="U279" s="191"/>
      <c r="V279" s="191"/>
    </row>
    <row r="280" ht="15.75" customHeight="1">
      <c r="A280" s="191"/>
      <c r="B280" s="191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91"/>
      <c r="U280" s="191"/>
      <c r="V280" s="191"/>
    </row>
    <row r="281" ht="15.75" customHeight="1">
      <c r="A281" s="191"/>
      <c r="B281" s="191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91"/>
      <c r="U281" s="191"/>
      <c r="V281" s="191"/>
    </row>
    <row r="282" ht="15.75" customHeight="1">
      <c r="A282" s="191"/>
      <c r="B282" s="191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</row>
    <row r="283" ht="15.75" customHeight="1">
      <c r="A283" s="191"/>
      <c r="B283" s="191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91"/>
      <c r="U283" s="191"/>
      <c r="V283" s="191"/>
    </row>
    <row r="284" ht="15.75" customHeight="1">
      <c r="A284" s="191"/>
      <c r="B284" s="191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91"/>
      <c r="U284" s="191"/>
      <c r="V284" s="191"/>
    </row>
    <row r="285" ht="15.75" customHeight="1">
      <c r="A285" s="191"/>
      <c r="B285" s="191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91"/>
      <c r="U285" s="191"/>
      <c r="V285" s="191"/>
    </row>
    <row r="286" ht="15.75" customHeight="1">
      <c r="A286" s="191"/>
      <c r="B286" s="191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91"/>
      <c r="U286" s="191"/>
      <c r="V286" s="191"/>
    </row>
    <row r="287" ht="15.75" customHeight="1">
      <c r="A287" s="191"/>
      <c r="B287" s="191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91"/>
      <c r="U287" s="191"/>
      <c r="V287" s="191"/>
    </row>
    <row r="288" ht="15.75" customHeight="1">
      <c r="A288" s="191"/>
      <c r="B288" s="191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91"/>
      <c r="U288" s="191"/>
      <c r="V288" s="191"/>
    </row>
    <row r="289" ht="15.75" customHeight="1">
      <c r="A289" s="191"/>
      <c r="B289" s="191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91"/>
      <c r="U289" s="191"/>
      <c r="V289" s="191"/>
    </row>
    <row r="290" ht="15.75" customHeight="1">
      <c r="A290" s="191"/>
      <c r="B290" s="191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91"/>
      <c r="U290" s="191"/>
      <c r="V290" s="191"/>
    </row>
    <row r="291" ht="15.75" customHeight="1">
      <c r="A291" s="191"/>
      <c r="B291" s="191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91"/>
      <c r="U291" s="191"/>
      <c r="V291" s="191"/>
    </row>
    <row r="292" ht="15.75" customHeight="1">
      <c r="A292" s="191"/>
      <c r="B292" s="191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91"/>
      <c r="U292" s="191"/>
      <c r="V292" s="191"/>
    </row>
    <row r="293" ht="15.75" customHeight="1">
      <c r="A293" s="191"/>
      <c r="B293" s="191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91"/>
      <c r="U293" s="191"/>
      <c r="V293" s="191"/>
    </row>
    <row r="294" ht="15.75" customHeight="1">
      <c r="A294" s="191"/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</row>
    <row r="295" ht="15.75" customHeight="1">
      <c r="A295" s="191"/>
      <c r="B295" s="191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91"/>
      <c r="U295" s="191"/>
      <c r="V295" s="191"/>
    </row>
    <row r="296" ht="15.75" customHeight="1">
      <c r="A296" s="191"/>
      <c r="B296" s="191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91"/>
      <c r="U296" s="191"/>
      <c r="V296" s="191"/>
    </row>
    <row r="297" ht="15.75" customHeight="1">
      <c r="A297" s="191"/>
      <c r="B297" s="191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91"/>
      <c r="U297" s="191"/>
      <c r="V297" s="191"/>
    </row>
    <row r="298" ht="15.75" customHeight="1">
      <c r="A298" s="191"/>
      <c r="B298" s="191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91"/>
      <c r="U298" s="191"/>
      <c r="V298" s="191"/>
    </row>
    <row r="299" ht="15.75" customHeight="1">
      <c r="A299" s="191"/>
      <c r="B299" s="191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91"/>
      <c r="U299" s="191"/>
      <c r="V299" s="191"/>
    </row>
    <row r="300" ht="15.75" customHeight="1">
      <c r="A300" s="191"/>
      <c r="B300" s="191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91"/>
      <c r="U300" s="191"/>
      <c r="V300" s="191"/>
    </row>
    <row r="301" ht="15.75" customHeight="1">
      <c r="A301" s="191"/>
      <c r="B301" s="191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91"/>
      <c r="U301" s="191"/>
      <c r="V301" s="191"/>
    </row>
    <row r="302" ht="15.75" customHeight="1">
      <c r="A302" s="191"/>
      <c r="B302" s="191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91"/>
      <c r="U302" s="191"/>
      <c r="V302" s="191"/>
    </row>
    <row r="303" ht="15.75" customHeight="1">
      <c r="A303" s="191"/>
      <c r="B303" s="191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91"/>
      <c r="U303" s="191"/>
      <c r="V303" s="191"/>
    </row>
    <row r="304" ht="15.75" customHeight="1">
      <c r="A304" s="191"/>
      <c r="B304" s="191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91"/>
      <c r="U304" s="191"/>
      <c r="V304" s="191"/>
    </row>
    <row r="305" ht="15.75" customHeight="1">
      <c r="A305" s="191"/>
      <c r="B305" s="191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91"/>
      <c r="U305" s="191"/>
      <c r="V305" s="191"/>
    </row>
    <row r="306" ht="15.75" customHeight="1">
      <c r="A306" s="191"/>
      <c r="B306" s="191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91"/>
      <c r="U306" s="191"/>
      <c r="V306" s="191"/>
    </row>
    <row r="307" ht="15.75" customHeight="1">
      <c r="A307" s="191"/>
      <c r="B307" s="191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91"/>
      <c r="U307" s="191"/>
      <c r="V307" s="191"/>
    </row>
    <row r="308" ht="15.75" customHeight="1">
      <c r="A308" s="191"/>
      <c r="B308" s="191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91"/>
      <c r="U308" s="191"/>
      <c r="V308" s="191"/>
    </row>
    <row r="309" ht="15.75" customHeight="1">
      <c r="A309" s="191"/>
      <c r="B309" s="191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91"/>
      <c r="U309" s="191"/>
      <c r="V309" s="191"/>
    </row>
    <row r="310" ht="15.75" customHeight="1">
      <c r="A310" s="191"/>
      <c r="B310" s="191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91"/>
      <c r="U310" s="191"/>
      <c r="V310" s="191"/>
    </row>
    <row r="311" ht="15.75" customHeight="1">
      <c r="A311" s="191"/>
      <c r="B311" s="191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91"/>
      <c r="U311" s="191"/>
      <c r="V311" s="191"/>
    </row>
    <row r="312" ht="15.75" customHeight="1">
      <c r="A312" s="191"/>
      <c r="B312" s="191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91"/>
      <c r="U312" s="191"/>
      <c r="V312" s="191"/>
    </row>
    <row r="313" ht="15.75" customHeight="1">
      <c r="A313" s="191"/>
      <c r="B313" s="191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91"/>
      <c r="U313" s="191"/>
      <c r="V313" s="191"/>
    </row>
    <row r="314" ht="15.75" customHeight="1">
      <c r="A314" s="191"/>
      <c r="B314" s="191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91"/>
      <c r="U314" s="191"/>
      <c r="V314" s="191"/>
    </row>
    <row r="315" ht="15.75" customHeight="1">
      <c r="A315" s="191"/>
      <c r="B315" s="191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91"/>
      <c r="U315" s="191"/>
      <c r="V315" s="191"/>
    </row>
    <row r="316" ht="15.75" customHeight="1">
      <c r="A316" s="191"/>
      <c r="B316" s="191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91"/>
      <c r="U316" s="191"/>
      <c r="V316" s="191"/>
    </row>
    <row r="317" ht="15.75" customHeight="1">
      <c r="A317" s="191"/>
      <c r="B317" s="191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91"/>
      <c r="U317" s="191"/>
      <c r="V317" s="191"/>
    </row>
    <row r="318" ht="15.75" customHeight="1">
      <c r="A318" s="191"/>
      <c r="B318" s="191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91"/>
      <c r="U318" s="191"/>
      <c r="V318" s="191"/>
    </row>
    <row r="319" ht="15.75" customHeight="1">
      <c r="A319" s="191"/>
      <c r="B319" s="191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91"/>
      <c r="U319" s="191"/>
      <c r="V319" s="191"/>
    </row>
    <row r="320" ht="15.75" customHeight="1">
      <c r="A320" s="191"/>
      <c r="B320" s="191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91"/>
      <c r="U320" s="191"/>
      <c r="V320" s="191"/>
    </row>
    <row r="321" ht="15.75" customHeight="1">
      <c r="A321" s="191"/>
      <c r="B321" s="191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91"/>
      <c r="U321" s="191"/>
      <c r="V321" s="191"/>
    </row>
    <row r="322" ht="15.75" customHeight="1">
      <c r="A322" s="191"/>
      <c r="B322" s="191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91"/>
      <c r="U322" s="191"/>
      <c r="V322" s="191"/>
    </row>
    <row r="323" ht="15.75" customHeight="1">
      <c r="A323" s="191"/>
      <c r="B323" s="191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91"/>
      <c r="U323" s="191"/>
      <c r="V323" s="191"/>
    </row>
    <row r="324" ht="15.75" customHeight="1">
      <c r="A324" s="191"/>
      <c r="B324" s="191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91"/>
      <c r="U324" s="191"/>
      <c r="V324" s="191"/>
    </row>
    <row r="325" ht="15.75" customHeight="1">
      <c r="A325" s="191"/>
      <c r="B325" s="191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91"/>
      <c r="U325" s="191"/>
      <c r="V325" s="191"/>
    </row>
    <row r="326" ht="15.75" customHeight="1">
      <c r="A326" s="191"/>
      <c r="B326" s="191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91"/>
      <c r="U326" s="191"/>
      <c r="V326" s="191"/>
    </row>
    <row r="327" ht="15.75" customHeight="1">
      <c r="A327" s="191"/>
      <c r="B327" s="191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91"/>
      <c r="U327" s="191"/>
      <c r="V327" s="191"/>
    </row>
    <row r="328" ht="15.75" customHeight="1">
      <c r="A328" s="191"/>
      <c r="B328" s="191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91"/>
      <c r="U328" s="191"/>
      <c r="V328" s="191"/>
    </row>
    <row r="329" ht="15.75" customHeight="1">
      <c r="A329" s="191"/>
      <c r="B329" s="191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91"/>
      <c r="U329" s="191"/>
      <c r="V329" s="191"/>
    </row>
    <row r="330" ht="15.75" customHeight="1">
      <c r="A330" s="191"/>
      <c r="B330" s="191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91"/>
      <c r="U330" s="191"/>
      <c r="V330" s="191"/>
    </row>
    <row r="331" ht="15.75" customHeight="1">
      <c r="A331" s="191"/>
      <c r="B331" s="191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91"/>
      <c r="U331" s="191"/>
      <c r="V331" s="191"/>
    </row>
    <row r="332" ht="15.75" customHeight="1">
      <c r="A332" s="191"/>
      <c r="B332" s="191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</row>
    <row r="333" ht="15.75" customHeight="1">
      <c r="A333" s="191"/>
      <c r="B333" s="191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91"/>
      <c r="U333" s="191"/>
      <c r="V333" s="191"/>
    </row>
    <row r="334" ht="15.75" customHeight="1">
      <c r="A334" s="191"/>
      <c r="B334" s="191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91"/>
      <c r="U334" s="191"/>
      <c r="V334" s="191"/>
    </row>
    <row r="335" ht="15.75" customHeight="1">
      <c r="A335" s="191"/>
      <c r="B335" s="191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</row>
    <row r="336" ht="15.75" customHeight="1">
      <c r="A336" s="191"/>
      <c r="B336" s="191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91"/>
      <c r="U336" s="191"/>
      <c r="V336" s="191"/>
    </row>
    <row r="337" ht="15.75" customHeight="1">
      <c r="A337" s="191"/>
      <c r="B337" s="191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</row>
    <row r="338" ht="15.75" customHeight="1">
      <c r="A338" s="191"/>
      <c r="B338" s="191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91"/>
      <c r="U338" s="191"/>
      <c r="V338" s="191"/>
    </row>
    <row r="339" ht="15.75" customHeight="1">
      <c r="A339" s="191"/>
      <c r="B339" s="191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91"/>
      <c r="U339" s="191"/>
      <c r="V339" s="191"/>
    </row>
    <row r="340" ht="15.75" customHeight="1">
      <c r="A340" s="191"/>
      <c r="B340" s="191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91"/>
      <c r="U340" s="191"/>
      <c r="V340" s="191"/>
    </row>
    <row r="341" ht="15.75" customHeight="1">
      <c r="A341" s="191"/>
      <c r="B341" s="191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91"/>
      <c r="U341" s="191"/>
      <c r="V341" s="191"/>
    </row>
    <row r="342" ht="15.75" customHeight="1">
      <c r="A342" s="191"/>
      <c r="B342" s="191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</row>
    <row r="343" ht="15.75" customHeight="1">
      <c r="A343" s="191"/>
      <c r="B343" s="191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91"/>
      <c r="U343" s="191"/>
      <c r="V343" s="191"/>
    </row>
    <row r="344" ht="15.75" customHeight="1">
      <c r="A344" s="191"/>
      <c r="B344" s="191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91"/>
      <c r="U344" s="191"/>
      <c r="V344" s="191"/>
    </row>
    <row r="345" ht="15.75" customHeight="1">
      <c r="A345" s="191"/>
      <c r="B345" s="191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91"/>
      <c r="U345" s="191"/>
      <c r="V345" s="191"/>
    </row>
    <row r="346" ht="15.75" customHeight="1">
      <c r="A346" s="191"/>
      <c r="B346" s="191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91"/>
      <c r="U346" s="191"/>
      <c r="V346" s="191"/>
    </row>
    <row r="347" ht="15.75" customHeight="1">
      <c r="A347" s="191"/>
      <c r="B347" s="191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91"/>
      <c r="U347" s="191"/>
      <c r="V347" s="191"/>
    </row>
    <row r="348" ht="15.75" customHeight="1">
      <c r="A348" s="191"/>
      <c r="B348" s="191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91"/>
      <c r="U348" s="191"/>
      <c r="V348" s="191"/>
    </row>
    <row r="349" ht="15.75" customHeight="1">
      <c r="A349" s="191"/>
      <c r="B349" s="191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91"/>
      <c r="U349" s="191"/>
      <c r="V349" s="191"/>
    </row>
    <row r="350" ht="15.75" customHeight="1">
      <c r="A350" s="191"/>
      <c r="B350" s="191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91"/>
      <c r="U350" s="191"/>
      <c r="V350" s="191"/>
    </row>
    <row r="351" ht="15.75" customHeight="1">
      <c r="A351" s="191"/>
      <c r="B351" s="191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</row>
    <row r="352" ht="15.75" customHeight="1">
      <c r="A352" s="191"/>
      <c r="B352" s="191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91"/>
      <c r="U352" s="191"/>
      <c r="V352" s="191"/>
    </row>
    <row r="353" ht="15.75" customHeight="1">
      <c r="A353" s="191"/>
      <c r="B353" s="191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91"/>
      <c r="U353" s="191"/>
      <c r="V353" s="191"/>
    </row>
    <row r="354" ht="15.75" customHeight="1">
      <c r="A354" s="191"/>
      <c r="B354" s="191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91"/>
      <c r="U354" s="191"/>
      <c r="V354" s="191"/>
    </row>
    <row r="355" ht="15.75" customHeight="1">
      <c r="A355" s="191"/>
      <c r="B355" s="191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91"/>
      <c r="U355" s="191"/>
      <c r="V355" s="191"/>
    </row>
    <row r="356" ht="15.75" customHeight="1">
      <c r="A356" s="191"/>
      <c r="B356" s="191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91"/>
      <c r="U356" s="191"/>
      <c r="V356" s="191"/>
    </row>
    <row r="357" ht="15.75" customHeight="1">
      <c r="A357" s="191"/>
      <c r="B357" s="191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91"/>
      <c r="U357" s="191"/>
      <c r="V357" s="191"/>
    </row>
    <row r="358" ht="15.75" customHeight="1">
      <c r="A358" s="191"/>
      <c r="B358" s="191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91"/>
      <c r="U358" s="191"/>
      <c r="V358" s="191"/>
    </row>
    <row r="359" ht="15.75" customHeight="1">
      <c r="A359" s="191"/>
      <c r="B359" s="191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91"/>
      <c r="U359" s="191"/>
      <c r="V359" s="191"/>
    </row>
    <row r="360" ht="15.75" customHeight="1">
      <c r="A360" s="191"/>
      <c r="B360" s="191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91"/>
      <c r="U360" s="191"/>
      <c r="V360" s="191"/>
    </row>
    <row r="361" ht="15.75" customHeight="1">
      <c r="A361" s="191"/>
      <c r="B361" s="191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91"/>
      <c r="U361" s="191"/>
      <c r="V361" s="191"/>
    </row>
    <row r="362" ht="15.75" customHeight="1">
      <c r="A362" s="191"/>
      <c r="B362" s="191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91"/>
      <c r="U362" s="191"/>
      <c r="V362" s="191"/>
    </row>
    <row r="363" ht="15.75" customHeight="1">
      <c r="A363" s="191"/>
      <c r="B363" s="191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91"/>
      <c r="U363" s="191"/>
      <c r="V363" s="191"/>
    </row>
    <row r="364" ht="15.75" customHeight="1">
      <c r="A364" s="191"/>
      <c r="B364" s="191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91"/>
      <c r="U364" s="191"/>
      <c r="V364" s="191"/>
    </row>
    <row r="365" ht="15.75" customHeight="1">
      <c r="A365" s="191"/>
      <c r="B365" s="191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91"/>
      <c r="U365" s="191"/>
      <c r="V365" s="191"/>
    </row>
    <row r="366" ht="15.75" customHeight="1">
      <c r="A366" s="191"/>
      <c r="B366" s="191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91"/>
      <c r="U366" s="191"/>
      <c r="V366" s="191"/>
    </row>
    <row r="367" ht="15.75" customHeight="1">
      <c r="A367" s="191"/>
      <c r="B367" s="191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91"/>
      <c r="U367" s="191"/>
      <c r="V367" s="191"/>
    </row>
    <row r="368" ht="15.75" customHeight="1">
      <c r="A368" s="191"/>
      <c r="B368" s="191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91"/>
      <c r="U368" s="191"/>
      <c r="V368" s="191"/>
    </row>
    <row r="369" ht="15.75" customHeight="1">
      <c r="A369" s="191"/>
      <c r="B369" s="191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91"/>
      <c r="U369" s="191"/>
      <c r="V369" s="191"/>
    </row>
    <row r="370" ht="15.75" customHeight="1">
      <c r="A370" s="191"/>
      <c r="B370" s="191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91"/>
      <c r="U370" s="191"/>
      <c r="V370" s="191"/>
    </row>
    <row r="371" ht="15.75" customHeight="1">
      <c r="A371" s="191"/>
      <c r="B371" s="191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91"/>
      <c r="U371" s="191"/>
      <c r="V371" s="191"/>
    </row>
    <row r="372" ht="15.75" customHeight="1">
      <c r="A372" s="191"/>
      <c r="B372" s="191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91"/>
      <c r="U372" s="191"/>
      <c r="V372" s="191"/>
    </row>
    <row r="373" ht="15.75" customHeight="1">
      <c r="A373" s="191"/>
      <c r="B373" s="191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91"/>
      <c r="U373" s="191"/>
      <c r="V373" s="191"/>
    </row>
    <row r="374" ht="15.75" customHeight="1">
      <c r="A374" s="191"/>
      <c r="B374" s="191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91"/>
      <c r="U374" s="191"/>
      <c r="V374" s="191"/>
    </row>
    <row r="375" ht="15.75" customHeight="1">
      <c r="A375" s="191"/>
      <c r="B375" s="191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91"/>
      <c r="U375" s="191"/>
      <c r="V375" s="191"/>
    </row>
    <row r="376" ht="15.75" customHeight="1">
      <c r="A376" s="191"/>
      <c r="B376" s="191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91"/>
      <c r="U376" s="191"/>
      <c r="V376" s="191"/>
    </row>
    <row r="377" ht="15.75" customHeight="1">
      <c r="A377" s="191"/>
      <c r="B377" s="191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91"/>
      <c r="U377" s="191"/>
      <c r="V377" s="191"/>
    </row>
    <row r="378" ht="15.75" customHeight="1">
      <c r="A378" s="191"/>
      <c r="B378" s="191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91"/>
      <c r="U378" s="191"/>
      <c r="V378" s="191"/>
    </row>
    <row r="379" ht="15.75" customHeight="1">
      <c r="A379" s="191"/>
      <c r="B379" s="191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91"/>
      <c r="U379" s="191"/>
      <c r="V379" s="191"/>
    </row>
    <row r="380" ht="15.75" customHeight="1">
      <c r="A380" s="191"/>
      <c r="B380" s="191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91"/>
      <c r="U380" s="191"/>
      <c r="V380" s="191"/>
    </row>
    <row r="381" ht="15.75" customHeight="1">
      <c r="A381" s="191"/>
      <c r="B381" s="191"/>
      <c r="C381" s="191"/>
      <c r="D381" s="191"/>
      <c r="E381" s="191"/>
      <c r="F381" s="191"/>
      <c r="G381" s="191"/>
      <c r="H381" s="191"/>
      <c r="I381" s="191"/>
      <c r="J381" s="191"/>
      <c r="K381" s="191"/>
      <c r="L381" s="191"/>
      <c r="M381" s="191"/>
      <c r="N381" s="191"/>
      <c r="O381" s="191"/>
      <c r="P381" s="191"/>
      <c r="Q381" s="191"/>
      <c r="R381" s="191"/>
      <c r="S381" s="191"/>
      <c r="T381" s="191"/>
      <c r="U381" s="191"/>
      <c r="V381" s="191"/>
    </row>
    <row r="382" ht="15.75" customHeight="1">
      <c r="A382" s="191"/>
      <c r="B382" s="191"/>
      <c r="C382" s="191"/>
      <c r="D382" s="191"/>
      <c r="E382" s="191"/>
      <c r="F382" s="191"/>
      <c r="G382" s="191"/>
      <c r="H382" s="191"/>
      <c r="I382" s="191"/>
      <c r="J382" s="191"/>
      <c r="K382" s="191"/>
      <c r="L382" s="191"/>
      <c r="M382" s="191"/>
      <c r="N382" s="191"/>
      <c r="O382" s="191"/>
      <c r="P382" s="191"/>
      <c r="Q382" s="191"/>
      <c r="R382" s="191"/>
      <c r="S382" s="191"/>
      <c r="T382" s="191"/>
      <c r="U382" s="191"/>
      <c r="V382" s="191"/>
    </row>
    <row r="383" ht="15.75" customHeight="1">
      <c r="A383" s="191"/>
      <c r="B383" s="191"/>
      <c r="C383" s="191"/>
      <c r="D383" s="191"/>
      <c r="E383" s="191"/>
      <c r="F383" s="191"/>
      <c r="G383" s="191"/>
      <c r="H383" s="191"/>
      <c r="I383" s="191"/>
      <c r="J383" s="191"/>
      <c r="K383" s="191"/>
      <c r="L383" s="191"/>
      <c r="M383" s="191"/>
      <c r="N383" s="191"/>
      <c r="O383" s="191"/>
      <c r="P383" s="191"/>
      <c r="Q383" s="191"/>
      <c r="R383" s="191"/>
      <c r="S383" s="191"/>
      <c r="T383" s="191"/>
      <c r="U383" s="191"/>
      <c r="V383" s="191"/>
    </row>
    <row r="384" ht="15.75" customHeight="1">
      <c r="A384" s="191"/>
      <c r="B384" s="191"/>
      <c r="C384" s="191"/>
      <c r="D384" s="191"/>
      <c r="E384" s="191"/>
      <c r="F384" s="191"/>
      <c r="G384" s="191"/>
      <c r="H384" s="191"/>
      <c r="I384" s="191"/>
      <c r="J384" s="191"/>
      <c r="K384" s="191"/>
      <c r="L384" s="191"/>
      <c r="M384" s="191"/>
      <c r="N384" s="191"/>
      <c r="O384" s="191"/>
      <c r="P384" s="191"/>
      <c r="Q384" s="191"/>
      <c r="R384" s="191"/>
      <c r="S384" s="191"/>
      <c r="T384" s="191"/>
      <c r="U384" s="191"/>
      <c r="V384" s="191"/>
    </row>
    <row r="385" ht="15.75" customHeight="1">
      <c r="A385" s="191"/>
      <c r="B385" s="191"/>
      <c r="C385" s="191"/>
      <c r="D385" s="191"/>
      <c r="E385" s="191"/>
      <c r="F385" s="191"/>
      <c r="G385" s="191"/>
      <c r="H385" s="191"/>
      <c r="I385" s="191"/>
      <c r="J385" s="191"/>
      <c r="K385" s="191"/>
      <c r="L385" s="191"/>
      <c r="M385" s="191"/>
      <c r="N385" s="191"/>
      <c r="O385" s="191"/>
      <c r="P385" s="191"/>
      <c r="Q385" s="191"/>
      <c r="R385" s="191"/>
      <c r="S385" s="191"/>
      <c r="T385" s="191"/>
      <c r="U385" s="191"/>
      <c r="V385" s="191"/>
    </row>
    <row r="386" ht="15.75" customHeight="1">
      <c r="A386" s="191"/>
      <c r="B386" s="191"/>
      <c r="C386" s="191"/>
      <c r="D386" s="191"/>
      <c r="E386" s="191"/>
      <c r="F386" s="191"/>
      <c r="G386" s="191"/>
      <c r="H386" s="191"/>
      <c r="I386" s="191"/>
      <c r="J386" s="191"/>
      <c r="K386" s="191"/>
      <c r="L386" s="191"/>
      <c r="M386" s="191"/>
      <c r="N386" s="191"/>
      <c r="O386" s="191"/>
      <c r="P386" s="191"/>
      <c r="Q386" s="191"/>
      <c r="R386" s="191"/>
      <c r="S386" s="191"/>
      <c r="T386" s="191"/>
      <c r="U386" s="191"/>
      <c r="V386" s="191"/>
    </row>
    <row r="387" ht="15.75" customHeight="1">
      <c r="A387" s="191"/>
      <c r="B387" s="191"/>
      <c r="C387" s="191"/>
      <c r="D387" s="191"/>
      <c r="E387" s="191"/>
      <c r="F387" s="191"/>
      <c r="G387" s="191"/>
      <c r="H387" s="191"/>
      <c r="I387" s="191"/>
      <c r="J387" s="191"/>
      <c r="K387" s="191"/>
      <c r="L387" s="191"/>
      <c r="M387" s="191"/>
      <c r="N387" s="191"/>
      <c r="O387" s="191"/>
      <c r="P387" s="191"/>
      <c r="Q387" s="191"/>
      <c r="R387" s="191"/>
      <c r="S387" s="191"/>
      <c r="T387" s="191"/>
      <c r="U387" s="191"/>
      <c r="V387" s="191"/>
    </row>
    <row r="388" ht="15.75" customHeight="1">
      <c r="A388" s="191"/>
      <c r="B388" s="191"/>
      <c r="C388" s="191"/>
      <c r="D388" s="191"/>
      <c r="E388" s="191"/>
      <c r="F388" s="191"/>
      <c r="G388" s="191"/>
      <c r="H388" s="191"/>
      <c r="I388" s="191"/>
      <c r="J388" s="191"/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</row>
    <row r="389" ht="15.75" customHeight="1">
      <c r="A389" s="191"/>
      <c r="B389" s="191"/>
      <c r="C389" s="191"/>
      <c r="D389" s="191"/>
      <c r="E389" s="191"/>
      <c r="F389" s="191"/>
      <c r="G389" s="191"/>
      <c r="H389" s="191"/>
      <c r="I389" s="191"/>
      <c r="J389" s="191"/>
      <c r="K389" s="191"/>
      <c r="L389" s="191"/>
      <c r="M389" s="191"/>
      <c r="N389" s="191"/>
      <c r="O389" s="191"/>
      <c r="P389" s="191"/>
      <c r="Q389" s="191"/>
      <c r="R389" s="191"/>
      <c r="S389" s="191"/>
      <c r="T389" s="191"/>
      <c r="U389" s="191"/>
      <c r="V389" s="191"/>
    </row>
    <row r="390" ht="15.75" customHeight="1">
      <c r="A390" s="191"/>
      <c r="B390" s="191"/>
      <c r="C390" s="191"/>
      <c r="D390" s="191"/>
      <c r="E390" s="191"/>
      <c r="F390" s="191"/>
      <c r="G390" s="191"/>
      <c r="H390" s="191"/>
      <c r="I390" s="191"/>
      <c r="J390" s="191"/>
      <c r="K390" s="191"/>
      <c r="L390" s="191"/>
      <c r="M390" s="191"/>
      <c r="N390" s="191"/>
      <c r="O390" s="191"/>
      <c r="P390" s="191"/>
      <c r="Q390" s="191"/>
      <c r="R390" s="191"/>
      <c r="S390" s="191"/>
      <c r="T390" s="191"/>
      <c r="U390" s="191"/>
      <c r="V390" s="191"/>
    </row>
    <row r="391" ht="15.75" customHeight="1">
      <c r="A391" s="191"/>
      <c r="B391" s="191"/>
      <c r="C391" s="191"/>
      <c r="D391" s="191"/>
      <c r="E391" s="191"/>
      <c r="F391" s="191"/>
      <c r="G391" s="191"/>
      <c r="H391" s="191"/>
      <c r="I391" s="191"/>
      <c r="J391" s="191"/>
      <c r="K391" s="191"/>
      <c r="L391" s="191"/>
      <c r="M391" s="191"/>
      <c r="N391" s="191"/>
      <c r="O391" s="191"/>
      <c r="P391" s="191"/>
      <c r="Q391" s="191"/>
      <c r="R391" s="191"/>
      <c r="S391" s="191"/>
      <c r="T391" s="191"/>
      <c r="U391" s="191"/>
      <c r="V391" s="191"/>
    </row>
    <row r="392" ht="15.75" customHeight="1">
      <c r="A392" s="191"/>
      <c r="B392" s="191"/>
      <c r="C392" s="191"/>
      <c r="D392" s="191"/>
      <c r="E392" s="191"/>
      <c r="F392" s="191"/>
      <c r="G392" s="191"/>
      <c r="H392" s="191"/>
      <c r="I392" s="191"/>
      <c r="J392" s="191"/>
      <c r="K392" s="191"/>
      <c r="L392" s="191"/>
      <c r="M392" s="191"/>
      <c r="N392" s="191"/>
      <c r="O392" s="191"/>
      <c r="P392" s="191"/>
      <c r="Q392" s="191"/>
      <c r="R392" s="191"/>
      <c r="S392" s="191"/>
      <c r="T392" s="191"/>
      <c r="U392" s="191"/>
      <c r="V392" s="191"/>
    </row>
    <row r="393" ht="15.75" customHeight="1">
      <c r="A393" s="191"/>
      <c r="B393" s="191"/>
      <c r="C393" s="191"/>
      <c r="D393" s="191"/>
      <c r="E393" s="191"/>
      <c r="F393" s="191"/>
      <c r="G393" s="191"/>
      <c r="H393" s="191"/>
      <c r="I393" s="191"/>
      <c r="J393" s="191"/>
      <c r="K393" s="191"/>
      <c r="L393" s="191"/>
      <c r="M393" s="191"/>
      <c r="N393" s="191"/>
      <c r="O393" s="191"/>
      <c r="P393" s="191"/>
      <c r="Q393" s="191"/>
      <c r="R393" s="191"/>
      <c r="S393" s="191"/>
      <c r="T393" s="191"/>
      <c r="U393" s="191"/>
      <c r="V393" s="191"/>
    </row>
    <row r="394" ht="15.75" customHeight="1">
      <c r="A394" s="191"/>
      <c r="B394" s="191"/>
      <c r="C394" s="191"/>
      <c r="D394" s="191"/>
      <c r="E394" s="191"/>
      <c r="F394" s="191"/>
      <c r="G394" s="191"/>
      <c r="H394" s="191"/>
      <c r="I394" s="191"/>
      <c r="J394" s="191"/>
      <c r="K394" s="191"/>
      <c r="L394" s="191"/>
      <c r="M394" s="191"/>
      <c r="N394" s="191"/>
      <c r="O394" s="191"/>
      <c r="P394" s="191"/>
      <c r="Q394" s="191"/>
      <c r="R394" s="191"/>
      <c r="S394" s="191"/>
      <c r="T394" s="191"/>
      <c r="U394" s="191"/>
      <c r="V394" s="191"/>
    </row>
    <row r="395" ht="15.75" customHeight="1">
      <c r="A395" s="191"/>
      <c r="B395" s="191"/>
      <c r="C395" s="191"/>
      <c r="D395" s="191"/>
      <c r="E395" s="191"/>
      <c r="F395" s="191"/>
      <c r="G395" s="191"/>
      <c r="H395" s="191"/>
      <c r="I395" s="191"/>
      <c r="J395" s="191"/>
      <c r="K395" s="191"/>
      <c r="L395" s="191"/>
      <c r="M395" s="191"/>
      <c r="N395" s="191"/>
      <c r="O395" s="191"/>
      <c r="P395" s="191"/>
      <c r="Q395" s="191"/>
      <c r="R395" s="191"/>
      <c r="S395" s="191"/>
      <c r="T395" s="191"/>
      <c r="U395" s="191"/>
      <c r="V395" s="191"/>
    </row>
    <row r="396" ht="15.75" customHeight="1">
      <c r="A396" s="191"/>
      <c r="B396" s="191"/>
      <c r="C396" s="191"/>
      <c r="D396" s="191"/>
      <c r="E396" s="191"/>
      <c r="F396" s="191"/>
      <c r="G396" s="191"/>
      <c r="H396" s="191"/>
      <c r="I396" s="191"/>
      <c r="J396" s="191"/>
      <c r="K396" s="191"/>
      <c r="L396" s="191"/>
      <c r="M396" s="191"/>
      <c r="N396" s="191"/>
      <c r="O396" s="191"/>
      <c r="P396" s="191"/>
      <c r="Q396" s="191"/>
      <c r="R396" s="191"/>
      <c r="S396" s="191"/>
      <c r="T396" s="191"/>
      <c r="U396" s="191"/>
      <c r="V396" s="191"/>
    </row>
    <row r="397" ht="15.75" customHeight="1">
      <c r="A397" s="191"/>
      <c r="B397" s="191"/>
      <c r="C397" s="191"/>
      <c r="D397" s="191"/>
      <c r="E397" s="191"/>
      <c r="F397" s="191"/>
      <c r="G397" s="191"/>
      <c r="H397" s="191"/>
      <c r="I397" s="191"/>
      <c r="J397" s="191"/>
      <c r="K397" s="191"/>
      <c r="L397" s="191"/>
      <c r="M397" s="191"/>
      <c r="N397" s="191"/>
      <c r="O397" s="191"/>
      <c r="P397" s="191"/>
      <c r="Q397" s="191"/>
      <c r="R397" s="191"/>
      <c r="S397" s="191"/>
      <c r="T397" s="191"/>
      <c r="U397" s="191"/>
      <c r="V397" s="191"/>
    </row>
    <row r="398" ht="15.75" customHeight="1">
      <c r="A398" s="191"/>
      <c r="B398" s="191"/>
      <c r="C398" s="191"/>
      <c r="D398" s="191"/>
      <c r="E398" s="191"/>
      <c r="F398" s="191"/>
      <c r="G398" s="191"/>
      <c r="H398" s="191"/>
      <c r="I398" s="191"/>
      <c r="J398" s="191"/>
      <c r="K398" s="191"/>
      <c r="L398" s="191"/>
      <c r="M398" s="191"/>
      <c r="N398" s="191"/>
      <c r="O398" s="191"/>
      <c r="P398" s="191"/>
      <c r="Q398" s="191"/>
      <c r="R398" s="191"/>
      <c r="S398" s="191"/>
      <c r="T398" s="191"/>
      <c r="U398" s="191"/>
      <c r="V398" s="191"/>
    </row>
    <row r="399" ht="15.75" customHeight="1">
      <c r="A399" s="191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</row>
    <row r="400" ht="15.75" customHeight="1">
      <c r="A400" s="191"/>
      <c r="B400" s="191"/>
      <c r="C400" s="191"/>
      <c r="D400" s="191"/>
      <c r="E400" s="191"/>
      <c r="F400" s="191"/>
      <c r="G400" s="191"/>
      <c r="H400" s="191"/>
      <c r="I400" s="191"/>
      <c r="J400" s="191"/>
      <c r="K400" s="191"/>
      <c r="L400" s="191"/>
      <c r="M400" s="191"/>
      <c r="N400" s="191"/>
      <c r="O400" s="191"/>
      <c r="P400" s="191"/>
      <c r="Q400" s="191"/>
      <c r="R400" s="191"/>
      <c r="S400" s="191"/>
      <c r="T400" s="191"/>
      <c r="U400" s="191"/>
      <c r="V400" s="191"/>
    </row>
    <row r="401" ht="15.75" customHeight="1">
      <c r="A401" s="191"/>
      <c r="B401" s="191"/>
      <c r="C401" s="191"/>
      <c r="D401" s="191"/>
      <c r="E401" s="191"/>
      <c r="F401" s="191"/>
      <c r="G401" s="191"/>
      <c r="H401" s="191"/>
      <c r="I401" s="191"/>
      <c r="J401" s="191"/>
      <c r="K401" s="191"/>
      <c r="L401" s="191"/>
      <c r="M401" s="191"/>
      <c r="N401" s="191"/>
      <c r="O401" s="191"/>
      <c r="P401" s="191"/>
      <c r="Q401" s="191"/>
      <c r="R401" s="191"/>
      <c r="S401" s="191"/>
      <c r="T401" s="191"/>
      <c r="U401" s="191"/>
      <c r="V401" s="191"/>
    </row>
    <row r="402" ht="15.75" customHeight="1">
      <c r="A402" s="191"/>
      <c r="B402" s="191"/>
      <c r="C402" s="191"/>
      <c r="D402" s="191"/>
      <c r="E402" s="191"/>
      <c r="F402" s="191"/>
      <c r="G402" s="191"/>
      <c r="H402" s="191"/>
      <c r="I402" s="191"/>
      <c r="J402" s="191"/>
      <c r="K402" s="191"/>
      <c r="L402" s="191"/>
      <c r="M402" s="191"/>
      <c r="N402" s="191"/>
      <c r="O402" s="191"/>
      <c r="P402" s="191"/>
      <c r="Q402" s="191"/>
      <c r="R402" s="191"/>
      <c r="S402" s="191"/>
      <c r="T402" s="191"/>
      <c r="U402" s="191"/>
      <c r="V402" s="191"/>
    </row>
    <row r="403" ht="15.75" customHeight="1">
      <c r="A403" s="191"/>
      <c r="B403" s="191"/>
      <c r="C403" s="191"/>
      <c r="D403" s="191"/>
      <c r="E403" s="191"/>
      <c r="F403" s="191"/>
      <c r="G403" s="191"/>
      <c r="H403" s="191"/>
      <c r="I403" s="191"/>
      <c r="J403" s="191"/>
      <c r="K403" s="191"/>
      <c r="L403" s="191"/>
      <c r="M403" s="191"/>
      <c r="N403" s="191"/>
      <c r="O403" s="191"/>
      <c r="P403" s="191"/>
      <c r="Q403" s="191"/>
      <c r="R403" s="191"/>
      <c r="S403" s="191"/>
      <c r="T403" s="191"/>
      <c r="U403" s="191"/>
      <c r="V403" s="191"/>
    </row>
    <row r="404" ht="15.75" customHeight="1">
      <c r="A404" s="191"/>
      <c r="B404" s="191"/>
      <c r="C404" s="191"/>
      <c r="D404" s="191"/>
      <c r="E404" s="191"/>
      <c r="F404" s="191"/>
      <c r="G404" s="191"/>
      <c r="H404" s="191"/>
      <c r="I404" s="191"/>
      <c r="J404" s="191"/>
      <c r="K404" s="191"/>
      <c r="L404" s="191"/>
      <c r="M404" s="191"/>
      <c r="N404" s="191"/>
      <c r="O404" s="191"/>
      <c r="P404" s="191"/>
      <c r="Q404" s="191"/>
      <c r="R404" s="191"/>
      <c r="S404" s="191"/>
      <c r="T404" s="191"/>
      <c r="U404" s="191"/>
      <c r="V404" s="191"/>
    </row>
    <row r="405" ht="15.75" customHeight="1">
      <c r="A405" s="191"/>
      <c r="B405" s="191"/>
      <c r="C405" s="191"/>
      <c r="D405" s="191"/>
      <c r="E405" s="191"/>
      <c r="F405" s="191"/>
      <c r="G405" s="191"/>
      <c r="H405" s="191"/>
      <c r="I405" s="191"/>
      <c r="J405" s="191"/>
      <c r="K405" s="191"/>
      <c r="L405" s="191"/>
      <c r="M405" s="191"/>
      <c r="N405" s="191"/>
      <c r="O405" s="191"/>
      <c r="P405" s="191"/>
      <c r="Q405" s="191"/>
      <c r="R405" s="191"/>
      <c r="S405" s="191"/>
      <c r="T405" s="191"/>
      <c r="U405" s="191"/>
      <c r="V405" s="191"/>
    </row>
    <row r="406" ht="15.75" customHeight="1">
      <c r="A406" s="191"/>
      <c r="B406" s="191"/>
      <c r="C406" s="191"/>
      <c r="D406" s="191"/>
      <c r="E406" s="191"/>
      <c r="F406" s="191"/>
      <c r="G406" s="191"/>
      <c r="H406" s="191"/>
      <c r="I406" s="191"/>
      <c r="J406" s="191"/>
      <c r="K406" s="191"/>
      <c r="L406" s="191"/>
      <c r="M406" s="191"/>
      <c r="N406" s="191"/>
      <c r="O406" s="191"/>
      <c r="P406" s="191"/>
      <c r="Q406" s="191"/>
      <c r="R406" s="191"/>
      <c r="S406" s="191"/>
      <c r="T406" s="191"/>
      <c r="U406" s="191"/>
      <c r="V406" s="191"/>
    </row>
    <row r="407" ht="15.75" customHeight="1">
      <c r="A407" s="191"/>
      <c r="B407" s="191"/>
      <c r="C407" s="191"/>
      <c r="D407" s="191"/>
      <c r="E407" s="191"/>
      <c r="F407" s="191"/>
      <c r="G407" s="191"/>
      <c r="H407" s="191"/>
      <c r="I407" s="191"/>
      <c r="J407" s="191"/>
      <c r="K407" s="191"/>
      <c r="L407" s="191"/>
      <c r="M407" s="191"/>
      <c r="N407" s="191"/>
      <c r="O407" s="191"/>
      <c r="P407" s="191"/>
      <c r="Q407" s="191"/>
      <c r="R407" s="191"/>
      <c r="S407" s="191"/>
      <c r="T407" s="191"/>
      <c r="U407" s="191"/>
      <c r="V407" s="191"/>
    </row>
    <row r="408" ht="15.75" customHeight="1">
      <c r="A408" s="191"/>
      <c r="B408" s="191"/>
      <c r="C408" s="191"/>
      <c r="D408" s="191"/>
      <c r="E408" s="191"/>
      <c r="F408" s="191"/>
      <c r="G408" s="191"/>
      <c r="H408" s="191"/>
      <c r="I408" s="191"/>
      <c r="J408" s="191"/>
      <c r="K408" s="191"/>
      <c r="L408" s="191"/>
      <c r="M408" s="191"/>
      <c r="N408" s="191"/>
      <c r="O408" s="191"/>
      <c r="P408" s="191"/>
      <c r="Q408" s="191"/>
      <c r="R408" s="191"/>
      <c r="S408" s="191"/>
      <c r="T408" s="191"/>
      <c r="U408" s="191"/>
      <c r="V408" s="191"/>
    </row>
    <row r="409" ht="15.75" customHeight="1">
      <c r="A409" s="191"/>
      <c r="B409" s="191"/>
      <c r="C409" s="191"/>
      <c r="D409" s="191"/>
      <c r="E409" s="191"/>
      <c r="F409" s="191"/>
      <c r="G409" s="191"/>
      <c r="H409" s="191"/>
      <c r="I409" s="191"/>
      <c r="J409" s="191"/>
      <c r="K409" s="191"/>
      <c r="L409" s="191"/>
      <c r="M409" s="191"/>
      <c r="N409" s="191"/>
      <c r="O409" s="191"/>
      <c r="P409" s="191"/>
      <c r="Q409" s="191"/>
      <c r="R409" s="191"/>
      <c r="S409" s="191"/>
      <c r="T409" s="191"/>
      <c r="U409" s="191"/>
      <c r="V409" s="191"/>
    </row>
    <row r="410" ht="15.75" customHeight="1">
      <c r="A410" s="191"/>
      <c r="B410" s="191"/>
      <c r="C410" s="191"/>
      <c r="D410" s="191"/>
      <c r="E410" s="191"/>
      <c r="F410" s="191"/>
      <c r="G410" s="191"/>
      <c r="H410" s="191"/>
      <c r="I410" s="191"/>
      <c r="J410" s="191"/>
      <c r="K410" s="191"/>
      <c r="L410" s="191"/>
      <c r="M410" s="191"/>
      <c r="N410" s="191"/>
      <c r="O410" s="191"/>
      <c r="P410" s="191"/>
      <c r="Q410" s="191"/>
      <c r="R410" s="191"/>
      <c r="S410" s="191"/>
      <c r="T410" s="191"/>
      <c r="U410" s="191"/>
      <c r="V410" s="191"/>
    </row>
    <row r="411" ht="15.75" customHeight="1">
      <c r="A411" s="191"/>
      <c r="B411" s="191"/>
      <c r="C411" s="191"/>
      <c r="D411" s="191"/>
      <c r="E411" s="191"/>
      <c r="F411" s="191"/>
      <c r="G411" s="191"/>
      <c r="H411" s="191"/>
      <c r="I411" s="191"/>
      <c r="J411" s="191"/>
      <c r="K411" s="191"/>
      <c r="L411" s="191"/>
      <c r="M411" s="191"/>
      <c r="N411" s="191"/>
      <c r="O411" s="191"/>
      <c r="P411" s="191"/>
      <c r="Q411" s="191"/>
      <c r="R411" s="191"/>
      <c r="S411" s="191"/>
      <c r="T411" s="191"/>
      <c r="U411" s="191"/>
      <c r="V411" s="191"/>
    </row>
    <row r="412" ht="15.75" customHeight="1">
      <c r="A412" s="191"/>
      <c r="B412" s="191"/>
      <c r="C412" s="191"/>
      <c r="D412" s="191"/>
      <c r="E412" s="191"/>
      <c r="F412" s="191"/>
      <c r="G412" s="191"/>
      <c r="H412" s="191"/>
      <c r="I412" s="191"/>
      <c r="J412" s="191"/>
      <c r="K412" s="191"/>
      <c r="L412" s="191"/>
      <c r="M412" s="191"/>
      <c r="N412" s="191"/>
      <c r="O412" s="191"/>
      <c r="P412" s="191"/>
      <c r="Q412" s="191"/>
      <c r="R412" s="191"/>
      <c r="S412" s="191"/>
      <c r="T412" s="191"/>
      <c r="U412" s="191"/>
      <c r="V412" s="191"/>
    </row>
    <row r="413" ht="15.75" customHeight="1">
      <c r="A413" s="191"/>
      <c r="B413" s="191"/>
      <c r="C413" s="191"/>
      <c r="D413" s="191"/>
      <c r="E413" s="191"/>
      <c r="F413" s="191"/>
      <c r="G413" s="191"/>
      <c r="H413" s="191"/>
      <c r="I413" s="191"/>
      <c r="J413" s="191"/>
      <c r="K413" s="191"/>
      <c r="L413" s="191"/>
      <c r="M413" s="191"/>
      <c r="N413" s="191"/>
      <c r="O413" s="191"/>
      <c r="P413" s="191"/>
      <c r="Q413" s="191"/>
      <c r="R413" s="191"/>
      <c r="S413" s="191"/>
      <c r="T413" s="191"/>
      <c r="U413" s="191"/>
      <c r="V413" s="191"/>
    </row>
    <row r="414" ht="15.75" customHeight="1">
      <c r="A414" s="191"/>
      <c r="B414" s="191"/>
      <c r="C414" s="191"/>
      <c r="D414" s="191"/>
      <c r="E414" s="191"/>
      <c r="F414" s="191"/>
      <c r="G414" s="191"/>
      <c r="H414" s="191"/>
      <c r="I414" s="191"/>
      <c r="J414" s="191"/>
      <c r="K414" s="191"/>
      <c r="L414" s="191"/>
      <c r="M414" s="191"/>
      <c r="N414" s="191"/>
      <c r="O414" s="191"/>
      <c r="P414" s="191"/>
      <c r="Q414" s="191"/>
      <c r="R414" s="191"/>
      <c r="S414" s="191"/>
      <c r="T414" s="191"/>
      <c r="U414" s="191"/>
      <c r="V414" s="191"/>
    </row>
    <row r="415" ht="15.75" customHeight="1">
      <c r="A415" s="191"/>
      <c r="B415" s="191"/>
      <c r="C415" s="191"/>
      <c r="D415" s="191"/>
      <c r="E415" s="191"/>
      <c r="F415" s="191"/>
      <c r="G415" s="191"/>
      <c r="H415" s="191"/>
      <c r="I415" s="191"/>
      <c r="J415" s="191"/>
      <c r="K415" s="191"/>
      <c r="L415" s="191"/>
      <c r="M415" s="191"/>
      <c r="N415" s="191"/>
      <c r="O415" s="191"/>
      <c r="P415" s="191"/>
      <c r="Q415" s="191"/>
      <c r="R415" s="191"/>
      <c r="S415" s="191"/>
      <c r="T415" s="191"/>
      <c r="U415" s="191"/>
      <c r="V415" s="191"/>
    </row>
    <row r="416" ht="15.75" customHeight="1">
      <c r="A416" s="191"/>
      <c r="B416" s="191"/>
      <c r="C416" s="191"/>
      <c r="D416" s="191"/>
      <c r="E416" s="191"/>
      <c r="F416" s="191"/>
      <c r="G416" s="191"/>
      <c r="H416" s="191"/>
      <c r="I416" s="191"/>
      <c r="J416" s="191"/>
      <c r="K416" s="191"/>
      <c r="L416" s="191"/>
      <c r="M416" s="191"/>
      <c r="N416" s="191"/>
      <c r="O416" s="191"/>
      <c r="P416" s="191"/>
      <c r="Q416" s="191"/>
      <c r="R416" s="191"/>
      <c r="S416" s="191"/>
      <c r="T416" s="191"/>
      <c r="U416" s="191"/>
      <c r="V416" s="191"/>
    </row>
    <row r="417" ht="15.75" customHeight="1">
      <c r="A417" s="191"/>
      <c r="B417" s="191"/>
      <c r="C417" s="191"/>
      <c r="D417" s="191"/>
      <c r="E417" s="191"/>
      <c r="F417" s="191"/>
      <c r="G417" s="191"/>
      <c r="H417" s="191"/>
      <c r="I417" s="191"/>
      <c r="J417" s="191"/>
      <c r="K417" s="191"/>
      <c r="L417" s="191"/>
      <c r="M417" s="191"/>
      <c r="N417" s="191"/>
      <c r="O417" s="191"/>
      <c r="P417" s="191"/>
      <c r="Q417" s="191"/>
      <c r="R417" s="191"/>
      <c r="S417" s="191"/>
      <c r="T417" s="191"/>
      <c r="U417" s="191"/>
      <c r="V417" s="191"/>
    </row>
    <row r="418" ht="15.75" customHeight="1">
      <c r="A418" s="191"/>
      <c r="B418" s="191"/>
      <c r="C418" s="191"/>
      <c r="D418" s="191"/>
      <c r="E418" s="191"/>
      <c r="F418" s="191"/>
      <c r="G418" s="191"/>
      <c r="H418" s="191"/>
      <c r="I418" s="191"/>
      <c r="J418" s="191"/>
      <c r="K418" s="191"/>
      <c r="L418" s="191"/>
      <c r="M418" s="191"/>
      <c r="N418" s="191"/>
      <c r="O418" s="191"/>
      <c r="P418" s="191"/>
      <c r="Q418" s="191"/>
      <c r="R418" s="191"/>
      <c r="S418" s="191"/>
      <c r="T418" s="191"/>
      <c r="U418" s="191"/>
      <c r="V418" s="191"/>
    </row>
    <row r="419" ht="15.75" customHeight="1">
      <c r="A419" s="191"/>
      <c r="B419" s="191"/>
      <c r="C419" s="191"/>
      <c r="D419" s="191"/>
      <c r="E419" s="191"/>
      <c r="F419" s="191"/>
      <c r="G419" s="191"/>
      <c r="H419" s="191"/>
      <c r="I419" s="191"/>
      <c r="J419" s="191"/>
      <c r="K419" s="191"/>
      <c r="L419" s="191"/>
      <c r="M419" s="191"/>
      <c r="N419" s="191"/>
      <c r="O419" s="191"/>
      <c r="P419" s="191"/>
      <c r="Q419" s="191"/>
      <c r="R419" s="191"/>
      <c r="S419" s="191"/>
      <c r="T419" s="191"/>
      <c r="U419" s="191"/>
      <c r="V419" s="191"/>
    </row>
    <row r="420" ht="15.75" customHeight="1">
      <c r="A420" s="191"/>
      <c r="B420" s="191"/>
      <c r="C420" s="191"/>
      <c r="D420" s="191"/>
      <c r="E420" s="191"/>
      <c r="F420" s="191"/>
      <c r="G420" s="191"/>
      <c r="H420" s="191"/>
      <c r="I420" s="191"/>
      <c r="J420" s="191"/>
      <c r="K420" s="191"/>
      <c r="L420" s="191"/>
      <c r="M420" s="191"/>
      <c r="N420" s="191"/>
      <c r="O420" s="191"/>
      <c r="P420" s="191"/>
      <c r="Q420" s="191"/>
      <c r="R420" s="191"/>
      <c r="S420" s="191"/>
      <c r="T420" s="191"/>
      <c r="U420" s="191"/>
      <c r="V420" s="191"/>
    </row>
    <row r="421" ht="15.75" customHeight="1">
      <c r="A421" s="191"/>
      <c r="B421" s="191"/>
      <c r="C421" s="191"/>
      <c r="D421" s="191"/>
      <c r="E421" s="191"/>
      <c r="F421" s="191"/>
      <c r="G421" s="191"/>
      <c r="H421" s="191"/>
      <c r="I421" s="191"/>
      <c r="J421" s="191"/>
      <c r="K421" s="191"/>
      <c r="L421" s="191"/>
      <c r="M421" s="191"/>
      <c r="N421" s="191"/>
      <c r="O421" s="191"/>
      <c r="P421" s="191"/>
      <c r="Q421" s="191"/>
      <c r="R421" s="191"/>
      <c r="S421" s="191"/>
      <c r="T421" s="191"/>
      <c r="U421" s="191"/>
      <c r="V421" s="191"/>
    </row>
    <row r="422" ht="15.75" customHeight="1">
      <c r="A422" s="191"/>
      <c r="B422" s="191"/>
      <c r="C422" s="191"/>
      <c r="D422" s="191"/>
      <c r="E422" s="191"/>
      <c r="F422" s="191"/>
      <c r="G422" s="191"/>
      <c r="H422" s="191"/>
      <c r="I422" s="191"/>
      <c r="J422" s="191"/>
      <c r="K422" s="191"/>
      <c r="L422" s="191"/>
      <c r="M422" s="191"/>
      <c r="N422" s="191"/>
      <c r="O422" s="191"/>
      <c r="P422" s="191"/>
      <c r="Q422" s="191"/>
      <c r="R422" s="191"/>
      <c r="S422" s="191"/>
      <c r="T422" s="191"/>
      <c r="U422" s="191"/>
      <c r="V422" s="191"/>
    </row>
    <row r="423" ht="15.75" customHeight="1">
      <c r="A423" s="191"/>
      <c r="B423" s="191"/>
      <c r="C423" s="191"/>
      <c r="D423" s="191"/>
      <c r="E423" s="191"/>
      <c r="F423" s="191"/>
      <c r="G423" s="191"/>
      <c r="H423" s="191"/>
      <c r="I423" s="191"/>
      <c r="J423" s="191"/>
      <c r="K423" s="191"/>
      <c r="L423" s="191"/>
      <c r="M423" s="191"/>
      <c r="N423" s="191"/>
      <c r="O423" s="191"/>
      <c r="P423" s="191"/>
      <c r="Q423" s="191"/>
      <c r="R423" s="191"/>
      <c r="S423" s="191"/>
      <c r="T423" s="191"/>
      <c r="U423" s="191"/>
      <c r="V423" s="191"/>
    </row>
    <row r="424" ht="15.75" customHeight="1">
      <c r="A424" s="191"/>
      <c r="B424" s="191"/>
      <c r="C424" s="191"/>
      <c r="D424" s="191"/>
      <c r="E424" s="191"/>
      <c r="F424" s="191"/>
      <c r="G424" s="191"/>
      <c r="H424" s="191"/>
      <c r="I424" s="191"/>
      <c r="J424" s="191"/>
      <c r="K424" s="191"/>
      <c r="L424" s="191"/>
      <c r="M424" s="191"/>
      <c r="N424" s="191"/>
      <c r="O424" s="191"/>
      <c r="P424" s="191"/>
      <c r="Q424" s="191"/>
      <c r="R424" s="191"/>
      <c r="S424" s="191"/>
      <c r="T424" s="191"/>
      <c r="U424" s="191"/>
      <c r="V424" s="191"/>
    </row>
    <row r="425" ht="15.75" customHeight="1">
      <c r="A425" s="191"/>
      <c r="B425" s="191"/>
      <c r="C425" s="191"/>
      <c r="D425" s="191"/>
      <c r="E425" s="191"/>
      <c r="F425" s="191"/>
      <c r="G425" s="191"/>
      <c r="H425" s="191"/>
      <c r="I425" s="191"/>
      <c r="J425" s="191"/>
      <c r="K425" s="191"/>
      <c r="L425" s="191"/>
      <c r="M425" s="191"/>
      <c r="N425" s="191"/>
      <c r="O425" s="191"/>
      <c r="P425" s="191"/>
      <c r="Q425" s="191"/>
      <c r="R425" s="191"/>
      <c r="S425" s="191"/>
      <c r="T425" s="191"/>
      <c r="U425" s="191"/>
      <c r="V425" s="191"/>
    </row>
    <row r="426" ht="15.75" customHeight="1">
      <c r="A426" s="191"/>
      <c r="B426" s="191"/>
      <c r="C426" s="191"/>
      <c r="D426" s="191"/>
      <c r="E426" s="191"/>
      <c r="F426" s="191"/>
      <c r="G426" s="191"/>
      <c r="H426" s="191"/>
      <c r="I426" s="191"/>
      <c r="J426" s="191"/>
      <c r="K426" s="191"/>
      <c r="L426" s="191"/>
      <c r="M426" s="191"/>
      <c r="N426" s="191"/>
      <c r="O426" s="191"/>
      <c r="P426" s="191"/>
      <c r="Q426" s="191"/>
      <c r="R426" s="191"/>
      <c r="S426" s="191"/>
      <c r="T426" s="191"/>
      <c r="U426" s="191"/>
      <c r="V426" s="191"/>
    </row>
    <row r="427" ht="15.75" customHeight="1">
      <c r="A427" s="191"/>
      <c r="B427" s="191"/>
      <c r="C427" s="191"/>
      <c r="D427" s="191"/>
      <c r="E427" s="191"/>
      <c r="F427" s="191"/>
      <c r="G427" s="191"/>
      <c r="H427" s="191"/>
      <c r="I427" s="191"/>
      <c r="J427" s="191"/>
      <c r="K427" s="191"/>
      <c r="L427" s="191"/>
      <c r="M427" s="191"/>
      <c r="N427" s="191"/>
      <c r="O427" s="191"/>
      <c r="P427" s="191"/>
      <c r="Q427" s="191"/>
      <c r="R427" s="191"/>
      <c r="S427" s="191"/>
      <c r="T427" s="191"/>
      <c r="U427" s="191"/>
      <c r="V427" s="191"/>
    </row>
    <row r="428" ht="15.75" customHeight="1">
      <c r="A428" s="191"/>
      <c r="B428" s="191"/>
      <c r="C428" s="191"/>
      <c r="D428" s="191"/>
      <c r="E428" s="191"/>
      <c r="F428" s="191"/>
      <c r="G428" s="191"/>
      <c r="H428" s="191"/>
      <c r="I428" s="191"/>
      <c r="J428" s="191"/>
      <c r="K428" s="191"/>
      <c r="L428" s="191"/>
      <c r="M428" s="191"/>
      <c r="N428" s="191"/>
      <c r="O428" s="191"/>
      <c r="P428" s="191"/>
      <c r="Q428" s="191"/>
      <c r="R428" s="191"/>
      <c r="S428" s="191"/>
      <c r="T428" s="191"/>
      <c r="U428" s="191"/>
      <c r="V428" s="191"/>
    </row>
    <row r="429" ht="15.75" customHeight="1">
      <c r="A429" s="191"/>
      <c r="B429" s="191"/>
      <c r="C429" s="191"/>
      <c r="D429" s="191"/>
      <c r="E429" s="191"/>
      <c r="F429" s="191"/>
      <c r="G429" s="191"/>
      <c r="H429" s="191"/>
      <c r="I429" s="191"/>
      <c r="J429" s="191"/>
      <c r="K429" s="191"/>
      <c r="L429" s="191"/>
      <c r="M429" s="191"/>
      <c r="N429" s="191"/>
      <c r="O429" s="191"/>
      <c r="P429" s="191"/>
      <c r="Q429" s="191"/>
      <c r="R429" s="191"/>
      <c r="S429" s="191"/>
      <c r="T429" s="191"/>
      <c r="U429" s="191"/>
      <c r="V429" s="191"/>
    </row>
    <row r="430" ht="15.75" customHeight="1">
      <c r="A430" s="191"/>
      <c r="B430" s="191"/>
      <c r="C430" s="191"/>
      <c r="D430" s="191"/>
      <c r="E430" s="191"/>
      <c r="F430" s="191"/>
      <c r="G430" s="191"/>
      <c r="H430" s="191"/>
      <c r="I430" s="191"/>
      <c r="J430" s="191"/>
      <c r="K430" s="191"/>
      <c r="L430" s="191"/>
      <c r="M430" s="191"/>
      <c r="N430" s="191"/>
      <c r="O430" s="191"/>
      <c r="P430" s="191"/>
      <c r="Q430" s="191"/>
      <c r="R430" s="191"/>
      <c r="S430" s="191"/>
      <c r="T430" s="191"/>
      <c r="U430" s="191"/>
      <c r="V430" s="191"/>
    </row>
    <row r="431" ht="15.75" customHeight="1">
      <c r="A431" s="191"/>
      <c r="B431" s="191"/>
      <c r="C431" s="191"/>
      <c r="D431" s="191"/>
      <c r="E431" s="191"/>
      <c r="F431" s="191"/>
      <c r="G431" s="191"/>
      <c r="H431" s="191"/>
      <c r="I431" s="191"/>
      <c r="J431" s="191"/>
      <c r="K431" s="191"/>
      <c r="L431" s="191"/>
      <c r="M431" s="191"/>
      <c r="N431" s="191"/>
      <c r="O431" s="191"/>
      <c r="P431" s="191"/>
      <c r="Q431" s="191"/>
      <c r="R431" s="191"/>
      <c r="S431" s="191"/>
      <c r="T431" s="191"/>
      <c r="U431" s="191"/>
      <c r="V431" s="191"/>
    </row>
    <row r="432" ht="15.75" customHeight="1">
      <c r="A432" s="191"/>
      <c r="B432" s="191"/>
      <c r="C432" s="191"/>
      <c r="D432" s="191"/>
      <c r="E432" s="191"/>
      <c r="F432" s="191"/>
      <c r="G432" s="191"/>
      <c r="H432" s="191"/>
      <c r="I432" s="191"/>
      <c r="J432" s="191"/>
      <c r="K432" s="191"/>
      <c r="L432" s="191"/>
      <c r="M432" s="191"/>
      <c r="N432" s="191"/>
      <c r="O432" s="191"/>
      <c r="P432" s="191"/>
      <c r="Q432" s="191"/>
      <c r="R432" s="191"/>
      <c r="S432" s="191"/>
      <c r="T432" s="191"/>
      <c r="U432" s="191"/>
      <c r="V432" s="191"/>
    </row>
    <row r="433" ht="15.75" customHeight="1">
      <c r="A433" s="191"/>
      <c r="B433" s="191"/>
      <c r="C433" s="191"/>
      <c r="D433" s="191"/>
      <c r="E433" s="191"/>
      <c r="F433" s="191"/>
      <c r="G433" s="191"/>
      <c r="H433" s="191"/>
      <c r="I433" s="191"/>
      <c r="J433" s="191"/>
      <c r="K433" s="191"/>
      <c r="L433" s="191"/>
      <c r="M433" s="191"/>
      <c r="N433" s="191"/>
      <c r="O433" s="191"/>
      <c r="P433" s="191"/>
      <c r="Q433" s="191"/>
      <c r="R433" s="191"/>
      <c r="S433" s="191"/>
      <c r="T433" s="191"/>
      <c r="U433" s="191"/>
      <c r="V433" s="191"/>
    </row>
    <row r="434" ht="15.75" customHeight="1">
      <c r="A434" s="191"/>
      <c r="B434" s="191"/>
      <c r="C434" s="191"/>
      <c r="D434" s="191"/>
      <c r="E434" s="191"/>
      <c r="F434" s="191"/>
      <c r="G434" s="191"/>
      <c r="H434" s="191"/>
      <c r="I434" s="191"/>
      <c r="J434" s="191"/>
      <c r="K434" s="191"/>
      <c r="L434" s="191"/>
      <c r="M434" s="191"/>
      <c r="N434" s="191"/>
      <c r="O434" s="191"/>
      <c r="P434" s="191"/>
      <c r="Q434" s="191"/>
      <c r="R434" s="191"/>
      <c r="S434" s="191"/>
      <c r="T434" s="191"/>
      <c r="U434" s="191"/>
      <c r="V434" s="191"/>
    </row>
    <row r="435" ht="15.75" customHeight="1">
      <c r="A435" s="191"/>
      <c r="B435" s="191"/>
      <c r="C435" s="191"/>
      <c r="D435" s="191"/>
      <c r="E435" s="191"/>
      <c r="F435" s="191"/>
      <c r="G435" s="191"/>
      <c r="H435" s="191"/>
      <c r="I435" s="191"/>
      <c r="J435" s="191"/>
      <c r="K435" s="191"/>
      <c r="L435" s="191"/>
      <c r="M435" s="191"/>
      <c r="N435" s="191"/>
      <c r="O435" s="191"/>
      <c r="P435" s="191"/>
      <c r="Q435" s="191"/>
      <c r="R435" s="191"/>
      <c r="S435" s="191"/>
      <c r="T435" s="191"/>
      <c r="U435" s="191"/>
      <c r="V435" s="191"/>
    </row>
    <row r="436" ht="15.75" customHeight="1">
      <c r="A436" s="191"/>
      <c r="B436" s="191"/>
      <c r="C436" s="191"/>
      <c r="D436" s="191"/>
      <c r="E436" s="191"/>
      <c r="F436" s="191"/>
      <c r="G436" s="191"/>
      <c r="H436" s="191"/>
      <c r="I436" s="191"/>
      <c r="J436" s="191"/>
      <c r="K436" s="191"/>
      <c r="L436" s="191"/>
      <c r="M436" s="191"/>
      <c r="N436" s="191"/>
      <c r="O436" s="191"/>
      <c r="P436" s="191"/>
      <c r="Q436" s="191"/>
      <c r="R436" s="191"/>
      <c r="S436" s="191"/>
      <c r="T436" s="191"/>
      <c r="U436" s="191"/>
      <c r="V436" s="191"/>
    </row>
    <row r="437" ht="15.75" customHeight="1">
      <c r="A437" s="191"/>
      <c r="B437" s="191"/>
      <c r="C437" s="191"/>
      <c r="D437" s="191"/>
      <c r="E437" s="191"/>
      <c r="F437" s="191"/>
      <c r="G437" s="191"/>
      <c r="H437" s="191"/>
      <c r="I437" s="191"/>
      <c r="J437" s="191"/>
      <c r="K437" s="191"/>
      <c r="L437" s="191"/>
      <c r="M437" s="191"/>
      <c r="N437" s="191"/>
      <c r="O437" s="191"/>
      <c r="P437" s="191"/>
      <c r="Q437" s="191"/>
      <c r="R437" s="191"/>
      <c r="S437" s="191"/>
      <c r="T437" s="191"/>
      <c r="U437" s="191"/>
      <c r="V437" s="191"/>
    </row>
    <row r="438" ht="15.75" customHeight="1">
      <c r="A438" s="191"/>
      <c r="B438" s="191"/>
      <c r="C438" s="191"/>
      <c r="D438" s="191"/>
      <c r="E438" s="191"/>
      <c r="F438" s="191"/>
      <c r="G438" s="191"/>
      <c r="H438" s="191"/>
      <c r="I438" s="191"/>
      <c r="J438" s="191"/>
      <c r="K438" s="191"/>
      <c r="L438" s="191"/>
      <c r="M438" s="191"/>
      <c r="N438" s="191"/>
      <c r="O438" s="191"/>
      <c r="P438" s="191"/>
      <c r="Q438" s="191"/>
      <c r="R438" s="191"/>
      <c r="S438" s="191"/>
      <c r="T438" s="191"/>
      <c r="U438" s="191"/>
      <c r="V438" s="191"/>
    </row>
    <row r="439" ht="15.75" customHeight="1">
      <c r="A439" s="191"/>
      <c r="B439" s="191"/>
      <c r="C439" s="191"/>
      <c r="D439" s="191"/>
      <c r="E439" s="191"/>
      <c r="F439" s="191"/>
      <c r="G439" s="191"/>
      <c r="H439" s="191"/>
      <c r="I439" s="191"/>
      <c r="J439" s="191"/>
      <c r="K439" s="191"/>
      <c r="L439" s="191"/>
      <c r="M439" s="191"/>
      <c r="N439" s="191"/>
      <c r="O439" s="191"/>
      <c r="P439" s="191"/>
      <c r="Q439" s="191"/>
      <c r="R439" s="191"/>
      <c r="S439" s="191"/>
      <c r="T439" s="191"/>
      <c r="U439" s="191"/>
      <c r="V439" s="191"/>
    </row>
    <row r="440" ht="15.75" customHeight="1">
      <c r="A440" s="191"/>
      <c r="B440" s="191"/>
      <c r="C440" s="191"/>
      <c r="D440" s="191"/>
      <c r="E440" s="191"/>
      <c r="F440" s="191"/>
      <c r="G440" s="191"/>
      <c r="H440" s="191"/>
      <c r="I440" s="191"/>
      <c r="J440" s="191"/>
      <c r="K440" s="191"/>
      <c r="L440" s="191"/>
      <c r="M440" s="191"/>
      <c r="N440" s="191"/>
      <c r="O440" s="191"/>
      <c r="P440" s="191"/>
      <c r="Q440" s="191"/>
      <c r="R440" s="191"/>
      <c r="S440" s="191"/>
      <c r="T440" s="191"/>
      <c r="U440" s="191"/>
      <c r="V440" s="191"/>
    </row>
    <row r="441" ht="15.75" customHeight="1">
      <c r="A441" s="191"/>
      <c r="B441" s="191"/>
      <c r="C441" s="191"/>
      <c r="D441" s="191"/>
      <c r="E441" s="191"/>
      <c r="F441" s="191"/>
      <c r="G441" s="191"/>
      <c r="H441" s="191"/>
      <c r="I441" s="191"/>
      <c r="J441" s="191"/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</row>
    <row r="442" ht="15.75" customHeight="1">
      <c r="A442" s="191"/>
      <c r="B442" s="191"/>
      <c r="C442" s="191"/>
      <c r="D442" s="191"/>
      <c r="E442" s="191"/>
      <c r="F442" s="191"/>
      <c r="G442" s="191"/>
      <c r="H442" s="191"/>
      <c r="I442" s="191"/>
      <c r="J442" s="191"/>
      <c r="K442" s="191"/>
      <c r="L442" s="191"/>
      <c r="M442" s="191"/>
      <c r="N442" s="191"/>
      <c r="O442" s="191"/>
      <c r="P442" s="191"/>
      <c r="Q442" s="191"/>
      <c r="R442" s="191"/>
      <c r="S442" s="191"/>
      <c r="T442" s="191"/>
      <c r="U442" s="191"/>
      <c r="V442" s="191"/>
    </row>
    <row r="443" ht="15.75" customHeight="1">
      <c r="A443" s="191"/>
      <c r="B443" s="191"/>
      <c r="C443" s="191"/>
      <c r="D443" s="191"/>
      <c r="E443" s="191"/>
      <c r="F443" s="191"/>
      <c r="G443" s="191"/>
      <c r="H443" s="191"/>
      <c r="I443" s="191"/>
      <c r="J443" s="191"/>
      <c r="K443" s="191"/>
      <c r="L443" s="191"/>
      <c r="M443" s="191"/>
      <c r="N443" s="191"/>
      <c r="O443" s="191"/>
      <c r="P443" s="191"/>
      <c r="Q443" s="191"/>
      <c r="R443" s="191"/>
      <c r="S443" s="191"/>
      <c r="T443" s="191"/>
      <c r="U443" s="191"/>
      <c r="V443" s="191"/>
    </row>
    <row r="444" ht="15.75" customHeight="1">
      <c r="A444" s="191"/>
      <c r="B444" s="191"/>
      <c r="C444" s="191"/>
      <c r="D444" s="191"/>
      <c r="E444" s="191"/>
      <c r="F444" s="191"/>
      <c r="G444" s="191"/>
      <c r="H444" s="191"/>
      <c r="I444" s="191"/>
      <c r="J444" s="191"/>
      <c r="K444" s="191"/>
      <c r="L444" s="191"/>
      <c r="M444" s="191"/>
      <c r="N444" s="191"/>
      <c r="O444" s="191"/>
      <c r="P444" s="191"/>
      <c r="Q444" s="191"/>
      <c r="R444" s="191"/>
      <c r="S444" s="191"/>
      <c r="T444" s="191"/>
      <c r="U444" s="191"/>
      <c r="V444" s="191"/>
    </row>
    <row r="445" ht="15.75" customHeight="1">
      <c r="A445" s="191"/>
      <c r="B445" s="191"/>
      <c r="C445" s="191"/>
      <c r="D445" s="191"/>
      <c r="E445" s="191"/>
      <c r="F445" s="191"/>
      <c r="G445" s="191"/>
      <c r="H445" s="191"/>
      <c r="I445" s="191"/>
      <c r="J445" s="191"/>
      <c r="K445" s="191"/>
      <c r="L445" s="191"/>
      <c r="M445" s="191"/>
      <c r="N445" s="191"/>
      <c r="O445" s="191"/>
      <c r="P445" s="191"/>
      <c r="Q445" s="191"/>
      <c r="R445" s="191"/>
      <c r="S445" s="191"/>
      <c r="T445" s="191"/>
      <c r="U445" s="191"/>
      <c r="V445" s="191"/>
    </row>
    <row r="446" ht="15.75" customHeight="1">
      <c r="A446" s="191"/>
      <c r="B446" s="191"/>
      <c r="C446" s="191"/>
      <c r="D446" s="191"/>
      <c r="E446" s="191"/>
      <c r="F446" s="191"/>
      <c r="G446" s="191"/>
      <c r="H446" s="191"/>
      <c r="I446" s="191"/>
      <c r="J446" s="191"/>
      <c r="K446" s="191"/>
      <c r="L446" s="191"/>
      <c r="M446" s="191"/>
      <c r="N446" s="191"/>
      <c r="O446" s="191"/>
      <c r="P446" s="191"/>
      <c r="Q446" s="191"/>
      <c r="R446" s="191"/>
      <c r="S446" s="191"/>
      <c r="T446" s="191"/>
      <c r="U446" s="191"/>
      <c r="V446" s="191"/>
    </row>
    <row r="447" ht="15.75" customHeight="1">
      <c r="A447" s="191"/>
      <c r="B447" s="191"/>
      <c r="C447" s="191"/>
      <c r="D447" s="191"/>
      <c r="E447" s="191"/>
      <c r="F447" s="191"/>
      <c r="G447" s="191"/>
      <c r="H447" s="191"/>
      <c r="I447" s="191"/>
      <c r="J447" s="191"/>
      <c r="K447" s="191"/>
      <c r="L447" s="191"/>
      <c r="M447" s="191"/>
      <c r="N447" s="191"/>
      <c r="O447" s="191"/>
      <c r="P447" s="191"/>
      <c r="Q447" s="191"/>
      <c r="R447" s="191"/>
      <c r="S447" s="191"/>
      <c r="T447" s="191"/>
      <c r="U447" s="191"/>
      <c r="V447" s="191"/>
    </row>
    <row r="448" ht="15.75" customHeight="1">
      <c r="A448" s="191"/>
      <c r="B448" s="191"/>
      <c r="C448" s="191"/>
      <c r="D448" s="191"/>
      <c r="E448" s="191"/>
      <c r="F448" s="191"/>
      <c r="G448" s="191"/>
      <c r="H448" s="191"/>
      <c r="I448" s="191"/>
      <c r="J448" s="191"/>
      <c r="K448" s="191"/>
      <c r="L448" s="191"/>
      <c r="M448" s="191"/>
      <c r="N448" s="191"/>
      <c r="O448" s="191"/>
      <c r="P448" s="191"/>
      <c r="Q448" s="191"/>
      <c r="R448" s="191"/>
      <c r="S448" s="191"/>
      <c r="T448" s="191"/>
      <c r="U448" s="191"/>
      <c r="V448" s="191"/>
    </row>
    <row r="449" ht="15.75" customHeight="1">
      <c r="A449" s="191"/>
      <c r="B449" s="191"/>
      <c r="C449" s="191"/>
      <c r="D449" s="191"/>
      <c r="E449" s="191"/>
      <c r="F449" s="191"/>
      <c r="G449" s="191"/>
      <c r="H449" s="191"/>
      <c r="I449" s="191"/>
      <c r="J449" s="191"/>
      <c r="K449" s="191"/>
      <c r="L449" s="191"/>
      <c r="M449" s="191"/>
      <c r="N449" s="191"/>
      <c r="O449" s="191"/>
      <c r="P449" s="191"/>
      <c r="Q449" s="191"/>
      <c r="R449" s="191"/>
      <c r="S449" s="191"/>
      <c r="T449" s="191"/>
      <c r="U449" s="191"/>
      <c r="V449" s="191"/>
    </row>
    <row r="450" ht="15.75" customHeight="1">
      <c r="A450" s="191"/>
      <c r="B450" s="191"/>
      <c r="C450" s="191"/>
      <c r="D450" s="191"/>
      <c r="E450" s="191"/>
      <c r="F450" s="191"/>
      <c r="G450" s="191"/>
      <c r="H450" s="191"/>
      <c r="I450" s="191"/>
      <c r="J450" s="191"/>
      <c r="K450" s="191"/>
      <c r="L450" s="191"/>
      <c r="M450" s="191"/>
      <c r="N450" s="191"/>
      <c r="O450" s="191"/>
      <c r="P450" s="191"/>
      <c r="Q450" s="191"/>
      <c r="R450" s="191"/>
      <c r="S450" s="191"/>
      <c r="T450" s="191"/>
      <c r="U450" s="191"/>
      <c r="V450" s="191"/>
    </row>
    <row r="451" ht="15.75" customHeight="1">
      <c r="A451" s="191"/>
      <c r="B451" s="191"/>
      <c r="C451" s="191"/>
      <c r="D451" s="191"/>
      <c r="E451" s="191"/>
      <c r="F451" s="191"/>
      <c r="G451" s="191"/>
      <c r="H451" s="191"/>
      <c r="I451" s="191"/>
      <c r="J451" s="191"/>
      <c r="K451" s="191"/>
      <c r="L451" s="191"/>
      <c r="M451" s="191"/>
      <c r="N451" s="191"/>
      <c r="O451" s="191"/>
      <c r="P451" s="191"/>
      <c r="Q451" s="191"/>
      <c r="R451" s="191"/>
      <c r="S451" s="191"/>
      <c r="T451" s="191"/>
      <c r="U451" s="191"/>
      <c r="V451" s="191"/>
    </row>
    <row r="452" ht="15.75" customHeight="1">
      <c r="A452" s="191"/>
      <c r="B452" s="191"/>
      <c r="C452" s="191"/>
      <c r="D452" s="191"/>
      <c r="E452" s="191"/>
      <c r="F452" s="191"/>
      <c r="G452" s="191"/>
      <c r="H452" s="191"/>
      <c r="I452" s="191"/>
      <c r="J452" s="191"/>
      <c r="K452" s="191"/>
      <c r="L452" s="191"/>
      <c r="M452" s="191"/>
      <c r="N452" s="191"/>
      <c r="O452" s="191"/>
      <c r="P452" s="191"/>
      <c r="Q452" s="191"/>
      <c r="R452" s="191"/>
      <c r="S452" s="191"/>
      <c r="T452" s="191"/>
      <c r="U452" s="191"/>
      <c r="V452" s="191"/>
    </row>
    <row r="453" ht="15.75" customHeight="1">
      <c r="A453" s="191"/>
      <c r="B453" s="191"/>
      <c r="C453" s="191"/>
      <c r="D453" s="191"/>
      <c r="E453" s="191"/>
      <c r="F453" s="191"/>
      <c r="G453" s="191"/>
      <c r="H453" s="191"/>
      <c r="I453" s="191"/>
      <c r="J453" s="191"/>
      <c r="K453" s="191"/>
      <c r="L453" s="191"/>
      <c r="M453" s="191"/>
      <c r="N453" s="191"/>
      <c r="O453" s="191"/>
      <c r="P453" s="191"/>
      <c r="Q453" s="191"/>
      <c r="R453" s="191"/>
      <c r="S453" s="191"/>
      <c r="T453" s="191"/>
      <c r="U453" s="191"/>
      <c r="V453" s="191"/>
    </row>
    <row r="454" ht="15.75" customHeight="1">
      <c r="A454" s="191"/>
      <c r="B454" s="191"/>
      <c r="C454" s="191"/>
      <c r="D454" s="191"/>
      <c r="E454" s="191"/>
      <c r="F454" s="191"/>
      <c r="G454" s="191"/>
      <c r="H454" s="191"/>
      <c r="I454" s="191"/>
      <c r="J454" s="191"/>
      <c r="K454" s="191"/>
      <c r="L454" s="191"/>
      <c r="M454" s="191"/>
      <c r="N454" s="191"/>
      <c r="O454" s="191"/>
      <c r="P454" s="191"/>
      <c r="Q454" s="191"/>
      <c r="R454" s="191"/>
      <c r="S454" s="191"/>
      <c r="T454" s="191"/>
      <c r="U454" s="191"/>
      <c r="V454" s="191"/>
    </row>
    <row r="455" ht="15.75" customHeight="1">
      <c r="A455" s="191"/>
      <c r="B455" s="191"/>
      <c r="C455" s="191"/>
      <c r="D455" s="191"/>
      <c r="E455" s="191"/>
      <c r="F455" s="191"/>
      <c r="G455" s="191"/>
      <c r="H455" s="191"/>
      <c r="I455" s="191"/>
      <c r="J455" s="191"/>
      <c r="K455" s="191"/>
      <c r="L455" s="191"/>
      <c r="M455" s="191"/>
      <c r="N455" s="191"/>
      <c r="O455" s="191"/>
      <c r="P455" s="191"/>
      <c r="Q455" s="191"/>
      <c r="R455" s="191"/>
      <c r="S455" s="191"/>
      <c r="T455" s="191"/>
      <c r="U455" s="191"/>
      <c r="V455" s="191"/>
    </row>
    <row r="456" ht="15.75" customHeight="1">
      <c r="A456" s="191"/>
      <c r="B456" s="191"/>
      <c r="C456" s="191"/>
      <c r="D456" s="191"/>
      <c r="E456" s="191"/>
      <c r="F456" s="191"/>
      <c r="G456" s="191"/>
      <c r="H456" s="191"/>
      <c r="I456" s="191"/>
      <c r="J456" s="191"/>
      <c r="K456" s="191"/>
      <c r="L456" s="191"/>
      <c r="M456" s="191"/>
      <c r="N456" s="191"/>
      <c r="O456" s="191"/>
      <c r="P456" s="191"/>
      <c r="Q456" s="191"/>
      <c r="R456" s="191"/>
      <c r="S456" s="191"/>
      <c r="T456" s="191"/>
      <c r="U456" s="191"/>
      <c r="V456" s="191"/>
    </row>
    <row r="457" ht="15.75" customHeight="1">
      <c r="A457" s="191"/>
      <c r="B457" s="191"/>
      <c r="C457" s="191"/>
      <c r="D457" s="191"/>
      <c r="E457" s="191"/>
      <c r="F457" s="191"/>
      <c r="G457" s="191"/>
      <c r="H457" s="191"/>
      <c r="I457" s="191"/>
      <c r="J457" s="191"/>
      <c r="K457" s="191"/>
      <c r="L457" s="191"/>
      <c r="M457" s="191"/>
      <c r="N457" s="191"/>
      <c r="O457" s="191"/>
      <c r="P457" s="191"/>
      <c r="Q457" s="191"/>
      <c r="R457" s="191"/>
      <c r="S457" s="191"/>
      <c r="T457" s="191"/>
      <c r="U457" s="191"/>
      <c r="V457" s="191"/>
    </row>
    <row r="458" ht="15.75" customHeight="1">
      <c r="A458" s="191"/>
      <c r="B458" s="191"/>
      <c r="C458" s="191"/>
      <c r="D458" s="191"/>
      <c r="E458" s="191"/>
      <c r="F458" s="191"/>
      <c r="G458" s="191"/>
      <c r="H458" s="191"/>
      <c r="I458" s="191"/>
      <c r="J458" s="191"/>
      <c r="K458" s="191"/>
      <c r="L458" s="191"/>
      <c r="M458" s="191"/>
      <c r="N458" s="191"/>
      <c r="O458" s="191"/>
      <c r="P458" s="191"/>
      <c r="Q458" s="191"/>
      <c r="R458" s="191"/>
      <c r="S458" s="191"/>
      <c r="T458" s="191"/>
      <c r="U458" s="191"/>
      <c r="V458" s="191"/>
    </row>
    <row r="459" ht="15.75" customHeight="1">
      <c r="A459" s="191"/>
      <c r="B459" s="191"/>
      <c r="C459" s="191"/>
      <c r="D459" s="191"/>
      <c r="E459" s="191"/>
      <c r="F459" s="191"/>
      <c r="G459" s="191"/>
      <c r="H459" s="191"/>
      <c r="I459" s="191"/>
      <c r="J459" s="191"/>
      <c r="K459" s="191"/>
      <c r="L459" s="191"/>
      <c r="M459" s="191"/>
      <c r="N459" s="191"/>
      <c r="O459" s="191"/>
      <c r="P459" s="191"/>
      <c r="Q459" s="191"/>
      <c r="R459" s="191"/>
      <c r="S459" s="191"/>
      <c r="T459" s="191"/>
      <c r="U459" s="191"/>
      <c r="V459" s="191"/>
    </row>
    <row r="460" ht="15.75" customHeight="1">
      <c r="A460" s="191"/>
      <c r="B460" s="191"/>
      <c r="C460" s="191"/>
      <c r="D460" s="191"/>
      <c r="E460" s="191"/>
      <c r="F460" s="191"/>
      <c r="G460" s="191"/>
      <c r="H460" s="191"/>
      <c r="I460" s="191"/>
      <c r="J460" s="191"/>
      <c r="K460" s="191"/>
      <c r="L460" s="191"/>
      <c r="M460" s="191"/>
      <c r="N460" s="191"/>
      <c r="O460" s="191"/>
      <c r="P460" s="191"/>
      <c r="Q460" s="191"/>
      <c r="R460" s="191"/>
      <c r="S460" s="191"/>
      <c r="T460" s="191"/>
      <c r="U460" s="191"/>
      <c r="V460" s="191"/>
    </row>
    <row r="461" ht="15.75" customHeight="1">
      <c r="A461" s="191"/>
      <c r="B461" s="191"/>
      <c r="C461" s="191"/>
      <c r="D461" s="191"/>
      <c r="E461" s="191"/>
      <c r="F461" s="191"/>
      <c r="G461" s="191"/>
      <c r="H461" s="191"/>
      <c r="I461" s="191"/>
      <c r="J461" s="191"/>
      <c r="K461" s="191"/>
      <c r="L461" s="191"/>
      <c r="M461" s="191"/>
      <c r="N461" s="191"/>
      <c r="O461" s="191"/>
      <c r="P461" s="191"/>
      <c r="Q461" s="191"/>
      <c r="R461" s="191"/>
      <c r="S461" s="191"/>
      <c r="T461" s="191"/>
      <c r="U461" s="191"/>
      <c r="V461" s="191"/>
    </row>
    <row r="462" ht="15.75" customHeight="1">
      <c r="A462" s="191"/>
      <c r="B462" s="191"/>
      <c r="C462" s="191"/>
      <c r="D462" s="191"/>
      <c r="E462" s="191"/>
      <c r="F462" s="191"/>
      <c r="G462" s="191"/>
      <c r="H462" s="191"/>
      <c r="I462" s="191"/>
      <c r="J462" s="191"/>
      <c r="K462" s="191"/>
      <c r="L462" s="191"/>
      <c r="M462" s="191"/>
      <c r="N462" s="191"/>
      <c r="O462" s="191"/>
      <c r="P462" s="191"/>
      <c r="Q462" s="191"/>
      <c r="R462" s="191"/>
      <c r="S462" s="191"/>
      <c r="T462" s="191"/>
      <c r="U462" s="191"/>
      <c r="V462" s="191"/>
    </row>
    <row r="463" ht="15.75" customHeight="1">
      <c r="A463" s="191"/>
      <c r="B463" s="191"/>
      <c r="C463" s="191"/>
      <c r="D463" s="191"/>
      <c r="E463" s="191"/>
      <c r="F463" s="191"/>
      <c r="G463" s="191"/>
      <c r="H463" s="191"/>
      <c r="I463" s="191"/>
      <c r="J463" s="191"/>
      <c r="K463" s="191"/>
      <c r="L463" s="191"/>
      <c r="M463" s="191"/>
      <c r="N463" s="191"/>
      <c r="O463" s="191"/>
      <c r="P463" s="191"/>
      <c r="Q463" s="191"/>
      <c r="R463" s="191"/>
      <c r="S463" s="191"/>
      <c r="T463" s="191"/>
      <c r="U463" s="191"/>
      <c r="V463" s="191"/>
    </row>
    <row r="464" ht="15.75" customHeight="1">
      <c r="A464" s="191"/>
      <c r="B464" s="191"/>
      <c r="C464" s="191"/>
      <c r="D464" s="191"/>
      <c r="E464" s="191"/>
      <c r="F464" s="191"/>
      <c r="G464" s="191"/>
      <c r="H464" s="191"/>
      <c r="I464" s="191"/>
      <c r="J464" s="191"/>
      <c r="K464" s="191"/>
      <c r="L464" s="191"/>
      <c r="M464" s="191"/>
      <c r="N464" s="191"/>
      <c r="O464" s="191"/>
      <c r="P464" s="191"/>
      <c r="Q464" s="191"/>
      <c r="R464" s="191"/>
      <c r="S464" s="191"/>
      <c r="T464" s="191"/>
      <c r="U464" s="191"/>
      <c r="V464" s="191"/>
    </row>
    <row r="465" ht="15.75" customHeight="1">
      <c r="A465" s="191"/>
      <c r="B465" s="191"/>
      <c r="C465" s="191"/>
      <c r="D465" s="191"/>
      <c r="E465" s="191"/>
      <c r="F465" s="191"/>
      <c r="G465" s="191"/>
      <c r="H465" s="191"/>
      <c r="I465" s="191"/>
      <c r="J465" s="191"/>
      <c r="K465" s="191"/>
      <c r="L465" s="191"/>
      <c r="M465" s="191"/>
      <c r="N465" s="191"/>
      <c r="O465" s="191"/>
      <c r="P465" s="191"/>
      <c r="Q465" s="191"/>
      <c r="R465" s="191"/>
      <c r="S465" s="191"/>
      <c r="T465" s="191"/>
      <c r="U465" s="191"/>
      <c r="V465" s="191"/>
    </row>
    <row r="466" ht="15.75" customHeight="1">
      <c r="A466" s="191"/>
      <c r="B466" s="191"/>
      <c r="C466" s="191"/>
      <c r="D466" s="191"/>
      <c r="E466" s="191"/>
      <c r="F466" s="191"/>
      <c r="G466" s="191"/>
      <c r="H466" s="191"/>
      <c r="I466" s="191"/>
      <c r="J466" s="191"/>
      <c r="K466" s="191"/>
      <c r="L466" s="191"/>
      <c r="M466" s="191"/>
      <c r="N466" s="191"/>
      <c r="O466" s="191"/>
      <c r="P466" s="191"/>
      <c r="Q466" s="191"/>
      <c r="R466" s="191"/>
      <c r="S466" s="191"/>
      <c r="T466" s="191"/>
      <c r="U466" s="191"/>
      <c r="V466" s="191"/>
    </row>
    <row r="467" ht="15.75" customHeight="1">
      <c r="A467" s="191"/>
      <c r="B467" s="191"/>
      <c r="C467" s="191"/>
      <c r="D467" s="191"/>
      <c r="E467" s="191"/>
      <c r="F467" s="191"/>
      <c r="G467" s="191"/>
      <c r="H467" s="191"/>
      <c r="I467" s="191"/>
      <c r="J467" s="191"/>
      <c r="K467" s="191"/>
      <c r="L467" s="191"/>
      <c r="M467" s="191"/>
      <c r="N467" s="191"/>
      <c r="O467" s="191"/>
      <c r="P467" s="191"/>
      <c r="Q467" s="191"/>
      <c r="R467" s="191"/>
      <c r="S467" s="191"/>
      <c r="T467" s="191"/>
      <c r="U467" s="191"/>
      <c r="V467" s="191"/>
    </row>
    <row r="468" ht="15.75" customHeight="1">
      <c r="A468" s="191"/>
      <c r="B468" s="191"/>
      <c r="C468" s="191"/>
      <c r="D468" s="191"/>
      <c r="E468" s="191"/>
      <c r="F468" s="191"/>
      <c r="G468" s="191"/>
      <c r="H468" s="191"/>
      <c r="I468" s="191"/>
      <c r="J468" s="191"/>
      <c r="K468" s="191"/>
      <c r="L468" s="191"/>
      <c r="M468" s="191"/>
      <c r="N468" s="191"/>
      <c r="O468" s="191"/>
      <c r="P468" s="191"/>
      <c r="Q468" s="191"/>
      <c r="R468" s="191"/>
      <c r="S468" s="191"/>
      <c r="T468" s="191"/>
      <c r="U468" s="191"/>
      <c r="V468" s="191"/>
    </row>
    <row r="469" ht="15.75" customHeight="1">
      <c r="A469" s="191"/>
      <c r="B469" s="191"/>
      <c r="C469" s="191"/>
      <c r="D469" s="191"/>
      <c r="E469" s="191"/>
      <c r="F469" s="191"/>
      <c r="G469" s="191"/>
      <c r="H469" s="191"/>
      <c r="I469" s="191"/>
      <c r="J469" s="191"/>
      <c r="K469" s="191"/>
      <c r="L469" s="191"/>
      <c r="M469" s="191"/>
      <c r="N469" s="191"/>
      <c r="O469" s="191"/>
      <c r="P469" s="191"/>
      <c r="Q469" s="191"/>
      <c r="R469" s="191"/>
      <c r="S469" s="191"/>
      <c r="T469" s="191"/>
      <c r="U469" s="191"/>
      <c r="V469" s="191"/>
    </row>
    <row r="470" ht="15.75" customHeight="1">
      <c r="A470" s="191"/>
      <c r="B470" s="191"/>
      <c r="C470" s="191"/>
      <c r="D470" s="191"/>
      <c r="E470" s="191"/>
      <c r="F470" s="191"/>
      <c r="G470" s="191"/>
      <c r="H470" s="191"/>
      <c r="I470" s="191"/>
      <c r="J470" s="191"/>
      <c r="K470" s="191"/>
      <c r="L470" s="191"/>
      <c r="M470" s="191"/>
      <c r="N470" s="191"/>
      <c r="O470" s="191"/>
      <c r="P470" s="191"/>
      <c r="Q470" s="191"/>
      <c r="R470" s="191"/>
      <c r="S470" s="191"/>
      <c r="T470" s="191"/>
      <c r="U470" s="191"/>
      <c r="V470" s="191"/>
    </row>
    <row r="471" ht="15.75" customHeight="1">
      <c r="A471" s="191"/>
      <c r="B471" s="191"/>
      <c r="C471" s="191"/>
      <c r="D471" s="191"/>
      <c r="E471" s="191"/>
      <c r="F471" s="191"/>
      <c r="G471" s="191"/>
      <c r="H471" s="191"/>
      <c r="I471" s="191"/>
      <c r="J471" s="191"/>
      <c r="K471" s="191"/>
      <c r="L471" s="191"/>
      <c r="M471" s="191"/>
      <c r="N471" s="191"/>
      <c r="O471" s="191"/>
      <c r="P471" s="191"/>
      <c r="Q471" s="191"/>
      <c r="R471" s="191"/>
      <c r="S471" s="191"/>
      <c r="T471" s="191"/>
      <c r="U471" s="191"/>
      <c r="V471" s="191"/>
    </row>
    <row r="472" ht="15.75" customHeight="1">
      <c r="A472" s="191"/>
      <c r="B472" s="191"/>
      <c r="C472" s="191"/>
      <c r="D472" s="191"/>
      <c r="E472" s="191"/>
      <c r="F472" s="191"/>
      <c r="G472" s="191"/>
      <c r="H472" s="191"/>
      <c r="I472" s="191"/>
      <c r="J472" s="191"/>
      <c r="K472" s="191"/>
      <c r="L472" s="191"/>
      <c r="M472" s="191"/>
      <c r="N472" s="191"/>
      <c r="O472" s="191"/>
      <c r="P472" s="191"/>
      <c r="Q472" s="191"/>
      <c r="R472" s="191"/>
      <c r="S472" s="191"/>
      <c r="T472" s="191"/>
      <c r="U472" s="191"/>
      <c r="V472" s="191"/>
    </row>
    <row r="473" ht="15.75" customHeight="1">
      <c r="A473" s="191"/>
      <c r="B473" s="191"/>
      <c r="C473" s="191"/>
      <c r="D473" s="191"/>
      <c r="E473" s="191"/>
      <c r="F473" s="191"/>
      <c r="G473" s="191"/>
      <c r="H473" s="191"/>
      <c r="I473" s="191"/>
      <c r="J473" s="191"/>
      <c r="K473" s="191"/>
      <c r="L473" s="191"/>
      <c r="M473" s="191"/>
      <c r="N473" s="191"/>
      <c r="O473" s="191"/>
      <c r="P473" s="191"/>
      <c r="Q473" s="191"/>
      <c r="R473" s="191"/>
      <c r="S473" s="191"/>
      <c r="T473" s="191"/>
      <c r="U473" s="191"/>
      <c r="V473" s="191"/>
    </row>
    <row r="474" ht="15.75" customHeight="1">
      <c r="A474" s="191"/>
      <c r="B474" s="191"/>
      <c r="C474" s="191"/>
      <c r="D474" s="191"/>
      <c r="E474" s="191"/>
      <c r="F474" s="191"/>
      <c r="G474" s="191"/>
      <c r="H474" s="191"/>
      <c r="I474" s="191"/>
      <c r="J474" s="191"/>
      <c r="K474" s="191"/>
      <c r="L474" s="191"/>
      <c r="M474" s="191"/>
      <c r="N474" s="191"/>
      <c r="O474" s="191"/>
      <c r="P474" s="191"/>
      <c r="Q474" s="191"/>
      <c r="R474" s="191"/>
      <c r="S474" s="191"/>
      <c r="T474" s="191"/>
      <c r="U474" s="191"/>
      <c r="V474" s="191"/>
    </row>
    <row r="475" ht="15.75" customHeight="1">
      <c r="A475" s="191"/>
      <c r="B475" s="191"/>
      <c r="C475" s="191"/>
      <c r="D475" s="191"/>
      <c r="E475" s="191"/>
      <c r="F475" s="191"/>
      <c r="G475" s="191"/>
      <c r="H475" s="191"/>
      <c r="I475" s="191"/>
      <c r="J475" s="191"/>
      <c r="K475" s="191"/>
      <c r="L475" s="191"/>
      <c r="M475" s="191"/>
      <c r="N475" s="191"/>
      <c r="O475" s="191"/>
      <c r="P475" s="191"/>
      <c r="Q475" s="191"/>
      <c r="R475" s="191"/>
      <c r="S475" s="191"/>
      <c r="T475" s="191"/>
      <c r="U475" s="191"/>
      <c r="V475" s="191"/>
    </row>
    <row r="476" ht="15.75" customHeight="1">
      <c r="A476" s="191"/>
      <c r="B476" s="191"/>
      <c r="C476" s="191"/>
      <c r="D476" s="191"/>
      <c r="E476" s="191"/>
      <c r="F476" s="191"/>
      <c r="G476" s="191"/>
      <c r="H476" s="191"/>
      <c r="I476" s="191"/>
      <c r="J476" s="191"/>
      <c r="K476" s="191"/>
      <c r="L476" s="191"/>
      <c r="M476" s="191"/>
      <c r="N476" s="191"/>
      <c r="O476" s="191"/>
      <c r="P476" s="191"/>
      <c r="Q476" s="191"/>
      <c r="R476" s="191"/>
      <c r="S476" s="191"/>
      <c r="T476" s="191"/>
      <c r="U476" s="191"/>
      <c r="V476" s="191"/>
    </row>
    <row r="477" ht="15.75" customHeight="1">
      <c r="A477" s="191"/>
      <c r="B477" s="191"/>
      <c r="C477" s="191"/>
      <c r="D477" s="191"/>
      <c r="E477" s="191"/>
      <c r="F477" s="191"/>
      <c r="G477" s="191"/>
      <c r="H477" s="191"/>
      <c r="I477" s="191"/>
      <c r="J477" s="191"/>
      <c r="K477" s="191"/>
      <c r="L477" s="191"/>
      <c r="M477" s="191"/>
      <c r="N477" s="191"/>
      <c r="O477" s="191"/>
      <c r="P477" s="191"/>
      <c r="Q477" s="191"/>
      <c r="R477" s="191"/>
      <c r="S477" s="191"/>
      <c r="T477" s="191"/>
      <c r="U477" s="191"/>
      <c r="V477" s="191"/>
    </row>
    <row r="478" ht="15.75" customHeight="1">
      <c r="A478" s="191"/>
      <c r="B478" s="191"/>
      <c r="C478" s="191"/>
      <c r="D478" s="191"/>
      <c r="E478" s="191"/>
      <c r="F478" s="191"/>
      <c r="G478" s="191"/>
      <c r="H478" s="191"/>
      <c r="I478" s="191"/>
      <c r="J478" s="191"/>
      <c r="K478" s="191"/>
      <c r="L478" s="191"/>
      <c r="M478" s="191"/>
      <c r="N478" s="191"/>
      <c r="O478" s="191"/>
      <c r="P478" s="191"/>
      <c r="Q478" s="191"/>
      <c r="R478" s="191"/>
      <c r="S478" s="191"/>
      <c r="T478" s="191"/>
      <c r="U478" s="191"/>
      <c r="V478" s="191"/>
    </row>
    <row r="479" ht="15.75" customHeight="1">
      <c r="A479" s="191"/>
      <c r="B479" s="191"/>
      <c r="C479" s="191"/>
      <c r="D479" s="191"/>
      <c r="E479" s="191"/>
      <c r="F479" s="191"/>
      <c r="G479" s="191"/>
      <c r="H479" s="191"/>
      <c r="I479" s="191"/>
      <c r="J479" s="191"/>
      <c r="K479" s="191"/>
      <c r="L479" s="191"/>
      <c r="M479" s="191"/>
      <c r="N479" s="191"/>
      <c r="O479" s="191"/>
      <c r="P479" s="191"/>
      <c r="Q479" s="191"/>
      <c r="R479" s="191"/>
      <c r="S479" s="191"/>
      <c r="T479" s="191"/>
      <c r="U479" s="191"/>
      <c r="V479" s="191"/>
    </row>
    <row r="480" ht="15.75" customHeight="1">
      <c r="A480" s="191"/>
      <c r="B480" s="191"/>
      <c r="C480" s="191"/>
      <c r="D480" s="191"/>
      <c r="E480" s="191"/>
      <c r="F480" s="191"/>
      <c r="G480" s="191"/>
      <c r="H480" s="191"/>
      <c r="I480" s="191"/>
      <c r="J480" s="191"/>
      <c r="K480" s="191"/>
      <c r="L480" s="191"/>
      <c r="M480" s="191"/>
      <c r="N480" s="191"/>
      <c r="O480" s="191"/>
      <c r="P480" s="191"/>
      <c r="Q480" s="191"/>
      <c r="R480" s="191"/>
      <c r="S480" s="191"/>
      <c r="T480" s="191"/>
      <c r="U480" s="191"/>
      <c r="V480" s="191"/>
    </row>
    <row r="481" ht="15.75" customHeight="1">
      <c r="A481" s="191"/>
      <c r="B481" s="191"/>
      <c r="C481" s="191"/>
      <c r="D481" s="191"/>
      <c r="E481" s="191"/>
      <c r="F481" s="191"/>
      <c r="G481" s="191"/>
      <c r="H481" s="191"/>
      <c r="I481" s="191"/>
      <c r="J481" s="191"/>
      <c r="K481" s="191"/>
      <c r="L481" s="191"/>
      <c r="M481" s="191"/>
      <c r="N481" s="191"/>
      <c r="O481" s="191"/>
      <c r="P481" s="191"/>
      <c r="Q481" s="191"/>
      <c r="R481" s="191"/>
      <c r="S481" s="191"/>
      <c r="T481" s="191"/>
      <c r="U481" s="191"/>
      <c r="V481" s="191"/>
    </row>
    <row r="482" ht="15.75" customHeight="1">
      <c r="A482" s="191"/>
      <c r="B482" s="191"/>
      <c r="C482" s="191"/>
      <c r="D482" s="191"/>
      <c r="E482" s="191"/>
      <c r="F482" s="191"/>
      <c r="G482" s="191"/>
      <c r="H482" s="191"/>
      <c r="I482" s="191"/>
      <c r="J482" s="191"/>
      <c r="K482" s="191"/>
      <c r="L482" s="191"/>
      <c r="M482" s="191"/>
      <c r="N482" s="191"/>
      <c r="O482" s="191"/>
      <c r="P482" s="191"/>
      <c r="Q482" s="191"/>
      <c r="R482" s="191"/>
      <c r="S482" s="191"/>
      <c r="T482" s="191"/>
      <c r="U482" s="191"/>
      <c r="V482" s="191"/>
    </row>
    <row r="483" ht="15.75" customHeight="1">
      <c r="A483" s="191"/>
      <c r="B483" s="191"/>
      <c r="C483" s="191"/>
      <c r="D483" s="191"/>
      <c r="E483" s="191"/>
      <c r="F483" s="191"/>
      <c r="G483" s="191"/>
      <c r="H483" s="191"/>
      <c r="I483" s="191"/>
      <c r="J483" s="191"/>
      <c r="K483" s="191"/>
      <c r="L483" s="191"/>
      <c r="M483" s="191"/>
      <c r="N483" s="191"/>
      <c r="O483" s="191"/>
      <c r="P483" s="191"/>
      <c r="Q483" s="191"/>
      <c r="R483" s="191"/>
      <c r="S483" s="191"/>
      <c r="T483" s="191"/>
      <c r="U483" s="191"/>
      <c r="V483" s="191"/>
    </row>
    <row r="484" ht="15.75" customHeight="1">
      <c r="A484" s="191"/>
      <c r="B484" s="191"/>
      <c r="C484" s="191"/>
      <c r="D484" s="191"/>
      <c r="E484" s="191"/>
      <c r="F484" s="191"/>
      <c r="G484" s="191"/>
      <c r="H484" s="191"/>
      <c r="I484" s="191"/>
      <c r="J484" s="191"/>
      <c r="K484" s="191"/>
      <c r="L484" s="191"/>
      <c r="M484" s="191"/>
      <c r="N484" s="191"/>
      <c r="O484" s="191"/>
      <c r="P484" s="191"/>
      <c r="Q484" s="191"/>
      <c r="R484" s="191"/>
      <c r="S484" s="191"/>
      <c r="T484" s="191"/>
      <c r="U484" s="191"/>
      <c r="V484" s="191"/>
    </row>
    <row r="485" ht="15.75" customHeight="1">
      <c r="A485" s="191"/>
      <c r="B485" s="191"/>
      <c r="C485" s="191"/>
      <c r="D485" s="191"/>
      <c r="E485" s="191"/>
      <c r="F485" s="191"/>
      <c r="G485" s="191"/>
      <c r="H485" s="191"/>
      <c r="I485" s="191"/>
      <c r="J485" s="191"/>
      <c r="K485" s="191"/>
      <c r="L485" s="191"/>
      <c r="M485" s="191"/>
      <c r="N485" s="191"/>
      <c r="O485" s="191"/>
      <c r="P485" s="191"/>
      <c r="Q485" s="191"/>
      <c r="R485" s="191"/>
      <c r="S485" s="191"/>
      <c r="T485" s="191"/>
      <c r="U485" s="191"/>
      <c r="V485" s="191"/>
    </row>
    <row r="486" ht="15.75" customHeight="1">
      <c r="A486" s="191"/>
      <c r="B486" s="191"/>
      <c r="C486" s="191"/>
      <c r="D486" s="191"/>
      <c r="E486" s="191"/>
      <c r="F486" s="191"/>
      <c r="G486" s="191"/>
      <c r="H486" s="191"/>
      <c r="I486" s="191"/>
      <c r="J486" s="191"/>
      <c r="K486" s="191"/>
      <c r="L486" s="191"/>
      <c r="M486" s="191"/>
      <c r="N486" s="191"/>
      <c r="O486" s="191"/>
      <c r="P486" s="191"/>
      <c r="Q486" s="191"/>
      <c r="R486" s="191"/>
      <c r="S486" s="191"/>
      <c r="T486" s="191"/>
      <c r="U486" s="191"/>
      <c r="V486" s="191"/>
    </row>
    <row r="487" ht="15.75" customHeight="1">
      <c r="A487" s="191"/>
      <c r="B487" s="191"/>
      <c r="C487" s="191"/>
      <c r="D487" s="191"/>
      <c r="E487" s="191"/>
      <c r="F487" s="191"/>
      <c r="G487" s="191"/>
      <c r="H487" s="191"/>
      <c r="I487" s="191"/>
      <c r="J487" s="191"/>
      <c r="K487" s="191"/>
      <c r="L487" s="191"/>
      <c r="M487" s="191"/>
      <c r="N487" s="191"/>
      <c r="O487" s="191"/>
      <c r="P487" s="191"/>
      <c r="Q487" s="191"/>
      <c r="R487" s="191"/>
      <c r="S487" s="191"/>
      <c r="T487" s="191"/>
      <c r="U487" s="191"/>
      <c r="V487" s="191"/>
    </row>
    <row r="488" ht="15.75" customHeight="1">
      <c r="A488" s="191"/>
      <c r="B488" s="191"/>
      <c r="C488" s="191"/>
      <c r="D488" s="191"/>
      <c r="E488" s="191"/>
      <c r="F488" s="191"/>
      <c r="G488" s="191"/>
      <c r="H488" s="191"/>
      <c r="I488" s="191"/>
      <c r="J488" s="191"/>
      <c r="K488" s="191"/>
      <c r="L488" s="191"/>
      <c r="M488" s="191"/>
      <c r="N488" s="191"/>
      <c r="O488" s="191"/>
      <c r="P488" s="191"/>
      <c r="Q488" s="191"/>
      <c r="R488" s="191"/>
      <c r="S488" s="191"/>
      <c r="T488" s="191"/>
      <c r="U488" s="191"/>
      <c r="V488" s="191"/>
    </row>
    <row r="489" ht="15.75" customHeight="1">
      <c r="A489" s="191"/>
      <c r="B489" s="191"/>
      <c r="C489" s="191"/>
      <c r="D489" s="191"/>
      <c r="E489" s="191"/>
      <c r="F489" s="191"/>
      <c r="G489" s="191"/>
      <c r="H489" s="191"/>
      <c r="I489" s="191"/>
      <c r="J489" s="191"/>
      <c r="K489" s="191"/>
      <c r="L489" s="191"/>
      <c r="M489" s="191"/>
      <c r="N489" s="191"/>
      <c r="O489" s="191"/>
      <c r="P489" s="191"/>
      <c r="Q489" s="191"/>
      <c r="R489" s="191"/>
      <c r="S489" s="191"/>
      <c r="T489" s="191"/>
      <c r="U489" s="191"/>
      <c r="V489" s="191"/>
    </row>
    <row r="490" ht="15.75" customHeight="1">
      <c r="A490" s="191"/>
      <c r="B490" s="191"/>
      <c r="C490" s="191"/>
      <c r="D490" s="191"/>
      <c r="E490" s="191"/>
      <c r="F490" s="191"/>
      <c r="G490" s="191"/>
      <c r="H490" s="191"/>
      <c r="I490" s="191"/>
      <c r="J490" s="191"/>
      <c r="K490" s="191"/>
      <c r="L490" s="191"/>
      <c r="M490" s="191"/>
      <c r="N490" s="191"/>
      <c r="O490" s="191"/>
      <c r="P490" s="191"/>
      <c r="Q490" s="191"/>
      <c r="R490" s="191"/>
      <c r="S490" s="191"/>
      <c r="T490" s="191"/>
      <c r="U490" s="191"/>
      <c r="V490" s="191"/>
    </row>
    <row r="491" ht="15.75" customHeight="1">
      <c r="A491" s="191"/>
      <c r="B491" s="191"/>
      <c r="C491" s="191"/>
      <c r="D491" s="191"/>
      <c r="E491" s="191"/>
      <c r="F491" s="191"/>
      <c r="G491" s="191"/>
      <c r="H491" s="191"/>
      <c r="I491" s="191"/>
      <c r="J491" s="191"/>
      <c r="K491" s="191"/>
      <c r="L491" s="191"/>
      <c r="M491" s="191"/>
      <c r="N491" s="191"/>
      <c r="O491" s="191"/>
      <c r="P491" s="191"/>
      <c r="Q491" s="191"/>
      <c r="R491" s="191"/>
      <c r="S491" s="191"/>
      <c r="T491" s="191"/>
      <c r="U491" s="191"/>
      <c r="V491" s="191"/>
    </row>
    <row r="492" ht="15.75" customHeight="1">
      <c r="A492" s="191"/>
      <c r="B492" s="191"/>
      <c r="C492" s="191"/>
      <c r="D492" s="191"/>
      <c r="E492" s="191"/>
      <c r="F492" s="191"/>
      <c r="G492" s="191"/>
      <c r="H492" s="191"/>
      <c r="I492" s="191"/>
      <c r="J492" s="191"/>
      <c r="K492" s="191"/>
      <c r="L492" s="191"/>
      <c r="M492" s="191"/>
      <c r="N492" s="191"/>
      <c r="O492" s="191"/>
      <c r="P492" s="191"/>
      <c r="Q492" s="191"/>
      <c r="R492" s="191"/>
      <c r="S492" s="191"/>
      <c r="T492" s="191"/>
      <c r="U492" s="191"/>
      <c r="V492" s="191"/>
    </row>
    <row r="493" ht="15.75" customHeight="1">
      <c r="A493" s="191"/>
      <c r="B493" s="191"/>
      <c r="C493" s="191"/>
      <c r="D493" s="191"/>
      <c r="E493" s="191"/>
      <c r="F493" s="191"/>
      <c r="G493" s="191"/>
      <c r="H493" s="191"/>
      <c r="I493" s="191"/>
      <c r="J493" s="191"/>
      <c r="K493" s="191"/>
      <c r="L493" s="191"/>
      <c r="M493" s="191"/>
      <c r="N493" s="191"/>
      <c r="O493" s="191"/>
      <c r="P493" s="191"/>
      <c r="Q493" s="191"/>
      <c r="R493" s="191"/>
      <c r="S493" s="191"/>
      <c r="T493" s="191"/>
      <c r="U493" s="191"/>
      <c r="V493" s="191"/>
    </row>
    <row r="494" ht="15.75" customHeight="1">
      <c r="A494" s="191"/>
      <c r="B494" s="191"/>
      <c r="C494" s="191"/>
      <c r="D494" s="191"/>
      <c r="E494" s="191"/>
      <c r="F494" s="191"/>
      <c r="G494" s="191"/>
      <c r="H494" s="191"/>
      <c r="I494" s="191"/>
      <c r="J494" s="191"/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</row>
    <row r="495" ht="15.75" customHeight="1">
      <c r="A495" s="191"/>
      <c r="B495" s="191"/>
      <c r="C495" s="191"/>
      <c r="D495" s="191"/>
      <c r="E495" s="191"/>
      <c r="F495" s="191"/>
      <c r="G495" s="191"/>
      <c r="H495" s="191"/>
      <c r="I495" s="191"/>
      <c r="J495" s="191"/>
      <c r="K495" s="191"/>
      <c r="L495" s="191"/>
      <c r="M495" s="191"/>
      <c r="N495" s="191"/>
      <c r="O495" s="191"/>
      <c r="P495" s="191"/>
      <c r="Q495" s="191"/>
      <c r="R495" s="191"/>
      <c r="S495" s="191"/>
      <c r="T495" s="191"/>
      <c r="U495" s="191"/>
      <c r="V495" s="191"/>
    </row>
    <row r="496" ht="15.75" customHeight="1">
      <c r="A496" s="191"/>
      <c r="B496" s="191"/>
      <c r="C496" s="191"/>
      <c r="D496" s="191"/>
      <c r="E496" s="191"/>
      <c r="F496" s="191"/>
      <c r="G496" s="191"/>
      <c r="H496" s="191"/>
      <c r="I496" s="191"/>
      <c r="J496" s="191"/>
      <c r="K496" s="191"/>
      <c r="L496" s="191"/>
      <c r="M496" s="191"/>
      <c r="N496" s="191"/>
      <c r="O496" s="191"/>
      <c r="P496" s="191"/>
      <c r="Q496" s="191"/>
      <c r="R496" s="191"/>
      <c r="S496" s="191"/>
      <c r="T496" s="191"/>
      <c r="U496" s="191"/>
      <c r="V496" s="191"/>
    </row>
    <row r="497" ht="15.75" customHeight="1">
      <c r="A497" s="191"/>
      <c r="B497" s="191"/>
      <c r="C497" s="191"/>
      <c r="D497" s="191"/>
      <c r="E497" s="191"/>
      <c r="F497" s="191"/>
      <c r="G497" s="191"/>
      <c r="H497" s="191"/>
      <c r="I497" s="191"/>
      <c r="J497" s="191"/>
      <c r="K497" s="191"/>
      <c r="L497" s="191"/>
      <c r="M497" s="191"/>
      <c r="N497" s="191"/>
      <c r="O497" s="191"/>
      <c r="P497" s="191"/>
      <c r="Q497" s="191"/>
      <c r="R497" s="191"/>
      <c r="S497" s="191"/>
      <c r="T497" s="191"/>
      <c r="U497" s="191"/>
      <c r="V497" s="191"/>
    </row>
    <row r="498" ht="15.75" customHeight="1">
      <c r="A498" s="191"/>
      <c r="B498" s="191"/>
      <c r="C498" s="191"/>
      <c r="D498" s="191"/>
      <c r="E498" s="191"/>
      <c r="F498" s="191"/>
      <c r="G498" s="191"/>
      <c r="H498" s="191"/>
      <c r="I498" s="191"/>
      <c r="J498" s="191"/>
      <c r="K498" s="191"/>
      <c r="L498" s="191"/>
      <c r="M498" s="191"/>
      <c r="N498" s="191"/>
      <c r="O498" s="191"/>
      <c r="P498" s="191"/>
      <c r="Q498" s="191"/>
      <c r="R498" s="191"/>
      <c r="S498" s="191"/>
      <c r="T498" s="191"/>
      <c r="U498" s="191"/>
      <c r="V498" s="191"/>
    </row>
    <row r="499" ht="15.75" customHeight="1">
      <c r="A499" s="191"/>
      <c r="B499" s="191"/>
      <c r="C499" s="191"/>
      <c r="D499" s="191"/>
      <c r="E499" s="191"/>
      <c r="F499" s="191"/>
      <c r="G499" s="191"/>
      <c r="H499" s="191"/>
      <c r="I499" s="191"/>
      <c r="J499" s="191"/>
      <c r="K499" s="191"/>
      <c r="L499" s="191"/>
      <c r="M499" s="191"/>
      <c r="N499" s="191"/>
      <c r="O499" s="191"/>
      <c r="P499" s="191"/>
      <c r="Q499" s="191"/>
      <c r="R499" s="191"/>
      <c r="S499" s="191"/>
      <c r="T499" s="191"/>
      <c r="U499" s="191"/>
      <c r="V499" s="191"/>
    </row>
    <row r="500" ht="15.75" customHeight="1">
      <c r="A500" s="191"/>
      <c r="B500" s="191"/>
      <c r="C500" s="191"/>
      <c r="D500" s="191"/>
      <c r="E500" s="191"/>
      <c r="F500" s="191"/>
      <c r="G500" s="191"/>
      <c r="H500" s="191"/>
      <c r="I500" s="191"/>
      <c r="J500" s="191"/>
      <c r="K500" s="191"/>
      <c r="L500" s="191"/>
      <c r="M500" s="191"/>
      <c r="N500" s="191"/>
      <c r="O500" s="191"/>
      <c r="P500" s="191"/>
      <c r="Q500" s="191"/>
      <c r="R500" s="191"/>
      <c r="S500" s="191"/>
      <c r="T500" s="191"/>
      <c r="U500" s="191"/>
      <c r="V500" s="191"/>
    </row>
    <row r="501" ht="15.75" customHeight="1">
      <c r="A501" s="191"/>
      <c r="B501" s="191"/>
      <c r="C501" s="191"/>
      <c r="D501" s="191"/>
      <c r="E501" s="191"/>
      <c r="F501" s="191"/>
      <c r="G501" s="191"/>
      <c r="H501" s="191"/>
      <c r="I501" s="191"/>
      <c r="J501" s="191"/>
      <c r="K501" s="191"/>
      <c r="L501" s="191"/>
      <c r="M501" s="191"/>
      <c r="N501" s="191"/>
      <c r="O501" s="191"/>
      <c r="P501" s="191"/>
      <c r="Q501" s="191"/>
      <c r="R501" s="191"/>
      <c r="S501" s="191"/>
      <c r="T501" s="191"/>
      <c r="U501" s="191"/>
      <c r="V501" s="191"/>
    </row>
    <row r="502" ht="15.75" customHeight="1">
      <c r="A502" s="191"/>
      <c r="B502" s="191"/>
      <c r="C502" s="191"/>
      <c r="D502" s="191"/>
      <c r="E502" s="191"/>
      <c r="F502" s="191"/>
      <c r="G502" s="191"/>
      <c r="H502" s="191"/>
      <c r="I502" s="191"/>
      <c r="J502" s="191"/>
      <c r="K502" s="191"/>
      <c r="L502" s="191"/>
      <c r="M502" s="191"/>
      <c r="N502" s="191"/>
      <c r="O502" s="191"/>
      <c r="P502" s="191"/>
      <c r="Q502" s="191"/>
      <c r="R502" s="191"/>
      <c r="S502" s="191"/>
      <c r="T502" s="191"/>
      <c r="U502" s="191"/>
      <c r="V502" s="191"/>
    </row>
    <row r="503" ht="15.75" customHeight="1">
      <c r="A503" s="191"/>
      <c r="B503" s="191"/>
      <c r="C503" s="191"/>
      <c r="D503" s="191"/>
      <c r="E503" s="191"/>
      <c r="F503" s="191"/>
      <c r="G503" s="191"/>
      <c r="H503" s="191"/>
      <c r="I503" s="191"/>
      <c r="J503" s="191"/>
      <c r="K503" s="191"/>
      <c r="L503" s="191"/>
      <c r="M503" s="191"/>
      <c r="N503" s="191"/>
      <c r="O503" s="191"/>
      <c r="P503" s="191"/>
      <c r="Q503" s="191"/>
      <c r="R503" s="191"/>
      <c r="S503" s="191"/>
      <c r="T503" s="191"/>
      <c r="U503" s="191"/>
      <c r="V503" s="191"/>
    </row>
    <row r="504" ht="15.75" customHeight="1">
      <c r="A504" s="191"/>
      <c r="B504" s="191"/>
      <c r="C504" s="191"/>
      <c r="D504" s="191"/>
      <c r="E504" s="191"/>
      <c r="F504" s="191"/>
      <c r="G504" s="191"/>
      <c r="H504" s="191"/>
      <c r="I504" s="191"/>
      <c r="J504" s="191"/>
      <c r="K504" s="191"/>
      <c r="L504" s="191"/>
      <c r="M504" s="191"/>
      <c r="N504" s="191"/>
      <c r="O504" s="191"/>
      <c r="P504" s="191"/>
      <c r="Q504" s="191"/>
      <c r="R504" s="191"/>
      <c r="S504" s="191"/>
      <c r="T504" s="191"/>
      <c r="U504" s="191"/>
      <c r="V504" s="191"/>
    </row>
    <row r="505" ht="15.75" customHeight="1">
      <c r="A505" s="191"/>
      <c r="B505" s="191"/>
      <c r="C505" s="191"/>
      <c r="D505" s="191"/>
      <c r="E505" s="191"/>
      <c r="F505" s="191"/>
      <c r="G505" s="191"/>
      <c r="H505" s="191"/>
      <c r="I505" s="191"/>
      <c r="J505" s="191"/>
      <c r="K505" s="191"/>
      <c r="L505" s="191"/>
      <c r="M505" s="191"/>
      <c r="N505" s="191"/>
      <c r="O505" s="191"/>
      <c r="P505" s="191"/>
      <c r="Q505" s="191"/>
      <c r="R505" s="191"/>
      <c r="S505" s="191"/>
      <c r="T505" s="191"/>
      <c r="U505" s="191"/>
      <c r="V505" s="191"/>
    </row>
    <row r="506" ht="15.75" customHeight="1">
      <c r="A506" s="191"/>
      <c r="B506" s="191"/>
      <c r="C506" s="191"/>
      <c r="D506" s="191"/>
      <c r="E506" s="191"/>
      <c r="F506" s="191"/>
      <c r="G506" s="191"/>
      <c r="H506" s="191"/>
      <c r="I506" s="191"/>
      <c r="J506" s="191"/>
      <c r="K506" s="191"/>
      <c r="L506" s="191"/>
      <c r="M506" s="191"/>
      <c r="N506" s="191"/>
      <c r="O506" s="191"/>
      <c r="P506" s="191"/>
      <c r="Q506" s="191"/>
      <c r="R506" s="191"/>
      <c r="S506" s="191"/>
      <c r="T506" s="191"/>
      <c r="U506" s="191"/>
      <c r="V506" s="191"/>
    </row>
    <row r="507" ht="15.75" customHeight="1">
      <c r="A507" s="191"/>
      <c r="B507" s="191"/>
      <c r="C507" s="191"/>
      <c r="D507" s="191"/>
      <c r="E507" s="191"/>
      <c r="F507" s="191"/>
      <c r="G507" s="191"/>
      <c r="H507" s="191"/>
      <c r="I507" s="191"/>
      <c r="J507" s="191"/>
      <c r="K507" s="191"/>
      <c r="L507" s="191"/>
      <c r="M507" s="191"/>
      <c r="N507" s="191"/>
      <c r="O507" s="191"/>
      <c r="P507" s="191"/>
      <c r="Q507" s="191"/>
      <c r="R507" s="191"/>
      <c r="S507" s="191"/>
      <c r="T507" s="191"/>
      <c r="U507" s="191"/>
      <c r="V507" s="191"/>
    </row>
    <row r="508" ht="15.75" customHeight="1">
      <c r="A508" s="191"/>
      <c r="B508" s="191"/>
      <c r="C508" s="191"/>
      <c r="D508" s="191"/>
      <c r="E508" s="191"/>
      <c r="F508" s="191"/>
      <c r="G508" s="191"/>
      <c r="H508" s="191"/>
      <c r="I508" s="191"/>
      <c r="J508" s="191"/>
      <c r="K508" s="191"/>
      <c r="L508" s="191"/>
      <c r="M508" s="191"/>
      <c r="N508" s="191"/>
      <c r="O508" s="191"/>
      <c r="P508" s="191"/>
      <c r="Q508" s="191"/>
      <c r="R508" s="191"/>
      <c r="S508" s="191"/>
      <c r="T508" s="191"/>
      <c r="U508" s="191"/>
      <c r="V508" s="191"/>
    </row>
    <row r="509" ht="15.75" customHeight="1">
      <c r="A509" s="191"/>
      <c r="B509" s="191"/>
      <c r="C509" s="191"/>
      <c r="D509" s="191"/>
      <c r="E509" s="191"/>
      <c r="F509" s="191"/>
      <c r="G509" s="191"/>
      <c r="H509" s="191"/>
      <c r="I509" s="191"/>
      <c r="J509" s="191"/>
      <c r="K509" s="191"/>
      <c r="L509" s="191"/>
      <c r="M509" s="191"/>
      <c r="N509" s="191"/>
      <c r="O509" s="191"/>
      <c r="P509" s="191"/>
      <c r="Q509" s="191"/>
      <c r="R509" s="191"/>
      <c r="S509" s="191"/>
      <c r="T509" s="191"/>
      <c r="U509" s="191"/>
      <c r="V509" s="191"/>
    </row>
    <row r="510" ht="15.75" customHeight="1">
      <c r="A510" s="191"/>
      <c r="B510" s="191"/>
      <c r="C510" s="191"/>
      <c r="D510" s="191"/>
      <c r="E510" s="191"/>
      <c r="F510" s="191"/>
      <c r="G510" s="191"/>
      <c r="H510" s="191"/>
      <c r="I510" s="191"/>
      <c r="J510" s="191"/>
      <c r="K510" s="191"/>
      <c r="L510" s="191"/>
      <c r="M510" s="191"/>
      <c r="N510" s="191"/>
      <c r="O510" s="191"/>
      <c r="P510" s="191"/>
      <c r="Q510" s="191"/>
      <c r="R510" s="191"/>
      <c r="S510" s="191"/>
      <c r="T510" s="191"/>
      <c r="U510" s="191"/>
      <c r="V510" s="191"/>
    </row>
    <row r="511" ht="15.75" customHeight="1">
      <c r="A511" s="191"/>
      <c r="B511" s="191"/>
      <c r="C511" s="191"/>
      <c r="D511" s="191"/>
      <c r="E511" s="191"/>
      <c r="F511" s="191"/>
      <c r="G511" s="191"/>
      <c r="H511" s="191"/>
      <c r="I511" s="191"/>
      <c r="J511" s="191"/>
      <c r="K511" s="191"/>
      <c r="L511" s="191"/>
      <c r="M511" s="191"/>
      <c r="N511" s="191"/>
      <c r="O511" s="191"/>
      <c r="P511" s="191"/>
      <c r="Q511" s="191"/>
      <c r="R511" s="191"/>
      <c r="S511" s="191"/>
      <c r="T511" s="191"/>
      <c r="U511" s="191"/>
      <c r="V511" s="191"/>
    </row>
    <row r="512" ht="15.75" customHeight="1">
      <c r="A512" s="191"/>
      <c r="B512" s="191"/>
      <c r="C512" s="191"/>
      <c r="D512" s="191"/>
      <c r="E512" s="191"/>
      <c r="F512" s="191"/>
      <c r="G512" s="191"/>
      <c r="H512" s="191"/>
      <c r="I512" s="191"/>
      <c r="J512" s="191"/>
      <c r="K512" s="191"/>
      <c r="L512" s="191"/>
      <c r="M512" s="191"/>
      <c r="N512" s="191"/>
      <c r="O512" s="191"/>
      <c r="P512" s="191"/>
      <c r="Q512" s="191"/>
      <c r="R512" s="191"/>
      <c r="S512" s="191"/>
      <c r="T512" s="191"/>
      <c r="U512" s="191"/>
      <c r="V512" s="191"/>
    </row>
    <row r="513" ht="15.75" customHeight="1">
      <c r="A513" s="191"/>
      <c r="B513" s="191"/>
      <c r="C513" s="191"/>
      <c r="D513" s="191"/>
      <c r="E513" s="191"/>
      <c r="F513" s="191"/>
      <c r="G513" s="191"/>
      <c r="H513" s="191"/>
      <c r="I513" s="191"/>
      <c r="J513" s="191"/>
      <c r="K513" s="191"/>
      <c r="L513" s="191"/>
      <c r="M513" s="191"/>
      <c r="N513" s="191"/>
      <c r="O513" s="191"/>
      <c r="P513" s="191"/>
      <c r="Q513" s="191"/>
      <c r="R513" s="191"/>
      <c r="S513" s="191"/>
      <c r="T513" s="191"/>
      <c r="U513" s="191"/>
      <c r="V513" s="191"/>
    </row>
    <row r="514" ht="15.75" customHeight="1">
      <c r="A514" s="191"/>
      <c r="B514" s="191"/>
      <c r="C514" s="191"/>
      <c r="D514" s="191"/>
      <c r="E514" s="191"/>
      <c r="F514" s="191"/>
      <c r="G514" s="191"/>
      <c r="H514" s="191"/>
      <c r="I514" s="191"/>
      <c r="J514" s="191"/>
      <c r="K514" s="191"/>
      <c r="L514" s="191"/>
      <c r="M514" s="191"/>
      <c r="N514" s="191"/>
      <c r="O514" s="191"/>
      <c r="P514" s="191"/>
      <c r="Q514" s="191"/>
      <c r="R514" s="191"/>
      <c r="S514" s="191"/>
      <c r="T514" s="191"/>
      <c r="U514" s="191"/>
      <c r="V514" s="191"/>
    </row>
    <row r="515" ht="15.75" customHeight="1">
      <c r="A515" s="191"/>
      <c r="B515" s="191"/>
      <c r="C515" s="191"/>
      <c r="D515" s="191"/>
      <c r="E515" s="191"/>
      <c r="F515" s="191"/>
      <c r="G515" s="191"/>
      <c r="H515" s="191"/>
      <c r="I515" s="191"/>
      <c r="J515" s="191"/>
      <c r="K515" s="191"/>
      <c r="L515" s="191"/>
      <c r="M515" s="191"/>
      <c r="N515" s="191"/>
      <c r="O515" s="191"/>
      <c r="P515" s="191"/>
      <c r="Q515" s="191"/>
      <c r="R515" s="191"/>
      <c r="S515" s="191"/>
      <c r="T515" s="191"/>
      <c r="U515" s="191"/>
      <c r="V515" s="191"/>
    </row>
    <row r="516" ht="15.75" customHeight="1">
      <c r="A516" s="191"/>
      <c r="B516" s="191"/>
      <c r="C516" s="191"/>
      <c r="D516" s="191"/>
      <c r="E516" s="191"/>
      <c r="F516" s="191"/>
      <c r="G516" s="191"/>
      <c r="H516" s="191"/>
      <c r="I516" s="191"/>
      <c r="J516" s="191"/>
      <c r="K516" s="191"/>
      <c r="L516" s="191"/>
      <c r="M516" s="191"/>
      <c r="N516" s="191"/>
      <c r="O516" s="191"/>
      <c r="P516" s="191"/>
      <c r="Q516" s="191"/>
      <c r="R516" s="191"/>
      <c r="S516" s="191"/>
      <c r="T516" s="191"/>
      <c r="U516" s="191"/>
      <c r="V516" s="191"/>
    </row>
    <row r="517" ht="15.75" customHeight="1">
      <c r="A517" s="191"/>
      <c r="B517" s="191"/>
      <c r="C517" s="191"/>
      <c r="D517" s="191"/>
      <c r="E517" s="191"/>
      <c r="F517" s="191"/>
      <c r="G517" s="191"/>
      <c r="H517" s="191"/>
      <c r="I517" s="191"/>
      <c r="J517" s="191"/>
      <c r="K517" s="191"/>
      <c r="L517" s="191"/>
      <c r="M517" s="191"/>
      <c r="N517" s="191"/>
      <c r="O517" s="191"/>
      <c r="P517" s="191"/>
      <c r="Q517" s="191"/>
      <c r="R517" s="191"/>
      <c r="S517" s="191"/>
      <c r="T517" s="191"/>
      <c r="U517" s="191"/>
      <c r="V517" s="191"/>
    </row>
    <row r="518" ht="15.75" customHeight="1">
      <c r="A518" s="191"/>
      <c r="B518" s="191"/>
      <c r="C518" s="191"/>
      <c r="D518" s="191"/>
      <c r="E518" s="191"/>
      <c r="F518" s="191"/>
      <c r="G518" s="191"/>
      <c r="H518" s="191"/>
      <c r="I518" s="191"/>
      <c r="J518" s="191"/>
      <c r="K518" s="191"/>
      <c r="L518" s="191"/>
      <c r="M518" s="191"/>
      <c r="N518" s="191"/>
      <c r="O518" s="191"/>
      <c r="P518" s="191"/>
      <c r="Q518" s="191"/>
      <c r="R518" s="191"/>
      <c r="S518" s="191"/>
      <c r="T518" s="191"/>
      <c r="U518" s="191"/>
      <c r="V518" s="191"/>
    </row>
    <row r="519" ht="15.75" customHeight="1">
      <c r="A519" s="191"/>
      <c r="B519" s="191"/>
      <c r="C519" s="191"/>
      <c r="D519" s="191"/>
      <c r="E519" s="191"/>
      <c r="F519" s="191"/>
      <c r="G519" s="191"/>
      <c r="H519" s="191"/>
      <c r="I519" s="191"/>
      <c r="J519" s="191"/>
      <c r="K519" s="191"/>
      <c r="L519" s="191"/>
      <c r="M519" s="191"/>
      <c r="N519" s="191"/>
      <c r="O519" s="191"/>
      <c r="P519" s="191"/>
      <c r="Q519" s="191"/>
      <c r="R519" s="191"/>
      <c r="S519" s="191"/>
      <c r="T519" s="191"/>
      <c r="U519" s="191"/>
      <c r="V519" s="191"/>
    </row>
    <row r="520" ht="15.75" customHeight="1">
      <c r="A520" s="191"/>
      <c r="B520" s="191"/>
      <c r="C520" s="191"/>
      <c r="D520" s="191"/>
      <c r="E520" s="191"/>
      <c r="F520" s="191"/>
      <c r="G520" s="191"/>
      <c r="H520" s="191"/>
      <c r="I520" s="191"/>
      <c r="J520" s="191"/>
      <c r="K520" s="191"/>
      <c r="L520" s="191"/>
      <c r="M520" s="191"/>
      <c r="N520" s="191"/>
      <c r="O520" s="191"/>
      <c r="P520" s="191"/>
      <c r="Q520" s="191"/>
      <c r="R520" s="191"/>
      <c r="S520" s="191"/>
      <c r="T520" s="191"/>
      <c r="U520" s="191"/>
      <c r="V520" s="191"/>
    </row>
    <row r="521" ht="15.75" customHeight="1">
      <c r="A521" s="191"/>
      <c r="B521" s="191"/>
      <c r="C521" s="191"/>
      <c r="D521" s="191"/>
      <c r="E521" s="191"/>
      <c r="F521" s="191"/>
      <c r="G521" s="191"/>
      <c r="H521" s="191"/>
      <c r="I521" s="191"/>
      <c r="J521" s="191"/>
      <c r="K521" s="191"/>
      <c r="L521" s="191"/>
      <c r="M521" s="191"/>
      <c r="N521" s="191"/>
      <c r="O521" s="191"/>
      <c r="P521" s="191"/>
      <c r="Q521" s="191"/>
      <c r="R521" s="191"/>
      <c r="S521" s="191"/>
      <c r="T521" s="191"/>
      <c r="U521" s="191"/>
      <c r="V521" s="191"/>
    </row>
    <row r="522" ht="15.75" customHeight="1">
      <c r="A522" s="191"/>
      <c r="B522" s="191"/>
      <c r="C522" s="191"/>
      <c r="D522" s="191"/>
      <c r="E522" s="191"/>
      <c r="F522" s="191"/>
      <c r="G522" s="191"/>
      <c r="H522" s="191"/>
      <c r="I522" s="191"/>
      <c r="J522" s="191"/>
      <c r="K522" s="191"/>
      <c r="L522" s="191"/>
      <c r="M522" s="191"/>
      <c r="N522" s="191"/>
      <c r="O522" s="191"/>
      <c r="P522" s="191"/>
      <c r="Q522" s="191"/>
      <c r="R522" s="191"/>
      <c r="S522" s="191"/>
      <c r="T522" s="191"/>
      <c r="U522" s="191"/>
      <c r="V522" s="191"/>
    </row>
    <row r="523" ht="15.75" customHeight="1">
      <c r="A523" s="191"/>
      <c r="B523" s="191"/>
      <c r="C523" s="191"/>
      <c r="D523" s="191"/>
      <c r="E523" s="191"/>
      <c r="F523" s="191"/>
      <c r="G523" s="191"/>
      <c r="H523" s="191"/>
      <c r="I523" s="191"/>
      <c r="J523" s="191"/>
      <c r="K523" s="191"/>
      <c r="L523" s="191"/>
      <c r="M523" s="191"/>
      <c r="N523" s="191"/>
      <c r="O523" s="191"/>
      <c r="P523" s="191"/>
      <c r="Q523" s="191"/>
      <c r="R523" s="191"/>
      <c r="S523" s="191"/>
      <c r="T523" s="191"/>
      <c r="U523" s="191"/>
      <c r="V523" s="191"/>
    </row>
    <row r="524" ht="15.75" customHeight="1">
      <c r="A524" s="191"/>
      <c r="B524" s="191"/>
      <c r="C524" s="191"/>
      <c r="D524" s="191"/>
      <c r="E524" s="191"/>
      <c r="F524" s="191"/>
      <c r="G524" s="191"/>
      <c r="H524" s="191"/>
      <c r="I524" s="191"/>
      <c r="J524" s="191"/>
      <c r="K524" s="191"/>
      <c r="L524" s="191"/>
      <c r="M524" s="191"/>
      <c r="N524" s="191"/>
      <c r="O524" s="191"/>
      <c r="P524" s="191"/>
      <c r="Q524" s="191"/>
      <c r="R524" s="191"/>
      <c r="S524" s="191"/>
      <c r="T524" s="191"/>
      <c r="U524" s="191"/>
      <c r="V524" s="191"/>
    </row>
    <row r="525" ht="15.75" customHeight="1">
      <c r="A525" s="191"/>
      <c r="B525" s="191"/>
      <c r="C525" s="191"/>
      <c r="D525" s="191"/>
      <c r="E525" s="191"/>
      <c r="F525" s="191"/>
      <c r="G525" s="191"/>
      <c r="H525" s="191"/>
      <c r="I525" s="191"/>
      <c r="J525" s="191"/>
      <c r="K525" s="191"/>
      <c r="L525" s="191"/>
      <c r="M525" s="191"/>
      <c r="N525" s="191"/>
      <c r="O525" s="191"/>
      <c r="P525" s="191"/>
      <c r="Q525" s="191"/>
      <c r="R525" s="191"/>
      <c r="S525" s="191"/>
      <c r="T525" s="191"/>
      <c r="U525" s="191"/>
      <c r="V525" s="191"/>
    </row>
    <row r="526" ht="15.75" customHeight="1">
      <c r="A526" s="191"/>
      <c r="B526" s="191"/>
      <c r="C526" s="191"/>
      <c r="D526" s="191"/>
      <c r="E526" s="191"/>
      <c r="F526" s="191"/>
      <c r="G526" s="191"/>
      <c r="H526" s="191"/>
      <c r="I526" s="191"/>
      <c r="J526" s="191"/>
      <c r="K526" s="191"/>
      <c r="L526" s="191"/>
      <c r="M526" s="191"/>
      <c r="N526" s="191"/>
      <c r="O526" s="191"/>
      <c r="P526" s="191"/>
      <c r="Q526" s="191"/>
      <c r="R526" s="191"/>
      <c r="S526" s="191"/>
      <c r="T526" s="191"/>
      <c r="U526" s="191"/>
      <c r="V526" s="191"/>
    </row>
    <row r="527" ht="15.75" customHeight="1">
      <c r="A527" s="191"/>
      <c r="B527" s="191"/>
      <c r="C527" s="191"/>
      <c r="D527" s="191"/>
      <c r="E527" s="191"/>
      <c r="F527" s="191"/>
      <c r="G527" s="191"/>
      <c r="H527" s="191"/>
      <c r="I527" s="191"/>
      <c r="J527" s="191"/>
      <c r="K527" s="191"/>
      <c r="L527" s="191"/>
      <c r="M527" s="191"/>
      <c r="N527" s="191"/>
      <c r="O527" s="191"/>
      <c r="P527" s="191"/>
      <c r="Q527" s="191"/>
      <c r="R527" s="191"/>
      <c r="S527" s="191"/>
      <c r="T527" s="191"/>
      <c r="U527" s="191"/>
      <c r="V527" s="191"/>
    </row>
    <row r="528" ht="15.75" customHeight="1">
      <c r="A528" s="191"/>
      <c r="B528" s="191"/>
      <c r="C528" s="191"/>
      <c r="D528" s="191"/>
      <c r="E528" s="191"/>
      <c r="F528" s="191"/>
      <c r="G528" s="191"/>
      <c r="H528" s="191"/>
      <c r="I528" s="191"/>
      <c r="J528" s="191"/>
      <c r="K528" s="191"/>
      <c r="L528" s="191"/>
      <c r="M528" s="191"/>
      <c r="N528" s="191"/>
      <c r="O528" s="191"/>
      <c r="P528" s="191"/>
      <c r="Q528" s="191"/>
      <c r="R528" s="191"/>
      <c r="S528" s="191"/>
      <c r="T528" s="191"/>
      <c r="U528" s="191"/>
      <c r="V528" s="191"/>
    </row>
    <row r="529" ht="15.75" customHeight="1">
      <c r="A529" s="191"/>
      <c r="B529" s="191"/>
      <c r="C529" s="191"/>
      <c r="D529" s="191"/>
      <c r="E529" s="191"/>
      <c r="F529" s="191"/>
      <c r="G529" s="191"/>
      <c r="H529" s="191"/>
      <c r="I529" s="191"/>
      <c r="J529" s="191"/>
      <c r="K529" s="191"/>
      <c r="L529" s="191"/>
      <c r="M529" s="191"/>
      <c r="N529" s="191"/>
      <c r="O529" s="191"/>
      <c r="P529" s="191"/>
      <c r="Q529" s="191"/>
      <c r="R529" s="191"/>
      <c r="S529" s="191"/>
      <c r="T529" s="191"/>
      <c r="U529" s="191"/>
      <c r="V529" s="191"/>
    </row>
    <row r="530" ht="15.75" customHeight="1">
      <c r="A530" s="191"/>
      <c r="B530" s="191"/>
      <c r="C530" s="191"/>
      <c r="D530" s="191"/>
      <c r="E530" s="191"/>
      <c r="F530" s="191"/>
      <c r="G530" s="191"/>
      <c r="H530" s="191"/>
      <c r="I530" s="191"/>
      <c r="J530" s="191"/>
      <c r="K530" s="191"/>
      <c r="L530" s="191"/>
      <c r="M530" s="191"/>
      <c r="N530" s="191"/>
      <c r="O530" s="191"/>
      <c r="P530" s="191"/>
      <c r="Q530" s="191"/>
      <c r="R530" s="191"/>
      <c r="S530" s="191"/>
      <c r="T530" s="191"/>
      <c r="U530" s="191"/>
      <c r="V530" s="191"/>
    </row>
    <row r="531" ht="15.75" customHeight="1">
      <c r="A531" s="191"/>
      <c r="B531" s="191"/>
      <c r="C531" s="191"/>
      <c r="D531" s="191"/>
      <c r="E531" s="191"/>
      <c r="F531" s="191"/>
      <c r="G531" s="191"/>
      <c r="H531" s="191"/>
      <c r="I531" s="191"/>
      <c r="J531" s="191"/>
      <c r="K531" s="191"/>
      <c r="L531" s="191"/>
      <c r="M531" s="191"/>
      <c r="N531" s="191"/>
      <c r="O531" s="191"/>
      <c r="P531" s="191"/>
      <c r="Q531" s="191"/>
      <c r="R531" s="191"/>
      <c r="S531" s="191"/>
      <c r="T531" s="191"/>
      <c r="U531" s="191"/>
      <c r="V531" s="191"/>
    </row>
    <row r="532" ht="15.75" customHeight="1">
      <c r="A532" s="191"/>
      <c r="B532" s="191"/>
      <c r="C532" s="191"/>
      <c r="D532" s="191"/>
      <c r="E532" s="191"/>
      <c r="F532" s="191"/>
      <c r="G532" s="191"/>
      <c r="H532" s="191"/>
      <c r="I532" s="191"/>
      <c r="J532" s="191"/>
      <c r="K532" s="191"/>
      <c r="L532" s="191"/>
      <c r="M532" s="191"/>
      <c r="N532" s="191"/>
      <c r="O532" s="191"/>
      <c r="P532" s="191"/>
      <c r="Q532" s="191"/>
      <c r="R532" s="191"/>
      <c r="S532" s="191"/>
      <c r="T532" s="191"/>
      <c r="U532" s="191"/>
      <c r="V532" s="191"/>
    </row>
    <row r="533" ht="15.75" customHeight="1">
      <c r="A533" s="191"/>
      <c r="B533" s="191"/>
      <c r="C533" s="191"/>
      <c r="D533" s="191"/>
      <c r="E533" s="191"/>
      <c r="F533" s="191"/>
      <c r="G533" s="191"/>
      <c r="H533" s="191"/>
      <c r="I533" s="191"/>
      <c r="J533" s="191"/>
      <c r="K533" s="191"/>
      <c r="L533" s="191"/>
      <c r="M533" s="191"/>
      <c r="N533" s="191"/>
      <c r="O533" s="191"/>
      <c r="P533" s="191"/>
      <c r="Q533" s="191"/>
      <c r="R533" s="191"/>
      <c r="S533" s="191"/>
      <c r="T533" s="191"/>
      <c r="U533" s="191"/>
      <c r="V533" s="191"/>
    </row>
    <row r="534" ht="15.75" customHeight="1">
      <c r="A534" s="191"/>
      <c r="B534" s="191"/>
      <c r="C534" s="191"/>
      <c r="D534" s="191"/>
      <c r="E534" s="191"/>
      <c r="F534" s="191"/>
      <c r="G534" s="191"/>
      <c r="H534" s="191"/>
      <c r="I534" s="191"/>
      <c r="J534" s="191"/>
      <c r="K534" s="191"/>
      <c r="L534" s="191"/>
      <c r="M534" s="191"/>
      <c r="N534" s="191"/>
      <c r="O534" s="191"/>
      <c r="P534" s="191"/>
      <c r="Q534" s="191"/>
      <c r="R534" s="191"/>
      <c r="S534" s="191"/>
      <c r="T534" s="191"/>
      <c r="U534" s="191"/>
      <c r="V534" s="191"/>
    </row>
    <row r="535" ht="15.75" customHeight="1">
      <c r="A535" s="191"/>
      <c r="B535" s="191"/>
      <c r="C535" s="191"/>
      <c r="D535" s="191"/>
      <c r="E535" s="191"/>
      <c r="F535" s="191"/>
      <c r="G535" s="191"/>
      <c r="H535" s="191"/>
      <c r="I535" s="191"/>
      <c r="J535" s="191"/>
      <c r="K535" s="191"/>
      <c r="L535" s="191"/>
      <c r="M535" s="191"/>
      <c r="N535" s="191"/>
      <c r="O535" s="191"/>
      <c r="P535" s="191"/>
      <c r="Q535" s="191"/>
      <c r="R535" s="191"/>
      <c r="S535" s="191"/>
      <c r="T535" s="191"/>
      <c r="U535" s="191"/>
      <c r="V535" s="191"/>
    </row>
    <row r="536" ht="15.75" customHeight="1">
      <c r="A536" s="191"/>
      <c r="B536" s="191"/>
      <c r="C536" s="191"/>
      <c r="D536" s="191"/>
      <c r="E536" s="191"/>
      <c r="F536" s="191"/>
      <c r="G536" s="191"/>
      <c r="H536" s="191"/>
      <c r="I536" s="191"/>
      <c r="J536" s="191"/>
      <c r="K536" s="191"/>
      <c r="L536" s="191"/>
      <c r="M536" s="191"/>
      <c r="N536" s="191"/>
      <c r="O536" s="191"/>
      <c r="P536" s="191"/>
      <c r="Q536" s="191"/>
      <c r="R536" s="191"/>
      <c r="S536" s="191"/>
      <c r="T536" s="191"/>
      <c r="U536" s="191"/>
      <c r="V536" s="191"/>
    </row>
    <row r="537" ht="15.75" customHeight="1">
      <c r="A537" s="191"/>
      <c r="B537" s="191"/>
      <c r="C537" s="191"/>
      <c r="D537" s="191"/>
      <c r="E537" s="191"/>
      <c r="F537" s="191"/>
      <c r="G537" s="191"/>
      <c r="H537" s="191"/>
      <c r="I537" s="191"/>
      <c r="J537" s="191"/>
      <c r="K537" s="191"/>
      <c r="L537" s="191"/>
      <c r="M537" s="191"/>
      <c r="N537" s="191"/>
      <c r="O537" s="191"/>
      <c r="P537" s="191"/>
      <c r="Q537" s="191"/>
      <c r="R537" s="191"/>
      <c r="S537" s="191"/>
      <c r="T537" s="191"/>
      <c r="U537" s="191"/>
      <c r="V537" s="191"/>
    </row>
    <row r="538" ht="15.75" customHeight="1">
      <c r="A538" s="191"/>
      <c r="B538" s="191"/>
      <c r="C538" s="191"/>
      <c r="D538" s="191"/>
      <c r="E538" s="191"/>
      <c r="F538" s="191"/>
      <c r="G538" s="191"/>
      <c r="H538" s="191"/>
      <c r="I538" s="191"/>
      <c r="J538" s="191"/>
      <c r="K538" s="191"/>
      <c r="L538" s="191"/>
      <c r="M538" s="191"/>
      <c r="N538" s="191"/>
      <c r="O538" s="191"/>
      <c r="P538" s="191"/>
      <c r="Q538" s="191"/>
      <c r="R538" s="191"/>
      <c r="S538" s="191"/>
      <c r="T538" s="191"/>
      <c r="U538" s="191"/>
      <c r="V538" s="191"/>
    </row>
    <row r="539" ht="15.75" customHeight="1">
      <c r="A539" s="191"/>
      <c r="B539" s="191"/>
      <c r="C539" s="191"/>
      <c r="D539" s="191"/>
      <c r="E539" s="191"/>
      <c r="F539" s="191"/>
      <c r="G539" s="191"/>
      <c r="H539" s="191"/>
      <c r="I539" s="191"/>
      <c r="J539" s="191"/>
      <c r="K539" s="191"/>
      <c r="L539" s="191"/>
      <c r="M539" s="191"/>
      <c r="N539" s="191"/>
      <c r="O539" s="191"/>
      <c r="P539" s="191"/>
      <c r="Q539" s="191"/>
      <c r="R539" s="191"/>
      <c r="S539" s="191"/>
      <c r="T539" s="191"/>
      <c r="U539" s="191"/>
      <c r="V539" s="191"/>
    </row>
    <row r="540" ht="15.75" customHeight="1">
      <c r="A540" s="191"/>
      <c r="B540" s="191"/>
      <c r="C540" s="191"/>
      <c r="D540" s="191"/>
      <c r="E540" s="191"/>
      <c r="F540" s="191"/>
      <c r="G540" s="191"/>
      <c r="H540" s="191"/>
      <c r="I540" s="191"/>
      <c r="J540" s="191"/>
      <c r="K540" s="191"/>
      <c r="L540" s="191"/>
      <c r="M540" s="191"/>
      <c r="N540" s="191"/>
      <c r="O540" s="191"/>
      <c r="P540" s="191"/>
      <c r="Q540" s="191"/>
      <c r="R540" s="191"/>
      <c r="S540" s="191"/>
      <c r="T540" s="191"/>
      <c r="U540" s="191"/>
      <c r="V540" s="191"/>
    </row>
    <row r="541" ht="15.75" customHeight="1">
      <c r="A541" s="191"/>
      <c r="B541" s="191"/>
      <c r="C541" s="191"/>
      <c r="D541" s="191"/>
      <c r="E541" s="191"/>
      <c r="F541" s="191"/>
      <c r="G541" s="191"/>
      <c r="H541" s="191"/>
      <c r="I541" s="191"/>
      <c r="J541" s="191"/>
      <c r="K541" s="191"/>
      <c r="L541" s="191"/>
      <c r="M541" s="191"/>
      <c r="N541" s="191"/>
      <c r="O541" s="191"/>
      <c r="P541" s="191"/>
      <c r="Q541" s="191"/>
      <c r="R541" s="191"/>
      <c r="S541" s="191"/>
      <c r="T541" s="191"/>
      <c r="U541" s="191"/>
      <c r="V541" s="191"/>
    </row>
    <row r="542" ht="15.75" customHeight="1">
      <c r="A542" s="191"/>
      <c r="B542" s="191"/>
      <c r="C542" s="191"/>
      <c r="D542" s="191"/>
      <c r="E542" s="191"/>
      <c r="F542" s="191"/>
      <c r="G542" s="191"/>
      <c r="H542" s="191"/>
      <c r="I542" s="191"/>
      <c r="J542" s="191"/>
      <c r="K542" s="191"/>
      <c r="L542" s="191"/>
      <c r="M542" s="191"/>
      <c r="N542" s="191"/>
      <c r="O542" s="191"/>
      <c r="P542" s="191"/>
      <c r="Q542" s="191"/>
      <c r="R542" s="191"/>
      <c r="S542" s="191"/>
      <c r="T542" s="191"/>
      <c r="U542" s="191"/>
      <c r="V542" s="191"/>
    </row>
    <row r="543" ht="15.75" customHeight="1">
      <c r="A543" s="191"/>
      <c r="B543" s="191"/>
      <c r="C543" s="191"/>
      <c r="D543" s="191"/>
      <c r="E543" s="191"/>
      <c r="F543" s="191"/>
      <c r="G543" s="191"/>
      <c r="H543" s="191"/>
      <c r="I543" s="191"/>
      <c r="J543" s="191"/>
      <c r="K543" s="191"/>
      <c r="L543" s="191"/>
      <c r="M543" s="191"/>
      <c r="N543" s="191"/>
      <c r="O543" s="191"/>
      <c r="P543" s="191"/>
      <c r="Q543" s="191"/>
      <c r="R543" s="191"/>
      <c r="S543" s="191"/>
      <c r="T543" s="191"/>
      <c r="U543" s="191"/>
      <c r="V543" s="191"/>
    </row>
    <row r="544" ht="15.75" customHeight="1">
      <c r="A544" s="191"/>
      <c r="B544" s="191"/>
      <c r="C544" s="191"/>
      <c r="D544" s="191"/>
      <c r="E544" s="191"/>
      <c r="F544" s="191"/>
      <c r="G544" s="191"/>
      <c r="H544" s="191"/>
      <c r="I544" s="191"/>
      <c r="J544" s="191"/>
      <c r="K544" s="191"/>
      <c r="L544" s="191"/>
      <c r="M544" s="191"/>
      <c r="N544" s="191"/>
      <c r="O544" s="191"/>
      <c r="P544" s="191"/>
      <c r="Q544" s="191"/>
      <c r="R544" s="191"/>
      <c r="S544" s="191"/>
      <c r="T544" s="191"/>
      <c r="U544" s="191"/>
      <c r="V544" s="191"/>
    </row>
    <row r="545" ht="15.75" customHeight="1">
      <c r="A545" s="191"/>
      <c r="B545" s="191"/>
      <c r="C545" s="191"/>
      <c r="D545" s="191"/>
      <c r="E545" s="191"/>
      <c r="F545" s="191"/>
      <c r="G545" s="191"/>
      <c r="H545" s="191"/>
      <c r="I545" s="191"/>
      <c r="J545" s="191"/>
      <c r="K545" s="191"/>
      <c r="L545" s="191"/>
      <c r="M545" s="191"/>
      <c r="N545" s="191"/>
      <c r="O545" s="191"/>
      <c r="P545" s="191"/>
      <c r="Q545" s="191"/>
      <c r="R545" s="191"/>
      <c r="S545" s="191"/>
      <c r="T545" s="191"/>
      <c r="U545" s="191"/>
      <c r="V545" s="191"/>
    </row>
    <row r="546" ht="15.75" customHeight="1">
      <c r="A546" s="191"/>
      <c r="B546" s="191"/>
      <c r="C546" s="191"/>
      <c r="D546" s="191"/>
      <c r="E546" s="191"/>
      <c r="F546" s="191"/>
      <c r="G546" s="191"/>
      <c r="H546" s="191"/>
      <c r="I546" s="191"/>
      <c r="J546" s="191"/>
      <c r="K546" s="191"/>
      <c r="L546" s="191"/>
      <c r="M546" s="191"/>
      <c r="N546" s="191"/>
      <c r="O546" s="191"/>
      <c r="P546" s="191"/>
      <c r="Q546" s="191"/>
      <c r="R546" s="191"/>
      <c r="S546" s="191"/>
      <c r="T546" s="191"/>
      <c r="U546" s="191"/>
      <c r="V546" s="191"/>
    </row>
    <row r="547" ht="15.75" customHeight="1">
      <c r="A547" s="191"/>
      <c r="B547" s="191"/>
      <c r="C547" s="191"/>
      <c r="D547" s="191"/>
      <c r="E547" s="191"/>
      <c r="F547" s="191"/>
      <c r="G547" s="191"/>
      <c r="H547" s="191"/>
      <c r="I547" s="191"/>
      <c r="J547" s="191"/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</row>
    <row r="548" ht="15.75" customHeight="1">
      <c r="A548" s="191"/>
      <c r="B548" s="191"/>
      <c r="C548" s="191"/>
      <c r="D548" s="191"/>
      <c r="E548" s="191"/>
      <c r="F548" s="191"/>
      <c r="G548" s="191"/>
      <c r="H548" s="191"/>
      <c r="I548" s="191"/>
      <c r="J548" s="191"/>
      <c r="K548" s="191"/>
      <c r="L548" s="191"/>
      <c r="M548" s="191"/>
      <c r="N548" s="191"/>
      <c r="O548" s="191"/>
      <c r="P548" s="191"/>
      <c r="Q548" s="191"/>
      <c r="R548" s="191"/>
      <c r="S548" s="191"/>
      <c r="T548" s="191"/>
      <c r="U548" s="191"/>
      <c r="V548" s="191"/>
    </row>
    <row r="549" ht="15.75" customHeight="1">
      <c r="A549" s="191"/>
      <c r="B549" s="191"/>
      <c r="C549" s="191"/>
      <c r="D549" s="191"/>
      <c r="E549" s="191"/>
      <c r="F549" s="191"/>
      <c r="G549" s="191"/>
      <c r="H549" s="191"/>
      <c r="I549" s="191"/>
      <c r="J549" s="191"/>
      <c r="K549" s="191"/>
      <c r="L549" s="191"/>
      <c r="M549" s="191"/>
      <c r="N549" s="191"/>
      <c r="O549" s="191"/>
      <c r="P549" s="191"/>
      <c r="Q549" s="191"/>
      <c r="R549" s="191"/>
      <c r="S549" s="191"/>
      <c r="T549" s="191"/>
      <c r="U549" s="191"/>
      <c r="V549" s="191"/>
    </row>
    <row r="550" ht="15.75" customHeight="1">
      <c r="A550" s="191"/>
      <c r="B550" s="191"/>
      <c r="C550" s="191"/>
      <c r="D550" s="191"/>
      <c r="E550" s="191"/>
      <c r="F550" s="191"/>
      <c r="G550" s="191"/>
      <c r="H550" s="191"/>
      <c r="I550" s="191"/>
      <c r="J550" s="191"/>
      <c r="K550" s="191"/>
      <c r="L550" s="191"/>
      <c r="M550" s="191"/>
      <c r="N550" s="191"/>
      <c r="O550" s="191"/>
      <c r="P550" s="191"/>
      <c r="Q550" s="191"/>
      <c r="R550" s="191"/>
      <c r="S550" s="191"/>
      <c r="T550" s="191"/>
      <c r="U550" s="191"/>
      <c r="V550" s="191"/>
    </row>
    <row r="551" ht="15.75" customHeight="1">
      <c r="A551" s="191"/>
      <c r="B551" s="191"/>
      <c r="C551" s="191"/>
      <c r="D551" s="191"/>
      <c r="E551" s="191"/>
      <c r="F551" s="191"/>
      <c r="G551" s="191"/>
      <c r="H551" s="191"/>
      <c r="I551" s="191"/>
      <c r="J551" s="191"/>
      <c r="K551" s="191"/>
      <c r="L551" s="191"/>
      <c r="M551" s="191"/>
      <c r="N551" s="191"/>
      <c r="O551" s="191"/>
      <c r="P551" s="191"/>
      <c r="Q551" s="191"/>
      <c r="R551" s="191"/>
      <c r="S551" s="191"/>
      <c r="T551" s="191"/>
      <c r="U551" s="191"/>
      <c r="V551" s="191"/>
    </row>
    <row r="552" ht="15.75" customHeight="1">
      <c r="A552" s="191"/>
      <c r="B552" s="191"/>
      <c r="C552" s="191"/>
      <c r="D552" s="191"/>
      <c r="E552" s="191"/>
      <c r="F552" s="191"/>
      <c r="G552" s="191"/>
      <c r="H552" s="191"/>
      <c r="I552" s="191"/>
      <c r="J552" s="191"/>
      <c r="K552" s="191"/>
      <c r="L552" s="191"/>
      <c r="M552" s="191"/>
      <c r="N552" s="191"/>
      <c r="O552" s="191"/>
      <c r="P552" s="191"/>
      <c r="Q552" s="191"/>
      <c r="R552" s="191"/>
      <c r="S552" s="191"/>
      <c r="T552" s="191"/>
      <c r="U552" s="191"/>
      <c r="V552" s="191"/>
    </row>
    <row r="553" ht="15.75" customHeight="1">
      <c r="A553" s="191"/>
      <c r="B553" s="191"/>
      <c r="C553" s="191"/>
      <c r="D553" s="191"/>
      <c r="E553" s="191"/>
      <c r="F553" s="191"/>
      <c r="G553" s="191"/>
      <c r="H553" s="191"/>
      <c r="I553" s="191"/>
      <c r="J553" s="191"/>
      <c r="K553" s="191"/>
      <c r="L553" s="191"/>
      <c r="M553" s="191"/>
      <c r="N553" s="191"/>
      <c r="O553" s="191"/>
      <c r="P553" s="191"/>
      <c r="Q553" s="191"/>
      <c r="R553" s="191"/>
      <c r="S553" s="191"/>
      <c r="T553" s="191"/>
      <c r="U553" s="191"/>
      <c r="V553" s="191"/>
    </row>
    <row r="554" ht="15.75" customHeight="1">
      <c r="A554" s="191"/>
      <c r="B554" s="191"/>
      <c r="C554" s="191"/>
      <c r="D554" s="191"/>
      <c r="E554" s="191"/>
      <c r="F554" s="191"/>
      <c r="G554" s="191"/>
      <c r="H554" s="191"/>
      <c r="I554" s="191"/>
      <c r="J554" s="191"/>
      <c r="K554" s="191"/>
      <c r="L554" s="191"/>
      <c r="M554" s="191"/>
      <c r="N554" s="191"/>
      <c r="O554" s="191"/>
      <c r="P554" s="191"/>
      <c r="Q554" s="191"/>
      <c r="R554" s="191"/>
      <c r="S554" s="191"/>
      <c r="T554" s="191"/>
      <c r="U554" s="191"/>
      <c r="V554" s="191"/>
    </row>
    <row r="555" ht="15.75" customHeight="1">
      <c r="A555" s="191"/>
      <c r="B555" s="191"/>
      <c r="C555" s="191"/>
      <c r="D555" s="191"/>
      <c r="E555" s="191"/>
      <c r="F555" s="191"/>
      <c r="G555" s="191"/>
      <c r="H555" s="191"/>
      <c r="I555" s="191"/>
      <c r="J555" s="191"/>
      <c r="K555" s="191"/>
      <c r="L555" s="191"/>
      <c r="M555" s="191"/>
      <c r="N555" s="191"/>
      <c r="O555" s="191"/>
      <c r="P555" s="191"/>
      <c r="Q555" s="191"/>
      <c r="R555" s="191"/>
      <c r="S555" s="191"/>
      <c r="T555" s="191"/>
      <c r="U555" s="191"/>
      <c r="V555" s="191"/>
    </row>
    <row r="556" ht="15.75" customHeight="1">
      <c r="A556" s="191"/>
      <c r="B556" s="191"/>
      <c r="C556" s="191"/>
      <c r="D556" s="191"/>
      <c r="E556" s="191"/>
      <c r="F556" s="191"/>
      <c r="G556" s="191"/>
      <c r="H556" s="191"/>
      <c r="I556" s="191"/>
      <c r="J556" s="191"/>
      <c r="K556" s="191"/>
      <c r="L556" s="191"/>
      <c r="M556" s="191"/>
      <c r="N556" s="191"/>
      <c r="O556" s="191"/>
      <c r="P556" s="191"/>
      <c r="Q556" s="191"/>
      <c r="R556" s="191"/>
      <c r="S556" s="191"/>
      <c r="T556" s="191"/>
      <c r="U556" s="191"/>
      <c r="V556" s="191"/>
    </row>
    <row r="557" ht="15.75" customHeight="1">
      <c r="A557" s="191"/>
      <c r="B557" s="191"/>
      <c r="C557" s="191"/>
      <c r="D557" s="191"/>
      <c r="E557" s="191"/>
      <c r="F557" s="191"/>
      <c r="G557" s="191"/>
      <c r="H557" s="191"/>
      <c r="I557" s="191"/>
      <c r="J557" s="191"/>
      <c r="K557" s="191"/>
      <c r="L557" s="191"/>
      <c r="M557" s="191"/>
      <c r="N557" s="191"/>
      <c r="O557" s="191"/>
      <c r="P557" s="191"/>
      <c r="Q557" s="191"/>
      <c r="R557" s="191"/>
      <c r="S557" s="191"/>
      <c r="T557" s="191"/>
      <c r="U557" s="191"/>
      <c r="V557" s="191"/>
    </row>
    <row r="558" ht="15.75" customHeight="1">
      <c r="A558" s="191"/>
      <c r="B558" s="191"/>
      <c r="C558" s="191"/>
      <c r="D558" s="191"/>
      <c r="E558" s="191"/>
      <c r="F558" s="191"/>
      <c r="G558" s="191"/>
      <c r="H558" s="191"/>
      <c r="I558" s="191"/>
      <c r="J558" s="191"/>
      <c r="K558" s="191"/>
      <c r="L558" s="191"/>
      <c r="M558" s="191"/>
      <c r="N558" s="191"/>
      <c r="O558" s="191"/>
      <c r="P558" s="191"/>
      <c r="Q558" s="191"/>
      <c r="R558" s="191"/>
      <c r="S558" s="191"/>
      <c r="T558" s="191"/>
      <c r="U558" s="191"/>
      <c r="V558" s="191"/>
    </row>
    <row r="559" ht="15.75" customHeight="1">
      <c r="A559" s="191"/>
      <c r="B559" s="191"/>
      <c r="C559" s="191"/>
      <c r="D559" s="191"/>
      <c r="E559" s="191"/>
      <c r="F559" s="191"/>
      <c r="G559" s="191"/>
      <c r="H559" s="191"/>
      <c r="I559" s="191"/>
      <c r="J559" s="191"/>
      <c r="K559" s="191"/>
      <c r="L559" s="191"/>
      <c r="M559" s="191"/>
      <c r="N559" s="191"/>
      <c r="O559" s="191"/>
      <c r="P559" s="191"/>
      <c r="Q559" s="191"/>
      <c r="R559" s="191"/>
      <c r="S559" s="191"/>
      <c r="T559" s="191"/>
      <c r="U559" s="191"/>
      <c r="V559" s="191"/>
    </row>
    <row r="560" ht="15.75" customHeight="1">
      <c r="A560" s="191"/>
      <c r="B560" s="191"/>
      <c r="C560" s="191"/>
      <c r="D560" s="191"/>
      <c r="E560" s="191"/>
      <c r="F560" s="191"/>
      <c r="G560" s="191"/>
      <c r="H560" s="191"/>
      <c r="I560" s="191"/>
      <c r="J560" s="191"/>
      <c r="K560" s="191"/>
      <c r="L560" s="191"/>
      <c r="M560" s="191"/>
      <c r="N560" s="191"/>
      <c r="O560" s="191"/>
      <c r="P560" s="191"/>
      <c r="Q560" s="191"/>
      <c r="R560" s="191"/>
      <c r="S560" s="191"/>
      <c r="T560" s="191"/>
      <c r="U560" s="191"/>
      <c r="V560" s="191"/>
    </row>
    <row r="561" ht="15.75" customHeight="1">
      <c r="A561" s="191"/>
      <c r="B561" s="191"/>
      <c r="C561" s="191"/>
      <c r="D561" s="191"/>
      <c r="E561" s="191"/>
      <c r="F561" s="191"/>
      <c r="G561" s="191"/>
      <c r="H561" s="191"/>
      <c r="I561" s="191"/>
      <c r="J561" s="191"/>
      <c r="K561" s="191"/>
      <c r="L561" s="191"/>
      <c r="M561" s="191"/>
      <c r="N561" s="191"/>
      <c r="O561" s="191"/>
      <c r="P561" s="191"/>
      <c r="Q561" s="191"/>
      <c r="R561" s="191"/>
      <c r="S561" s="191"/>
      <c r="T561" s="191"/>
      <c r="U561" s="191"/>
      <c r="V561" s="191"/>
    </row>
    <row r="562" ht="15.75" customHeight="1">
      <c r="A562" s="191"/>
      <c r="B562" s="191"/>
      <c r="C562" s="191"/>
      <c r="D562" s="191"/>
      <c r="E562" s="191"/>
      <c r="F562" s="191"/>
      <c r="G562" s="191"/>
      <c r="H562" s="191"/>
      <c r="I562" s="191"/>
      <c r="J562" s="191"/>
      <c r="K562" s="191"/>
      <c r="L562" s="191"/>
      <c r="M562" s="191"/>
      <c r="N562" s="191"/>
      <c r="O562" s="191"/>
      <c r="P562" s="191"/>
      <c r="Q562" s="191"/>
      <c r="R562" s="191"/>
      <c r="S562" s="191"/>
      <c r="T562" s="191"/>
      <c r="U562" s="191"/>
      <c r="V562" s="191"/>
    </row>
    <row r="563" ht="15.75" customHeight="1">
      <c r="A563" s="191"/>
      <c r="B563" s="191"/>
      <c r="C563" s="191"/>
      <c r="D563" s="191"/>
      <c r="E563" s="191"/>
      <c r="F563" s="191"/>
      <c r="G563" s="191"/>
      <c r="H563" s="191"/>
      <c r="I563" s="191"/>
      <c r="J563" s="191"/>
      <c r="K563" s="191"/>
      <c r="L563" s="191"/>
      <c r="M563" s="191"/>
      <c r="N563" s="191"/>
      <c r="O563" s="191"/>
      <c r="P563" s="191"/>
      <c r="Q563" s="191"/>
      <c r="R563" s="191"/>
      <c r="S563" s="191"/>
      <c r="T563" s="191"/>
      <c r="U563" s="191"/>
      <c r="V563" s="191"/>
    </row>
    <row r="564" ht="15.75" customHeight="1">
      <c r="A564" s="191"/>
      <c r="B564" s="191"/>
      <c r="C564" s="191"/>
      <c r="D564" s="191"/>
      <c r="E564" s="191"/>
      <c r="F564" s="191"/>
      <c r="G564" s="191"/>
      <c r="H564" s="191"/>
      <c r="I564" s="191"/>
      <c r="J564" s="191"/>
      <c r="K564" s="191"/>
      <c r="L564" s="191"/>
      <c r="M564" s="191"/>
      <c r="N564" s="191"/>
      <c r="O564" s="191"/>
      <c r="P564" s="191"/>
      <c r="Q564" s="191"/>
      <c r="R564" s="191"/>
      <c r="S564" s="191"/>
      <c r="T564" s="191"/>
      <c r="U564" s="191"/>
      <c r="V564" s="191"/>
    </row>
    <row r="565" ht="15.75" customHeight="1">
      <c r="A565" s="191"/>
      <c r="B565" s="191"/>
      <c r="C565" s="191"/>
      <c r="D565" s="191"/>
      <c r="E565" s="191"/>
      <c r="F565" s="191"/>
      <c r="G565" s="191"/>
      <c r="H565" s="191"/>
      <c r="I565" s="191"/>
      <c r="J565" s="191"/>
      <c r="K565" s="191"/>
      <c r="L565" s="191"/>
      <c r="M565" s="191"/>
      <c r="N565" s="191"/>
      <c r="O565" s="191"/>
      <c r="P565" s="191"/>
      <c r="Q565" s="191"/>
      <c r="R565" s="191"/>
      <c r="S565" s="191"/>
      <c r="T565" s="191"/>
      <c r="U565" s="191"/>
      <c r="V565" s="191"/>
    </row>
    <row r="566" ht="15.75" customHeight="1">
      <c r="A566" s="191"/>
      <c r="B566" s="191"/>
      <c r="C566" s="191"/>
      <c r="D566" s="191"/>
      <c r="E566" s="191"/>
      <c r="F566" s="191"/>
      <c r="G566" s="191"/>
      <c r="H566" s="191"/>
      <c r="I566" s="191"/>
      <c r="J566" s="191"/>
      <c r="K566" s="191"/>
      <c r="L566" s="191"/>
      <c r="M566" s="191"/>
      <c r="N566" s="191"/>
      <c r="O566" s="191"/>
      <c r="P566" s="191"/>
      <c r="Q566" s="191"/>
      <c r="R566" s="191"/>
      <c r="S566" s="191"/>
      <c r="T566" s="191"/>
      <c r="U566" s="191"/>
      <c r="V566" s="191"/>
    </row>
    <row r="567" ht="15.75" customHeight="1">
      <c r="A567" s="191"/>
      <c r="B567" s="191"/>
      <c r="C567" s="191"/>
      <c r="D567" s="191"/>
      <c r="E567" s="191"/>
      <c r="F567" s="191"/>
      <c r="G567" s="191"/>
      <c r="H567" s="191"/>
      <c r="I567" s="191"/>
      <c r="J567" s="191"/>
      <c r="K567" s="191"/>
      <c r="L567" s="191"/>
      <c r="M567" s="191"/>
      <c r="N567" s="191"/>
      <c r="O567" s="191"/>
      <c r="P567" s="191"/>
      <c r="Q567" s="191"/>
      <c r="R567" s="191"/>
      <c r="S567" s="191"/>
      <c r="T567" s="191"/>
      <c r="U567" s="191"/>
      <c r="V567" s="191"/>
    </row>
    <row r="568" ht="15.75" customHeight="1">
      <c r="A568" s="191"/>
      <c r="B568" s="191"/>
      <c r="C568" s="191"/>
      <c r="D568" s="191"/>
      <c r="E568" s="191"/>
      <c r="F568" s="191"/>
      <c r="G568" s="191"/>
      <c r="H568" s="191"/>
      <c r="I568" s="191"/>
      <c r="J568" s="191"/>
      <c r="K568" s="191"/>
      <c r="L568" s="191"/>
      <c r="M568" s="191"/>
      <c r="N568" s="191"/>
      <c r="O568" s="191"/>
      <c r="P568" s="191"/>
      <c r="Q568" s="191"/>
      <c r="R568" s="191"/>
      <c r="S568" s="191"/>
      <c r="T568" s="191"/>
      <c r="U568" s="191"/>
      <c r="V568" s="191"/>
    </row>
    <row r="569" ht="15.75" customHeight="1">
      <c r="A569" s="191"/>
      <c r="B569" s="191"/>
      <c r="C569" s="191"/>
      <c r="D569" s="191"/>
      <c r="E569" s="191"/>
      <c r="F569" s="191"/>
      <c r="G569" s="191"/>
      <c r="H569" s="191"/>
      <c r="I569" s="191"/>
      <c r="J569" s="191"/>
      <c r="K569" s="191"/>
      <c r="L569" s="191"/>
      <c r="M569" s="191"/>
      <c r="N569" s="191"/>
      <c r="O569" s="191"/>
      <c r="P569" s="191"/>
      <c r="Q569" s="191"/>
      <c r="R569" s="191"/>
      <c r="S569" s="191"/>
      <c r="T569" s="191"/>
      <c r="U569" s="191"/>
      <c r="V569" s="191"/>
    </row>
    <row r="570" ht="15.75" customHeight="1">
      <c r="A570" s="191"/>
      <c r="B570" s="191"/>
      <c r="C570" s="191"/>
      <c r="D570" s="191"/>
      <c r="E570" s="191"/>
      <c r="F570" s="191"/>
      <c r="G570" s="191"/>
      <c r="H570" s="191"/>
      <c r="I570" s="191"/>
      <c r="J570" s="191"/>
      <c r="K570" s="191"/>
      <c r="L570" s="191"/>
      <c r="M570" s="191"/>
      <c r="N570" s="191"/>
      <c r="O570" s="191"/>
      <c r="P570" s="191"/>
      <c r="Q570" s="191"/>
      <c r="R570" s="191"/>
      <c r="S570" s="191"/>
      <c r="T570" s="191"/>
      <c r="U570" s="191"/>
      <c r="V570" s="191"/>
    </row>
    <row r="571" ht="15.75" customHeight="1">
      <c r="A571" s="191"/>
      <c r="B571" s="191"/>
      <c r="C571" s="191"/>
      <c r="D571" s="191"/>
      <c r="E571" s="191"/>
      <c r="F571" s="191"/>
      <c r="G571" s="191"/>
      <c r="H571" s="191"/>
      <c r="I571" s="191"/>
      <c r="J571" s="191"/>
      <c r="K571" s="191"/>
      <c r="L571" s="191"/>
      <c r="M571" s="191"/>
      <c r="N571" s="191"/>
      <c r="O571" s="191"/>
      <c r="P571" s="191"/>
      <c r="Q571" s="191"/>
      <c r="R571" s="191"/>
      <c r="S571" s="191"/>
      <c r="T571" s="191"/>
      <c r="U571" s="191"/>
      <c r="V571" s="191"/>
    </row>
    <row r="572" ht="15.75" customHeight="1">
      <c r="A572" s="191"/>
      <c r="B572" s="191"/>
      <c r="C572" s="191"/>
      <c r="D572" s="191"/>
      <c r="E572" s="191"/>
      <c r="F572" s="191"/>
      <c r="G572" s="191"/>
      <c r="H572" s="191"/>
      <c r="I572" s="191"/>
      <c r="J572" s="191"/>
      <c r="K572" s="191"/>
      <c r="L572" s="191"/>
      <c r="M572" s="191"/>
      <c r="N572" s="191"/>
      <c r="O572" s="191"/>
      <c r="P572" s="191"/>
      <c r="Q572" s="191"/>
      <c r="R572" s="191"/>
      <c r="S572" s="191"/>
      <c r="T572" s="191"/>
      <c r="U572" s="191"/>
      <c r="V572" s="191"/>
    </row>
    <row r="573" ht="15.75" customHeight="1">
      <c r="A573" s="191"/>
      <c r="B573" s="191"/>
      <c r="C573" s="191"/>
      <c r="D573" s="191"/>
      <c r="E573" s="191"/>
      <c r="F573" s="191"/>
      <c r="G573" s="191"/>
      <c r="H573" s="191"/>
      <c r="I573" s="191"/>
      <c r="J573" s="191"/>
      <c r="K573" s="191"/>
      <c r="L573" s="191"/>
      <c r="M573" s="191"/>
      <c r="N573" s="191"/>
      <c r="O573" s="191"/>
      <c r="P573" s="191"/>
      <c r="Q573" s="191"/>
      <c r="R573" s="191"/>
      <c r="S573" s="191"/>
      <c r="T573" s="191"/>
      <c r="U573" s="191"/>
      <c r="V573" s="191"/>
    </row>
    <row r="574" ht="15.75" customHeight="1">
      <c r="A574" s="191"/>
      <c r="B574" s="191"/>
      <c r="C574" s="191"/>
      <c r="D574" s="191"/>
      <c r="E574" s="191"/>
      <c r="F574" s="191"/>
      <c r="G574" s="191"/>
      <c r="H574" s="191"/>
      <c r="I574" s="191"/>
      <c r="J574" s="191"/>
      <c r="K574" s="191"/>
      <c r="L574" s="191"/>
      <c r="M574" s="191"/>
      <c r="N574" s="191"/>
      <c r="O574" s="191"/>
      <c r="P574" s="191"/>
      <c r="Q574" s="191"/>
      <c r="R574" s="191"/>
      <c r="S574" s="191"/>
      <c r="T574" s="191"/>
      <c r="U574" s="191"/>
      <c r="V574" s="191"/>
    </row>
    <row r="575" ht="15.75" customHeight="1">
      <c r="A575" s="191"/>
      <c r="B575" s="191"/>
      <c r="C575" s="191"/>
      <c r="D575" s="191"/>
      <c r="E575" s="191"/>
      <c r="F575" s="191"/>
      <c r="G575" s="191"/>
      <c r="H575" s="191"/>
      <c r="I575" s="191"/>
      <c r="J575" s="191"/>
      <c r="K575" s="191"/>
      <c r="L575" s="191"/>
      <c r="M575" s="191"/>
      <c r="N575" s="191"/>
      <c r="O575" s="191"/>
      <c r="P575" s="191"/>
      <c r="Q575" s="191"/>
      <c r="R575" s="191"/>
      <c r="S575" s="191"/>
      <c r="T575" s="191"/>
      <c r="U575" s="191"/>
      <c r="V575" s="191"/>
    </row>
    <row r="576" ht="15.75" customHeight="1">
      <c r="A576" s="191"/>
      <c r="B576" s="191"/>
      <c r="C576" s="191"/>
      <c r="D576" s="191"/>
      <c r="E576" s="191"/>
      <c r="F576" s="191"/>
      <c r="G576" s="191"/>
      <c r="H576" s="191"/>
      <c r="I576" s="191"/>
      <c r="J576" s="191"/>
      <c r="K576" s="191"/>
      <c r="L576" s="191"/>
      <c r="M576" s="191"/>
      <c r="N576" s="191"/>
      <c r="O576" s="191"/>
      <c r="P576" s="191"/>
      <c r="Q576" s="191"/>
      <c r="R576" s="191"/>
      <c r="S576" s="191"/>
      <c r="T576" s="191"/>
      <c r="U576" s="191"/>
      <c r="V576" s="191"/>
    </row>
    <row r="577" ht="15.75" customHeight="1">
      <c r="A577" s="191"/>
      <c r="B577" s="191"/>
      <c r="C577" s="191"/>
      <c r="D577" s="191"/>
      <c r="E577" s="191"/>
      <c r="F577" s="191"/>
      <c r="G577" s="191"/>
      <c r="H577" s="191"/>
      <c r="I577" s="191"/>
      <c r="J577" s="191"/>
      <c r="K577" s="191"/>
      <c r="L577" s="191"/>
      <c r="M577" s="191"/>
      <c r="N577" s="191"/>
      <c r="O577" s="191"/>
      <c r="P577" s="191"/>
      <c r="Q577" s="191"/>
      <c r="R577" s="191"/>
      <c r="S577" s="191"/>
      <c r="T577" s="191"/>
      <c r="U577" s="191"/>
      <c r="V577" s="191"/>
    </row>
    <row r="578" ht="15.75" customHeight="1">
      <c r="A578" s="191"/>
      <c r="B578" s="191"/>
      <c r="C578" s="191"/>
      <c r="D578" s="191"/>
      <c r="E578" s="191"/>
      <c r="F578" s="191"/>
      <c r="G578" s="191"/>
      <c r="H578" s="191"/>
      <c r="I578" s="191"/>
      <c r="J578" s="191"/>
      <c r="K578" s="191"/>
      <c r="L578" s="191"/>
      <c r="M578" s="191"/>
      <c r="N578" s="191"/>
      <c r="O578" s="191"/>
      <c r="P578" s="191"/>
      <c r="Q578" s="191"/>
      <c r="R578" s="191"/>
      <c r="S578" s="191"/>
      <c r="T578" s="191"/>
      <c r="U578" s="191"/>
      <c r="V578" s="191"/>
    </row>
    <row r="579" ht="15.75" customHeight="1">
      <c r="A579" s="191"/>
      <c r="B579" s="191"/>
      <c r="C579" s="191"/>
      <c r="D579" s="191"/>
      <c r="E579" s="191"/>
      <c r="F579" s="191"/>
      <c r="G579" s="191"/>
      <c r="H579" s="191"/>
      <c r="I579" s="191"/>
      <c r="J579" s="191"/>
      <c r="K579" s="191"/>
      <c r="L579" s="191"/>
      <c r="M579" s="191"/>
      <c r="N579" s="191"/>
      <c r="O579" s="191"/>
      <c r="P579" s="191"/>
      <c r="Q579" s="191"/>
      <c r="R579" s="191"/>
      <c r="S579" s="191"/>
      <c r="T579" s="191"/>
      <c r="U579" s="191"/>
      <c r="V579" s="191"/>
    </row>
    <row r="580" ht="15.75" customHeight="1">
      <c r="A580" s="191"/>
      <c r="B580" s="191"/>
      <c r="C580" s="191"/>
      <c r="D580" s="191"/>
      <c r="E580" s="191"/>
      <c r="F580" s="191"/>
      <c r="G580" s="191"/>
      <c r="H580" s="191"/>
      <c r="I580" s="191"/>
      <c r="J580" s="191"/>
      <c r="K580" s="191"/>
      <c r="L580" s="191"/>
      <c r="M580" s="191"/>
      <c r="N580" s="191"/>
      <c r="O580" s="191"/>
      <c r="P580" s="191"/>
      <c r="Q580" s="191"/>
      <c r="R580" s="191"/>
      <c r="S580" s="191"/>
      <c r="T580" s="191"/>
      <c r="U580" s="191"/>
      <c r="V580" s="191"/>
    </row>
    <row r="581" ht="15.75" customHeight="1">
      <c r="A581" s="191"/>
      <c r="B581" s="191"/>
      <c r="C581" s="191"/>
      <c r="D581" s="191"/>
      <c r="E581" s="191"/>
      <c r="F581" s="191"/>
      <c r="G581" s="191"/>
      <c r="H581" s="191"/>
      <c r="I581" s="191"/>
      <c r="J581" s="191"/>
      <c r="K581" s="191"/>
      <c r="L581" s="191"/>
      <c r="M581" s="191"/>
      <c r="N581" s="191"/>
      <c r="O581" s="191"/>
      <c r="P581" s="191"/>
      <c r="Q581" s="191"/>
      <c r="R581" s="191"/>
      <c r="S581" s="191"/>
      <c r="T581" s="191"/>
      <c r="U581" s="191"/>
      <c r="V581" s="191"/>
    </row>
    <row r="582" ht="15.75" customHeight="1">
      <c r="A582" s="191"/>
      <c r="B582" s="191"/>
      <c r="C582" s="191"/>
      <c r="D582" s="191"/>
      <c r="E582" s="191"/>
      <c r="F582" s="191"/>
      <c r="G582" s="191"/>
      <c r="H582" s="191"/>
      <c r="I582" s="191"/>
      <c r="J582" s="191"/>
      <c r="K582" s="191"/>
      <c r="L582" s="191"/>
      <c r="M582" s="191"/>
      <c r="N582" s="191"/>
      <c r="O582" s="191"/>
      <c r="P582" s="191"/>
      <c r="Q582" s="191"/>
      <c r="R582" s="191"/>
      <c r="S582" s="191"/>
      <c r="T582" s="191"/>
      <c r="U582" s="191"/>
      <c r="V582" s="191"/>
    </row>
    <row r="583" ht="15.75" customHeight="1">
      <c r="A583" s="191"/>
      <c r="B583" s="191"/>
      <c r="C583" s="191"/>
      <c r="D583" s="191"/>
      <c r="E583" s="191"/>
      <c r="F583" s="191"/>
      <c r="G583" s="191"/>
      <c r="H583" s="191"/>
      <c r="I583" s="191"/>
      <c r="J583" s="191"/>
      <c r="K583" s="191"/>
      <c r="L583" s="191"/>
      <c r="M583" s="191"/>
      <c r="N583" s="191"/>
      <c r="O583" s="191"/>
      <c r="P583" s="191"/>
      <c r="Q583" s="191"/>
      <c r="R583" s="191"/>
      <c r="S583" s="191"/>
      <c r="T583" s="191"/>
      <c r="U583" s="191"/>
      <c r="V583" s="191"/>
    </row>
    <row r="584" ht="15.75" customHeight="1">
      <c r="A584" s="191"/>
      <c r="B584" s="191"/>
      <c r="C584" s="191"/>
      <c r="D584" s="191"/>
      <c r="E584" s="191"/>
      <c r="F584" s="191"/>
      <c r="G584" s="191"/>
      <c r="H584" s="191"/>
      <c r="I584" s="191"/>
      <c r="J584" s="191"/>
      <c r="K584" s="191"/>
      <c r="L584" s="191"/>
      <c r="M584" s="191"/>
      <c r="N584" s="191"/>
      <c r="O584" s="191"/>
      <c r="P584" s="191"/>
      <c r="Q584" s="191"/>
      <c r="R584" s="191"/>
      <c r="S584" s="191"/>
      <c r="T584" s="191"/>
      <c r="U584" s="191"/>
      <c r="V584" s="191"/>
    </row>
    <row r="585" ht="15.75" customHeight="1">
      <c r="A585" s="191"/>
      <c r="B585" s="191"/>
      <c r="C585" s="191"/>
      <c r="D585" s="191"/>
      <c r="E585" s="191"/>
      <c r="F585" s="191"/>
      <c r="G585" s="191"/>
      <c r="H585" s="191"/>
      <c r="I585" s="191"/>
      <c r="J585" s="191"/>
      <c r="K585" s="191"/>
      <c r="L585" s="191"/>
      <c r="M585" s="191"/>
      <c r="N585" s="191"/>
      <c r="O585" s="191"/>
      <c r="P585" s="191"/>
      <c r="Q585" s="191"/>
      <c r="R585" s="191"/>
      <c r="S585" s="191"/>
      <c r="T585" s="191"/>
      <c r="U585" s="191"/>
      <c r="V585" s="191"/>
    </row>
    <row r="586" ht="15.75" customHeight="1">
      <c r="A586" s="191"/>
      <c r="B586" s="191"/>
      <c r="C586" s="191"/>
      <c r="D586" s="191"/>
      <c r="E586" s="191"/>
      <c r="F586" s="191"/>
      <c r="G586" s="191"/>
      <c r="H586" s="191"/>
      <c r="I586" s="191"/>
      <c r="J586" s="191"/>
      <c r="K586" s="191"/>
      <c r="L586" s="191"/>
      <c r="M586" s="191"/>
      <c r="N586" s="191"/>
      <c r="O586" s="191"/>
      <c r="P586" s="191"/>
      <c r="Q586" s="191"/>
      <c r="R586" s="191"/>
      <c r="S586" s="191"/>
      <c r="T586" s="191"/>
      <c r="U586" s="191"/>
      <c r="V586" s="191"/>
    </row>
    <row r="587" ht="15.75" customHeight="1">
      <c r="A587" s="191"/>
      <c r="B587" s="191"/>
      <c r="C587" s="191"/>
      <c r="D587" s="191"/>
      <c r="E587" s="191"/>
      <c r="F587" s="191"/>
      <c r="G587" s="191"/>
      <c r="H587" s="191"/>
      <c r="I587" s="191"/>
      <c r="J587" s="191"/>
      <c r="K587" s="191"/>
      <c r="L587" s="191"/>
      <c r="M587" s="191"/>
      <c r="N587" s="191"/>
      <c r="O587" s="191"/>
      <c r="P587" s="191"/>
      <c r="Q587" s="191"/>
      <c r="R587" s="191"/>
      <c r="S587" s="191"/>
      <c r="T587" s="191"/>
      <c r="U587" s="191"/>
      <c r="V587" s="191"/>
    </row>
    <row r="588" ht="15.75" customHeight="1">
      <c r="A588" s="191"/>
      <c r="B588" s="191"/>
      <c r="C588" s="191"/>
      <c r="D588" s="191"/>
      <c r="E588" s="191"/>
      <c r="F588" s="191"/>
      <c r="G588" s="191"/>
      <c r="H588" s="191"/>
      <c r="I588" s="191"/>
      <c r="J588" s="191"/>
      <c r="K588" s="191"/>
      <c r="L588" s="191"/>
      <c r="M588" s="191"/>
      <c r="N588" s="191"/>
      <c r="O588" s="191"/>
      <c r="P588" s="191"/>
      <c r="Q588" s="191"/>
      <c r="R588" s="191"/>
      <c r="S588" s="191"/>
      <c r="T588" s="191"/>
      <c r="U588" s="191"/>
      <c r="V588" s="191"/>
    </row>
    <row r="589" ht="15.75" customHeight="1">
      <c r="A589" s="191"/>
      <c r="B589" s="191"/>
      <c r="C589" s="191"/>
      <c r="D589" s="191"/>
      <c r="E589" s="191"/>
      <c r="F589" s="191"/>
      <c r="G589" s="191"/>
      <c r="H589" s="191"/>
      <c r="I589" s="191"/>
      <c r="J589" s="191"/>
      <c r="K589" s="191"/>
      <c r="L589" s="191"/>
      <c r="M589" s="191"/>
      <c r="N589" s="191"/>
      <c r="O589" s="191"/>
      <c r="P589" s="191"/>
      <c r="Q589" s="191"/>
      <c r="R589" s="191"/>
      <c r="S589" s="191"/>
      <c r="T589" s="191"/>
      <c r="U589" s="191"/>
      <c r="V589" s="191"/>
    </row>
    <row r="590" ht="15.75" customHeight="1">
      <c r="A590" s="191"/>
      <c r="B590" s="191"/>
      <c r="C590" s="191"/>
      <c r="D590" s="191"/>
      <c r="E590" s="191"/>
      <c r="F590" s="191"/>
      <c r="G590" s="191"/>
      <c r="H590" s="191"/>
      <c r="I590" s="191"/>
      <c r="J590" s="191"/>
      <c r="K590" s="191"/>
      <c r="L590" s="191"/>
      <c r="M590" s="191"/>
      <c r="N590" s="191"/>
      <c r="O590" s="191"/>
      <c r="P590" s="191"/>
      <c r="Q590" s="191"/>
      <c r="R590" s="191"/>
      <c r="S590" s="191"/>
      <c r="T590" s="191"/>
      <c r="U590" s="191"/>
      <c r="V590" s="191"/>
    </row>
    <row r="591" ht="15.75" customHeight="1">
      <c r="A591" s="191"/>
      <c r="B591" s="191"/>
      <c r="C591" s="191"/>
      <c r="D591" s="191"/>
      <c r="E591" s="191"/>
      <c r="F591" s="191"/>
      <c r="G591" s="191"/>
      <c r="H591" s="191"/>
      <c r="I591" s="191"/>
      <c r="J591" s="191"/>
      <c r="K591" s="191"/>
      <c r="L591" s="191"/>
      <c r="M591" s="191"/>
      <c r="N591" s="191"/>
      <c r="O591" s="191"/>
      <c r="P591" s="191"/>
      <c r="Q591" s="191"/>
      <c r="R591" s="191"/>
      <c r="S591" s="191"/>
      <c r="T591" s="191"/>
      <c r="U591" s="191"/>
      <c r="V591" s="191"/>
    </row>
    <row r="592" ht="15.75" customHeight="1">
      <c r="A592" s="191"/>
      <c r="B592" s="191"/>
      <c r="C592" s="191"/>
      <c r="D592" s="191"/>
      <c r="E592" s="191"/>
      <c r="F592" s="191"/>
      <c r="G592" s="191"/>
      <c r="H592" s="191"/>
      <c r="I592" s="191"/>
      <c r="J592" s="191"/>
      <c r="K592" s="191"/>
      <c r="L592" s="191"/>
      <c r="M592" s="191"/>
      <c r="N592" s="191"/>
      <c r="O592" s="191"/>
      <c r="P592" s="191"/>
      <c r="Q592" s="191"/>
      <c r="R592" s="191"/>
      <c r="S592" s="191"/>
      <c r="T592" s="191"/>
      <c r="U592" s="191"/>
      <c r="V592" s="191"/>
    </row>
    <row r="593" ht="15.75" customHeight="1">
      <c r="A593" s="191"/>
      <c r="B593" s="191"/>
      <c r="C593" s="191"/>
      <c r="D593" s="191"/>
      <c r="E593" s="191"/>
      <c r="F593" s="191"/>
      <c r="G593" s="191"/>
      <c r="H593" s="191"/>
      <c r="I593" s="191"/>
      <c r="J593" s="191"/>
      <c r="K593" s="191"/>
      <c r="L593" s="191"/>
      <c r="M593" s="191"/>
      <c r="N593" s="191"/>
      <c r="O593" s="191"/>
      <c r="P593" s="191"/>
      <c r="Q593" s="191"/>
      <c r="R593" s="191"/>
      <c r="S593" s="191"/>
      <c r="T593" s="191"/>
      <c r="U593" s="191"/>
      <c r="V593" s="191"/>
    </row>
    <row r="594" ht="15.75" customHeight="1">
      <c r="A594" s="191"/>
      <c r="B594" s="191"/>
      <c r="C594" s="191"/>
      <c r="D594" s="191"/>
      <c r="E594" s="191"/>
      <c r="F594" s="191"/>
      <c r="G594" s="191"/>
      <c r="H594" s="191"/>
      <c r="I594" s="191"/>
      <c r="J594" s="191"/>
      <c r="K594" s="191"/>
      <c r="L594" s="191"/>
      <c r="M594" s="191"/>
      <c r="N594" s="191"/>
      <c r="O594" s="191"/>
      <c r="P594" s="191"/>
      <c r="Q594" s="191"/>
      <c r="R594" s="191"/>
      <c r="S594" s="191"/>
      <c r="T594" s="191"/>
      <c r="U594" s="191"/>
      <c r="V594" s="191"/>
    </row>
    <row r="595" ht="15.75" customHeight="1">
      <c r="A595" s="191"/>
      <c r="B595" s="191"/>
      <c r="C595" s="191"/>
      <c r="D595" s="191"/>
      <c r="E595" s="191"/>
      <c r="F595" s="191"/>
      <c r="G595" s="191"/>
      <c r="H595" s="191"/>
      <c r="I595" s="191"/>
      <c r="J595" s="191"/>
      <c r="K595" s="191"/>
      <c r="L595" s="191"/>
      <c r="M595" s="191"/>
      <c r="N595" s="191"/>
      <c r="O595" s="191"/>
      <c r="P595" s="191"/>
      <c r="Q595" s="191"/>
      <c r="R595" s="191"/>
      <c r="S595" s="191"/>
      <c r="T595" s="191"/>
      <c r="U595" s="191"/>
      <c r="V595" s="191"/>
    </row>
    <row r="596" ht="15.75" customHeight="1">
      <c r="A596" s="191"/>
      <c r="B596" s="191"/>
      <c r="C596" s="191"/>
      <c r="D596" s="191"/>
      <c r="E596" s="191"/>
      <c r="F596" s="191"/>
      <c r="G596" s="191"/>
      <c r="H596" s="191"/>
      <c r="I596" s="191"/>
      <c r="J596" s="191"/>
      <c r="K596" s="191"/>
      <c r="L596" s="191"/>
      <c r="M596" s="191"/>
      <c r="N596" s="191"/>
      <c r="O596" s="191"/>
      <c r="P596" s="191"/>
      <c r="Q596" s="191"/>
      <c r="R596" s="191"/>
      <c r="S596" s="191"/>
      <c r="T596" s="191"/>
      <c r="U596" s="191"/>
      <c r="V596" s="191"/>
    </row>
    <row r="597" ht="15.75" customHeight="1">
      <c r="A597" s="191"/>
      <c r="B597" s="191"/>
      <c r="C597" s="191"/>
      <c r="D597" s="191"/>
      <c r="E597" s="191"/>
      <c r="F597" s="191"/>
      <c r="G597" s="191"/>
      <c r="H597" s="191"/>
      <c r="I597" s="191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</row>
    <row r="598" ht="15.75" customHeight="1">
      <c r="A598" s="191"/>
      <c r="B598" s="191"/>
      <c r="C598" s="191"/>
      <c r="D598" s="191"/>
      <c r="E598" s="191"/>
      <c r="F598" s="191"/>
      <c r="G598" s="191"/>
      <c r="H598" s="191"/>
      <c r="I598" s="191"/>
      <c r="J598" s="191"/>
      <c r="K598" s="191"/>
      <c r="L598" s="191"/>
      <c r="M598" s="191"/>
      <c r="N598" s="191"/>
      <c r="O598" s="191"/>
      <c r="P598" s="191"/>
      <c r="Q598" s="191"/>
      <c r="R598" s="191"/>
      <c r="S598" s="191"/>
      <c r="T598" s="191"/>
      <c r="U598" s="191"/>
      <c r="V598" s="191"/>
    </row>
    <row r="599" ht="15.75" customHeight="1">
      <c r="A599" s="191"/>
      <c r="B599" s="191"/>
      <c r="C599" s="191"/>
      <c r="D599" s="191"/>
      <c r="E599" s="191"/>
      <c r="F599" s="191"/>
      <c r="G599" s="191"/>
      <c r="H599" s="191"/>
      <c r="I599" s="191"/>
      <c r="J599" s="191"/>
      <c r="K599" s="191"/>
      <c r="L599" s="191"/>
      <c r="M599" s="191"/>
      <c r="N599" s="191"/>
      <c r="O599" s="191"/>
      <c r="P599" s="191"/>
      <c r="Q599" s="191"/>
      <c r="R599" s="191"/>
      <c r="S599" s="191"/>
      <c r="T599" s="191"/>
      <c r="U599" s="191"/>
      <c r="V599" s="191"/>
    </row>
    <row r="600" ht="15.75" customHeight="1">
      <c r="A600" s="191"/>
      <c r="B600" s="191"/>
      <c r="C600" s="191"/>
      <c r="D600" s="191"/>
      <c r="E600" s="191"/>
      <c r="F600" s="191"/>
      <c r="G600" s="191"/>
      <c r="H600" s="191"/>
      <c r="I600" s="191"/>
      <c r="J600" s="191"/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</row>
    <row r="601" ht="15.75" customHeight="1">
      <c r="A601" s="191"/>
      <c r="B601" s="191"/>
      <c r="C601" s="191"/>
      <c r="D601" s="191"/>
      <c r="E601" s="191"/>
      <c r="F601" s="191"/>
      <c r="G601" s="191"/>
      <c r="H601" s="191"/>
      <c r="I601" s="191"/>
      <c r="J601" s="191"/>
      <c r="K601" s="191"/>
      <c r="L601" s="191"/>
      <c r="M601" s="191"/>
      <c r="N601" s="191"/>
      <c r="O601" s="191"/>
      <c r="P601" s="191"/>
      <c r="Q601" s="191"/>
      <c r="R601" s="191"/>
      <c r="S601" s="191"/>
      <c r="T601" s="191"/>
      <c r="U601" s="191"/>
      <c r="V601" s="191"/>
    </row>
    <row r="602" ht="15.75" customHeight="1">
      <c r="A602" s="191"/>
      <c r="B602" s="191"/>
      <c r="C602" s="191"/>
      <c r="D602" s="191"/>
      <c r="E602" s="191"/>
      <c r="F602" s="191"/>
      <c r="G602" s="191"/>
      <c r="H602" s="191"/>
      <c r="I602" s="191"/>
      <c r="J602" s="191"/>
      <c r="K602" s="191"/>
      <c r="L602" s="191"/>
      <c r="M602" s="191"/>
      <c r="N602" s="191"/>
      <c r="O602" s="191"/>
      <c r="P602" s="191"/>
      <c r="Q602" s="191"/>
      <c r="R602" s="191"/>
      <c r="S602" s="191"/>
      <c r="T602" s="191"/>
      <c r="U602" s="191"/>
      <c r="V602" s="191"/>
    </row>
    <row r="603" ht="15.75" customHeight="1">
      <c r="A603" s="191"/>
      <c r="B603" s="191"/>
      <c r="C603" s="191"/>
      <c r="D603" s="191"/>
      <c r="E603" s="191"/>
      <c r="F603" s="191"/>
      <c r="G603" s="191"/>
      <c r="H603" s="191"/>
      <c r="I603" s="191"/>
      <c r="J603" s="191"/>
      <c r="K603" s="191"/>
      <c r="L603" s="191"/>
      <c r="M603" s="191"/>
      <c r="N603" s="191"/>
      <c r="O603" s="191"/>
      <c r="P603" s="191"/>
      <c r="Q603" s="191"/>
      <c r="R603" s="191"/>
      <c r="S603" s="191"/>
      <c r="T603" s="191"/>
      <c r="U603" s="191"/>
      <c r="V603" s="191"/>
    </row>
    <row r="604" ht="15.75" customHeight="1">
      <c r="A604" s="191"/>
      <c r="B604" s="191"/>
      <c r="C604" s="191"/>
      <c r="D604" s="191"/>
      <c r="E604" s="191"/>
      <c r="F604" s="191"/>
      <c r="G604" s="191"/>
      <c r="H604" s="191"/>
      <c r="I604" s="191"/>
      <c r="J604" s="191"/>
      <c r="K604" s="191"/>
      <c r="L604" s="191"/>
      <c r="M604" s="191"/>
      <c r="N604" s="191"/>
      <c r="O604" s="191"/>
      <c r="P604" s="191"/>
      <c r="Q604" s="191"/>
      <c r="R604" s="191"/>
      <c r="S604" s="191"/>
      <c r="T604" s="191"/>
      <c r="U604" s="191"/>
      <c r="V604" s="191"/>
    </row>
    <row r="605" ht="15.75" customHeight="1">
      <c r="A605" s="191"/>
      <c r="B605" s="191"/>
      <c r="C605" s="191"/>
      <c r="D605" s="191"/>
      <c r="E605" s="191"/>
      <c r="F605" s="191"/>
      <c r="G605" s="191"/>
      <c r="H605" s="191"/>
      <c r="I605" s="191"/>
      <c r="J605" s="191"/>
      <c r="K605" s="191"/>
      <c r="L605" s="191"/>
      <c r="M605" s="191"/>
      <c r="N605" s="191"/>
      <c r="O605" s="191"/>
      <c r="P605" s="191"/>
      <c r="Q605" s="191"/>
      <c r="R605" s="191"/>
      <c r="S605" s="191"/>
      <c r="T605" s="191"/>
      <c r="U605" s="191"/>
      <c r="V605" s="191"/>
    </row>
    <row r="606" ht="15.75" customHeight="1">
      <c r="A606" s="191"/>
      <c r="B606" s="191"/>
      <c r="C606" s="191"/>
      <c r="D606" s="191"/>
      <c r="E606" s="191"/>
      <c r="F606" s="191"/>
      <c r="G606" s="191"/>
      <c r="H606" s="191"/>
      <c r="I606" s="191"/>
      <c r="J606" s="191"/>
      <c r="K606" s="191"/>
      <c r="L606" s="191"/>
      <c r="M606" s="191"/>
      <c r="N606" s="191"/>
      <c r="O606" s="191"/>
      <c r="P606" s="191"/>
      <c r="Q606" s="191"/>
      <c r="R606" s="191"/>
      <c r="S606" s="191"/>
      <c r="T606" s="191"/>
      <c r="U606" s="191"/>
      <c r="V606" s="191"/>
    </row>
    <row r="607" ht="15.75" customHeight="1">
      <c r="A607" s="191"/>
      <c r="B607" s="191"/>
      <c r="C607" s="191"/>
      <c r="D607" s="191"/>
      <c r="E607" s="191"/>
      <c r="F607" s="191"/>
      <c r="G607" s="191"/>
      <c r="H607" s="191"/>
      <c r="I607" s="191"/>
      <c r="J607" s="191"/>
      <c r="K607" s="191"/>
      <c r="L607" s="191"/>
      <c r="M607" s="191"/>
      <c r="N607" s="191"/>
      <c r="O607" s="191"/>
      <c r="P607" s="191"/>
      <c r="Q607" s="191"/>
      <c r="R607" s="191"/>
      <c r="S607" s="191"/>
      <c r="T607" s="191"/>
      <c r="U607" s="191"/>
      <c r="V607" s="191"/>
    </row>
    <row r="608" ht="15.75" customHeight="1">
      <c r="A608" s="191"/>
      <c r="B608" s="191"/>
      <c r="C608" s="191"/>
      <c r="D608" s="191"/>
      <c r="E608" s="191"/>
      <c r="F608" s="191"/>
      <c r="G608" s="191"/>
      <c r="H608" s="191"/>
      <c r="I608" s="191"/>
      <c r="J608" s="191"/>
      <c r="K608" s="191"/>
      <c r="L608" s="191"/>
      <c r="M608" s="191"/>
      <c r="N608" s="191"/>
      <c r="O608" s="191"/>
      <c r="P608" s="191"/>
      <c r="Q608" s="191"/>
      <c r="R608" s="191"/>
      <c r="S608" s="191"/>
      <c r="T608" s="191"/>
      <c r="U608" s="191"/>
      <c r="V608" s="191"/>
    </row>
    <row r="609" ht="15.75" customHeight="1">
      <c r="A609" s="191"/>
      <c r="B609" s="191"/>
      <c r="C609" s="191"/>
      <c r="D609" s="191"/>
      <c r="E609" s="191"/>
      <c r="F609" s="191"/>
      <c r="G609" s="191"/>
      <c r="H609" s="191"/>
      <c r="I609" s="191"/>
      <c r="J609" s="191"/>
      <c r="K609" s="191"/>
      <c r="L609" s="191"/>
      <c r="M609" s="191"/>
      <c r="N609" s="191"/>
      <c r="O609" s="191"/>
      <c r="P609" s="191"/>
      <c r="Q609" s="191"/>
      <c r="R609" s="191"/>
      <c r="S609" s="191"/>
      <c r="T609" s="191"/>
      <c r="U609" s="191"/>
      <c r="V609" s="191"/>
    </row>
    <row r="610" ht="15.75" customHeight="1">
      <c r="A610" s="191"/>
      <c r="B610" s="191"/>
      <c r="C610" s="191"/>
      <c r="D610" s="191"/>
      <c r="E610" s="191"/>
      <c r="F610" s="191"/>
      <c r="G610" s="191"/>
      <c r="H610" s="191"/>
      <c r="I610" s="191"/>
      <c r="J610" s="191"/>
      <c r="K610" s="191"/>
      <c r="L610" s="191"/>
      <c r="M610" s="191"/>
      <c r="N610" s="191"/>
      <c r="O610" s="191"/>
      <c r="P610" s="191"/>
      <c r="Q610" s="191"/>
      <c r="R610" s="191"/>
      <c r="S610" s="191"/>
      <c r="T610" s="191"/>
      <c r="U610" s="191"/>
      <c r="V610" s="191"/>
    </row>
    <row r="611" ht="15.75" customHeight="1">
      <c r="A611" s="191"/>
      <c r="B611" s="191"/>
      <c r="C611" s="191"/>
      <c r="D611" s="191"/>
      <c r="E611" s="191"/>
      <c r="F611" s="191"/>
      <c r="G611" s="191"/>
      <c r="H611" s="191"/>
      <c r="I611" s="191"/>
      <c r="J611" s="191"/>
      <c r="K611" s="191"/>
      <c r="L611" s="191"/>
      <c r="M611" s="191"/>
      <c r="N611" s="191"/>
      <c r="O611" s="191"/>
      <c r="P611" s="191"/>
      <c r="Q611" s="191"/>
      <c r="R611" s="191"/>
      <c r="S611" s="191"/>
      <c r="T611" s="191"/>
      <c r="U611" s="191"/>
      <c r="V611" s="191"/>
    </row>
    <row r="612" ht="15.75" customHeight="1">
      <c r="A612" s="191"/>
      <c r="B612" s="191"/>
      <c r="C612" s="191"/>
      <c r="D612" s="191"/>
      <c r="E612" s="191"/>
      <c r="F612" s="191"/>
      <c r="G612" s="191"/>
      <c r="H612" s="191"/>
      <c r="I612" s="191"/>
      <c r="J612" s="191"/>
      <c r="K612" s="191"/>
      <c r="L612" s="191"/>
      <c r="M612" s="191"/>
      <c r="N612" s="191"/>
      <c r="O612" s="191"/>
      <c r="P612" s="191"/>
      <c r="Q612" s="191"/>
      <c r="R612" s="191"/>
      <c r="S612" s="191"/>
      <c r="T612" s="191"/>
      <c r="U612" s="191"/>
      <c r="V612" s="191"/>
    </row>
    <row r="613" ht="15.75" customHeight="1">
      <c r="A613" s="191"/>
      <c r="B613" s="191"/>
      <c r="C613" s="191"/>
      <c r="D613" s="191"/>
      <c r="E613" s="191"/>
      <c r="F613" s="191"/>
      <c r="G613" s="191"/>
      <c r="H613" s="191"/>
      <c r="I613" s="191"/>
      <c r="J613" s="191"/>
      <c r="K613" s="191"/>
      <c r="L613" s="191"/>
      <c r="M613" s="191"/>
      <c r="N613" s="191"/>
      <c r="O613" s="191"/>
      <c r="P613" s="191"/>
      <c r="Q613" s="191"/>
      <c r="R613" s="191"/>
      <c r="S613" s="191"/>
      <c r="T613" s="191"/>
      <c r="U613" s="191"/>
      <c r="V613" s="191"/>
    </row>
    <row r="614" ht="15.75" customHeight="1">
      <c r="A614" s="191"/>
      <c r="B614" s="191"/>
      <c r="C614" s="191"/>
      <c r="D614" s="191"/>
      <c r="E614" s="191"/>
      <c r="F614" s="191"/>
      <c r="G614" s="191"/>
      <c r="H614" s="191"/>
      <c r="I614" s="191"/>
      <c r="J614" s="191"/>
      <c r="K614" s="191"/>
      <c r="L614" s="191"/>
      <c r="M614" s="191"/>
      <c r="N614" s="191"/>
      <c r="O614" s="191"/>
      <c r="P614" s="191"/>
      <c r="Q614" s="191"/>
      <c r="R614" s="191"/>
      <c r="S614" s="191"/>
      <c r="T614" s="191"/>
      <c r="U614" s="191"/>
      <c r="V614" s="191"/>
    </row>
    <row r="615" ht="15.75" customHeight="1">
      <c r="A615" s="191"/>
      <c r="B615" s="191"/>
      <c r="C615" s="191"/>
      <c r="D615" s="191"/>
      <c r="E615" s="191"/>
      <c r="F615" s="191"/>
      <c r="G615" s="191"/>
      <c r="H615" s="191"/>
      <c r="I615" s="191"/>
      <c r="J615" s="191"/>
      <c r="K615" s="191"/>
      <c r="L615" s="191"/>
      <c r="M615" s="191"/>
      <c r="N615" s="191"/>
      <c r="O615" s="191"/>
      <c r="P615" s="191"/>
      <c r="Q615" s="191"/>
      <c r="R615" s="191"/>
      <c r="S615" s="191"/>
      <c r="T615" s="191"/>
      <c r="U615" s="191"/>
      <c r="V615" s="191"/>
    </row>
    <row r="616" ht="15.75" customHeight="1">
      <c r="A616" s="191"/>
      <c r="B616" s="191"/>
      <c r="C616" s="191"/>
      <c r="D616" s="191"/>
      <c r="E616" s="191"/>
      <c r="F616" s="191"/>
      <c r="G616" s="191"/>
      <c r="H616" s="191"/>
      <c r="I616" s="191"/>
      <c r="J616" s="191"/>
      <c r="K616" s="191"/>
      <c r="L616" s="191"/>
      <c r="M616" s="191"/>
      <c r="N616" s="191"/>
      <c r="O616" s="191"/>
      <c r="P616" s="191"/>
      <c r="Q616" s="191"/>
      <c r="R616" s="191"/>
      <c r="S616" s="191"/>
      <c r="T616" s="191"/>
      <c r="U616" s="191"/>
      <c r="V616" s="191"/>
    </row>
    <row r="617" ht="15.75" customHeight="1">
      <c r="A617" s="191"/>
      <c r="B617" s="191"/>
      <c r="C617" s="191"/>
      <c r="D617" s="191"/>
      <c r="E617" s="191"/>
      <c r="F617" s="191"/>
      <c r="G617" s="191"/>
      <c r="H617" s="191"/>
      <c r="I617" s="191"/>
      <c r="J617" s="191"/>
      <c r="K617" s="191"/>
      <c r="L617" s="191"/>
      <c r="M617" s="191"/>
      <c r="N617" s="191"/>
      <c r="O617" s="191"/>
      <c r="P617" s="191"/>
      <c r="Q617" s="191"/>
      <c r="R617" s="191"/>
      <c r="S617" s="191"/>
      <c r="T617" s="191"/>
      <c r="U617" s="191"/>
      <c r="V617" s="191"/>
    </row>
    <row r="618" ht="15.75" customHeight="1">
      <c r="A618" s="191"/>
      <c r="B618" s="191"/>
      <c r="C618" s="191"/>
      <c r="D618" s="191"/>
      <c r="E618" s="191"/>
      <c r="F618" s="191"/>
      <c r="G618" s="191"/>
      <c r="H618" s="191"/>
      <c r="I618" s="191"/>
      <c r="J618" s="191"/>
      <c r="K618" s="191"/>
      <c r="L618" s="191"/>
      <c r="M618" s="191"/>
      <c r="N618" s="191"/>
      <c r="O618" s="191"/>
      <c r="P618" s="191"/>
      <c r="Q618" s="191"/>
      <c r="R618" s="191"/>
      <c r="S618" s="191"/>
      <c r="T618" s="191"/>
      <c r="U618" s="191"/>
      <c r="V618" s="191"/>
    </row>
    <row r="619" ht="15.75" customHeight="1">
      <c r="A619" s="191"/>
      <c r="B619" s="191"/>
      <c r="C619" s="191"/>
      <c r="D619" s="191"/>
      <c r="E619" s="191"/>
      <c r="F619" s="191"/>
      <c r="G619" s="191"/>
      <c r="H619" s="191"/>
      <c r="I619" s="191"/>
      <c r="J619" s="191"/>
      <c r="K619" s="191"/>
      <c r="L619" s="191"/>
      <c r="M619" s="191"/>
      <c r="N619" s="191"/>
      <c r="O619" s="191"/>
      <c r="P619" s="191"/>
      <c r="Q619" s="191"/>
      <c r="R619" s="191"/>
      <c r="S619" s="191"/>
      <c r="T619" s="191"/>
      <c r="U619" s="191"/>
      <c r="V619" s="191"/>
    </row>
    <row r="620" ht="15.75" customHeight="1">
      <c r="A620" s="191"/>
      <c r="B620" s="191"/>
      <c r="C620" s="191"/>
      <c r="D620" s="191"/>
      <c r="E620" s="191"/>
      <c r="F620" s="191"/>
      <c r="G620" s="191"/>
      <c r="H620" s="191"/>
      <c r="I620" s="191"/>
      <c r="J620" s="191"/>
      <c r="K620" s="191"/>
      <c r="L620" s="191"/>
      <c r="M620" s="191"/>
      <c r="N620" s="191"/>
      <c r="O620" s="191"/>
      <c r="P620" s="191"/>
      <c r="Q620" s="191"/>
      <c r="R620" s="191"/>
      <c r="S620" s="191"/>
      <c r="T620" s="191"/>
      <c r="U620" s="191"/>
      <c r="V620" s="191"/>
    </row>
    <row r="621" ht="15.75" customHeight="1">
      <c r="A621" s="191"/>
      <c r="B621" s="191"/>
      <c r="C621" s="191"/>
      <c r="D621" s="191"/>
      <c r="E621" s="191"/>
      <c r="F621" s="191"/>
      <c r="G621" s="191"/>
      <c r="H621" s="191"/>
      <c r="I621" s="191"/>
      <c r="J621" s="191"/>
      <c r="K621" s="191"/>
      <c r="L621" s="191"/>
      <c r="M621" s="191"/>
      <c r="N621" s="191"/>
      <c r="O621" s="191"/>
      <c r="P621" s="191"/>
      <c r="Q621" s="191"/>
      <c r="R621" s="191"/>
      <c r="S621" s="191"/>
      <c r="T621" s="191"/>
      <c r="U621" s="191"/>
      <c r="V621" s="191"/>
    </row>
    <row r="622" ht="15.75" customHeight="1">
      <c r="A622" s="191"/>
      <c r="B622" s="191"/>
      <c r="C622" s="191"/>
      <c r="D622" s="191"/>
      <c r="E622" s="191"/>
      <c r="F622" s="191"/>
      <c r="G622" s="191"/>
      <c r="H622" s="191"/>
      <c r="I622" s="191"/>
      <c r="J622" s="191"/>
      <c r="K622" s="191"/>
      <c r="L622" s="191"/>
      <c r="M622" s="191"/>
      <c r="N622" s="191"/>
      <c r="O622" s="191"/>
      <c r="P622" s="191"/>
      <c r="Q622" s="191"/>
      <c r="R622" s="191"/>
      <c r="S622" s="191"/>
      <c r="T622" s="191"/>
      <c r="U622" s="191"/>
      <c r="V622" s="191"/>
    </row>
    <row r="623" ht="15.75" customHeight="1">
      <c r="A623" s="191"/>
      <c r="B623" s="191"/>
      <c r="C623" s="191"/>
      <c r="D623" s="191"/>
      <c r="E623" s="191"/>
      <c r="F623" s="191"/>
      <c r="G623" s="191"/>
      <c r="H623" s="191"/>
      <c r="I623" s="191"/>
      <c r="J623" s="191"/>
      <c r="K623" s="191"/>
      <c r="L623" s="191"/>
      <c r="M623" s="191"/>
      <c r="N623" s="191"/>
      <c r="O623" s="191"/>
      <c r="P623" s="191"/>
      <c r="Q623" s="191"/>
      <c r="R623" s="191"/>
      <c r="S623" s="191"/>
      <c r="T623" s="191"/>
      <c r="U623" s="191"/>
      <c r="V623" s="191"/>
    </row>
    <row r="624" ht="15.75" customHeight="1">
      <c r="A624" s="191"/>
      <c r="B624" s="191"/>
      <c r="C624" s="191"/>
      <c r="D624" s="191"/>
      <c r="E624" s="191"/>
      <c r="F624" s="191"/>
      <c r="G624" s="191"/>
      <c r="H624" s="191"/>
      <c r="I624" s="191"/>
      <c r="J624" s="191"/>
      <c r="K624" s="191"/>
      <c r="L624" s="191"/>
      <c r="M624" s="191"/>
      <c r="N624" s="191"/>
      <c r="O624" s="191"/>
      <c r="P624" s="191"/>
      <c r="Q624" s="191"/>
      <c r="R624" s="191"/>
      <c r="S624" s="191"/>
      <c r="T624" s="191"/>
      <c r="U624" s="191"/>
      <c r="V624" s="191"/>
    </row>
    <row r="625" ht="15.75" customHeight="1">
      <c r="A625" s="191"/>
      <c r="B625" s="191"/>
      <c r="C625" s="191"/>
      <c r="D625" s="191"/>
      <c r="E625" s="191"/>
      <c r="F625" s="191"/>
      <c r="G625" s="191"/>
      <c r="H625" s="191"/>
      <c r="I625" s="191"/>
      <c r="J625" s="191"/>
      <c r="K625" s="191"/>
      <c r="L625" s="191"/>
      <c r="M625" s="191"/>
      <c r="N625" s="191"/>
      <c r="O625" s="191"/>
      <c r="P625" s="191"/>
      <c r="Q625" s="191"/>
      <c r="R625" s="191"/>
      <c r="S625" s="191"/>
      <c r="T625" s="191"/>
      <c r="U625" s="191"/>
      <c r="V625" s="191"/>
    </row>
    <row r="626" ht="15.75" customHeight="1">
      <c r="A626" s="191"/>
      <c r="B626" s="191"/>
      <c r="C626" s="191"/>
      <c r="D626" s="191"/>
      <c r="E626" s="191"/>
      <c r="F626" s="191"/>
      <c r="G626" s="191"/>
      <c r="H626" s="191"/>
      <c r="I626" s="191"/>
      <c r="J626" s="191"/>
      <c r="K626" s="191"/>
      <c r="L626" s="191"/>
      <c r="M626" s="191"/>
      <c r="N626" s="191"/>
      <c r="O626" s="191"/>
      <c r="P626" s="191"/>
      <c r="Q626" s="191"/>
      <c r="R626" s="191"/>
      <c r="S626" s="191"/>
      <c r="T626" s="191"/>
      <c r="U626" s="191"/>
      <c r="V626" s="191"/>
    </row>
    <row r="627" ht="15.75" customHeight="1">
      <c r="A627" s="191"/>
      <c r="B627" s="191"/>
      <c r="C627" s="191"/>
      <c r="D627" s="191"/>
      <c r="E627" s="191"/>
      <c r="F627" s="191"/>
      <c r="G627" s="191"/>
      <c r="H627" s="191"/>
      <c r="I627" s="191"/>
      <c r="J627" s="191"/>
      <c r="K627" s="191"/>
      <c r="L627" s="191"/>
      <c r="M627" s="191"/>
      <c r="N627" s="191"/>
      <c r="O627" s="191"/>
      <c r="P627" s="191"/>
      <c r="Q627" s="191"/>
      <c r="R627" s="191"/>
      <c r="S627" s="191"/>
      <c r="T627" s="191"/>
      <c r="U627" s="191"/>
      <c r="V627" s="191"/>
    </row>
    <row r="628" ht="15.75" customHeight="1">
      <c r="A628" s="191"/>
      <c r="B628" s="191"/>
      <c r="C628" s="191"/>
      <c r="D628" s="191"/>
      <c r="E628" s="191"/>
      <c r="F628" s="191"/>
      <c r="G628" s="191"/>
      <c r="H628" s="191"/>
      <c r="I628" s="191"/>
      <c r="J628" s="191"/>
      <c r="K628" s="191"/>
      <c r="L628" s="191"/>
      <c r="M628" s="191"/>
      <c r="N628" s="191"/>
      <c r="O628" s="191"/>
      <c r="P628" s="191"/>
      <c r="Q628" s="191"/>
      <c r="R628" s="191"/>
      <c r="S628" s="191"/>
      <c r="T628" s="191"/>
      <c r="U628" s="191"/>
      <c r="V628" s="191"/>
    </row>
    <row r="629" ht="15.75" customHeight="1">
      <c r="A629" s="191"/>
      <c r="B629" s="191"/>
      <c r="C629" s="191"/>
      <c r="D629" s="191"/>
      <c r="E629" s="191"/>
      <c r="F629" s="191"/>
      <c r="G629" s="191"/>
      <c r="H629" s="191"/>
      <c r="I629" s="191"/>
      <c r="J629" s="191"/>
      <c r="K629" s="191"/>
      <c r="L629" s="191"/>
      <c r="M629" s="191"/>
      <c r="N629" s="191"/>
      <c r="O629" s="191"/>
      <c r="P629" s="191"/>
      <c r="Q629" s="191"/>
      <c r="R629" s="191"/>
      <c r="S629" s="191"/>
      <c r="T629" s="191"/>
      <c r="U629" s="191"/>
      <c r="V629" s="191"/>
    </row>
    <row r="630" ht="15.75" customHeight="1">
      <c r="A630" s="191"/>
      <c r="B630" s="191"/>
      <c r="C630" s="191"/>
      <c r="D630" s="191"/>
      <c r="E630" s="191"/>
      <c r="F630" s="191"/>
      <c r="G630" s="191"/>
      <c r="H630" s="191"/>
      <c r="I630" s="191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T630" s="191"/>
      <c r="U630" s="191"/>
      <c r="V630" s="191"/>
    </row>
    <row r="631" ht="15.75" customHeight="1">
      <c r="A631" s="191"/>
      <c r="B631" s="191"/>
      <c r="C631" s="191"/>
      <c r="D631" s="191"/>
      <c r="E631" s="191"/>
      <c r="F631" s="191"/>
      <c r="G631" s="191"/>
      <c r="H631" s="191"/>
      <c r="I631" s="191"/>
      <c r="J631" s="191"/>
      <c r="K631" s="191"/>
      <c r="L631" s="191"/>
      <c r="M631" s="191"/>
      <c r="N631" s="191"/>
      <c r="O631" s="191"/>
      <c r="P631" s="191"/>
      <c r="Q631" s="191"/>
      <c r="R631" s="191"/>
      <c r="S631" s="191"/>
      <c r="T631" s="191"/>
      <c r="U631" s="191"/>
      <c r="V631" s="191"/>
    </row>
    <row r="632" ht="15.75" customHeight="1">
      <c r="A632" s="191"/>
      <c r="B632" s="191"/>
      <c r="C632" s="191"/>
      <c r="D632" s="191"/>
      <c r="E632" s="191"/>
      <c r="F632" s="191"/>
      <c r="G632" s="191"/>
      <c r="H632" s="191"/>
      <c r="I632" s="191"/>
      <c r="J632" s="191"/>
      <c r="K632" s="191"/>
      <c r="L632" s="191"/>
      <c r="M632" s="191"/>
      <c r="N632" s="191"/>
      <c r="O632" s="191"/>
      <c r="P632" s="191"/>
      <c r="Q632" s="191"/>
      <c r="R632" s="191"/>
      <c r="S632" s="191"/>
      <c r="T632" s="191"/>
      <c r="U632" s="191"/>
      <c r="V632" s="191"/>
    </row>
    <row r="633" ht="15.75" customHeight="1">
      <c r="A633" s="191"/>
      <c r="B633" s="191"/>
      <c r="C633" s="191"/>
      <c r="D633" s="191"/>
      <c r="E633" s="191"/>
      <c r="F633" s="191"/>
      <c r="G633" s="191"/>
      <c r="H633" s="191"/>
      <c r="I633" s="191"/>
      <c r="J633" s="191"/>
      <c r="K633" s="191"/>
      <c r="L633" s="191"/>
      <c r="M633" s="191"/>
      <c r="N633" s="191"/>
      <c r="O633" s="191"/>
      <c r="P633" s="191"/>
      <c r="Q633" s="191"/>
      <c r="R633" s="191"/>
      <c r="S633" s="191"/>
      <c r="T633" s="191"/>
      <c r="U633" s="191"/>
      <c r="V633" s="191"/>
    </row>
    <row r="634" ht="15.75" customHeight="1">
      <c r="A634" s="191"/>
      <c r="B634" s="191"/>
      <c r="C634" s="191"/>
      <c r="D634" s="191"/>
      <c r="E634" s="191"/>
      <c r="F634" s="191"/>
      <c r="G634" s="191"/>
      <c r="H634" s="191"/>
      <c r="I634" s="191"/>
      <c r="J634" s="191"/>
      <c r="K634" s="191"/>
      <c r="L634" s="191"/>
      <c r="M634" s="191"/>
      <c r="N634" s="191"/>
      <c r="O634" s="191"/>
      <c r="P634" s="191"/>
      <c r="Q634" s="191"/>
      <c r="R634" s="191"/>
      <c r="S634" s="191"/>
      <c r="T634" s="191"/>
      <c r="U634" s="191"/>
      <c r="V634" s="191"/>
    </row>
    <row r="635" ht="15.75" customHeight="1">
      <c r="A635" s="191"/>
      <c r="B635" s="191"/>
      <c r="C635" s="191"/>
      <c r="D635" s="191"/>
      <c r="E635" s="191"/>
      <c r="F635" s="191"/>
      <c r="G635" s="191"/>
      <c r="H635" s="191"/>
      <c r="I635" s="191"/>
      <c r="J635" s="191"/>
      <c r="K635" s="191"/>
      <c r="L635" s="191"/>
      <c r="M635" s="191"/>
      <c r="N635" s="191"/>
      <c r="O635" s="191"/>
      <c r="P635" s="191"/>
      <c r="Q635" s="191"/>
      <c r="R635" s="191"/>
      <c r="S635" s="191"/>
      <c r="T635" s="191"/>
      <c r="U635" s="191"/>
      <c r="V635" s="191"/>
    </row>
    <row r="636" ht="15.75" customHeight="1">
      <c r="A636" s="191"/>
      <c r="B636" s="191"/>
      <c r="C636" s="191"/>
      <c r="D636" s="191"/>
      <c r="E636" s="191"/>
      <c r="F636" s="191"/>
      <c r="G636" s="191"/>
      <c r="H636" s="191"/>
      <c r="I636" s="191"/>
      <c r="J636" s="191"/>
      <c r="K636" s="191"/>
      <c r="L636" s="191"/>
      <c r="M636" s="191"/>
      <c r="N636" s="191"/>
      <c r="O636" s="191"/>
      <c r="P636" s="191"/>
      <c r="Q636" s="191"/>
      <c r="R636" s="191"/>
      <c r="S636" s="191"/>
      <c r="T636" s="191"/>
      <c r="U636" s="191"/>
      <c r="V636" s="191"/>
    </row>
    <row r="637" ht="15.75" customHeight="1">
      <c r="A637" s="191"/>
      <c r="B637" s="191"/>
      <c r="C637" s="191"/>
      <c r="D637" s="191"/>
      <c r="E637" s="191"/>
      <c r="F637" s="191"/>
      <c r="G637" s="191"/>
      <c r="H637" s="191"/>
      <c r="I637" s="191"/>
      <c r="J637" s="191"/>
      <c r="K637" s="191"/>
      <c r="L637" s="191"/>
      <c r="M637" s="191"/>
      <c r="N637" s="191"/>
      <c r="O637" s="191"/>
      <c r="P637" s="191"/>
      <c r="Q637" s="191"/>
      <c r="R637" s="191"/>
      <c r="S637" s="191"/>
      <c r="T637" s="191"/>
      <c r="U637" s="191"/>
      <c r="V637" s="191"/>
    </row>
    <row r="638" ht="15.75" customHeight="1">
      <c r="A638" s="191"/>
      <c r="B638" s="191"/>
      <c r="C638" s="191"/>
      <c r="D638" s="191"/>
      <c r="E638" s="191"/>
      <c r="F638" s="191"/>
      <c r="G638" s="191"/>
      <c r="H638" s="191"/>
      <c r="I638" s="191"/>
      <c r="J638" s="191"/>
      <c r="K638" s="191"/>
      <c r="L638" s="191"/>
      <c r="M638" s="191"/>
      <c r="N638" s="191"/>
      <c r="O638" s="191"/>
      <c r="P638" s="191"/>
      <c r="Q638" s="191"/>
      <c r="R638" s="191"/>
      <c r="S638" s="191"/>
      <c r="T638" s="191"/>
      <c r="U638" s="191"/>
      <c r="V638" s="191"/>
    </row>
    <row r="639" ht="15.75" customHeight="1">
      <c r="A639" s="191"/>
      <c r="B639" s="191"/>
      <c r="C639" s="191"/>
      <c r="D639" s="191"/>
      <c r="E639" s="191"/>
      <c r="F639" s="191"/>
      <c r="G639" s="191"/>
      <c r="H639" s="191"/>
      <c r="I639" s="191"/>
      <c r="J639" s="191"/>
      <c r="K639" s="191"/>
      <c r="L639" s="191"/>
      <c r="M639" s="191"/>
      <c r="N639" s="191"/>
      <c r="O639" s="191"/>
      <c r="P639" s="191"/>
      <c r="Q639" s="191"/>
      <c r="R639" s="191"/>
      <c r="S639" s="191"/>
      <c r="T639" s="191"/>
      <c r="U639" s="191"/>
      <c r="V639" s="191"/>
    </row>
    <row r="640" ht="15.75" customHeight="1">
      <c r="A640" s="191"/>
      <c r="B640" s="191"/>
      <c r="C640" s="191"/>
      <c r="D640" s="191"/>
      <c r="E640" s="191"/>
      <c r="F640" s="191"/>
      <c r="G640" s="191"/>
      <c r="H640" s="191"/>
      <c r="I640" s="191"/>
      <c r="J640" s="191"/>
      <c r="K640" s="191"/>
      <c r="L640" s="191"/>
      <c r="M640" s="191"/>
      <c r="N640" s="191"/>
      <c r="O640" s="191"/>
      <c r="P640" s="191"/>
      <c r="Q640" s="191"/>
      <c r="R640" s="191"/>
      <c r="S640" s="191"/>
      <c r="T640" s="191"/>
      <c r="U640" s="191"/>
      <c r="V640" s="191"/>
    </row>
    <row r="641" ht="15.75" customHeight="1">
      <c r="A641" s="191"/>
      <c r="B641" s="191"/>
      <c r="C641" s="191"/>
      <c r="D641" s="191"/>
      <c r="E641" s="191"/>
      <c r="F641" s="191"/>
      <c r="G641" s="191"/>
      <c r="H641" s="191"/>
      <c r="I641" s="191"/>
      <c r="J641" s="191"/>
      <c r="K641" s="191"/>
      <c r="L641" s="191"/>
      <c r="M641" s="191"/>
      <c r="N641" s="191"/>
      <c r="O641" s="191"/>
      <c r="P641" s="191"/>
      <c r="Q641" s="191"/>
      <c r="R641" s="191"/>
      <c r="S641" s="191"/>
      <c r="T641" s="191"/>
      <c r="U641" s="191"/>
      <c r="V641" s="191"/>
    </row>
    <row r="642" ht="15.75" customHeight="1">
      <c r="A642" s="191"/>
      <c r="B642" s="191"/>
      <c r="C642" s="191"/>
      <c r="D642" s="191"/>
      <c r="E642" s="191"/>
      <c r="F642" s="191"/>
      <c r="G642" s="191"/>
      <c r="H642" s="191"/>
      <c r="I642" s="191"/>
      <c r="J642" s="191"/>
      <c r="K642" s="191"/>
      <c r="L642" s="191"/>
      <c r="M642" s="191"/>
      <c r="N642" s="191"/>
      <c r="O642" s="191"/>
      <c r="P642" s="191"/>
      <c r="Q642" s="191"/>
      <c r="R642" s="191"/>
      <c r="S642" s="191"/>
      <c r="T642" s="191"/>
      <c r="U642" s="191"/>
      <c r="V642" s="191"/>
    </row>
    <row r="643" ht="15.75" customHeight="1">
      <c r="A643" s="191"/>
      <c r="B643" s="191"/>
      <c r="C643" s="191"/>
      <c r="D643" s="191"/>
      <c r="E643" s="191"/>
      <c r="F643" s="191"/>
      <c r="G643" s="191"/>
      <c r="H643" s="191"/>
      <c r="I643" s="191"/>
      <c r="J643" s="191"/>
      <c r="K643" s="191"/>
      <c r="L643" s="191"/>
      <c r="M643" s="191"/>
      <c r="N643" s="191"/>
      <c r="O643" s="191"/>
      <c r="P643" s="191"/>
      <c r="Q643" s="191"/>
      <c r="R643" s="191"/>
      <c r="S643" s="191"/>
      <c r="T643" s="191"/>
      <c r="U643" s="191"/>
      <c r="V643" s="191"/>
    </row>
    <row r="644" ht="15.75" customHeight="1">
      <c r="A644" s="191"/>
      <c r="B644" s="191"/>
      <c r="C644" s="191"/>
      <c r="D644" s="191"/>
      <c r="E644" s="191"/>
      <c r="F644" s="191"/>
      <c r="G644" s="191"/>
      <c r="H644" s="191"/>
      <c r="I644" s="191"/>
      <c r="J644" s="191"/>
      <c r="K644" s="191"/>
      <c r="L644" s="191"/>
      <c r="M644" s="191"/>
      <c r="N644" s="191"/>
      <c r="O644" s="191"/>
      <c r="P644" s="191"/>
      <c r="Q644" s="191"/>
      <c r="R644" s="191"/>
      <c r="S644" s="191"/>
      <c r="T644" s="191"/>
      <c r="U644" s="191"/>
      <c r="V644" s="191"/>
    </row>
    <row r="645" ht="15.75" customHeight="1">
      <c r="A645" s="191"/>
      <c r="B645" s="191"/>
      <c r="C645" s="191"/>
      <c r="D645" s="191"/>
      <c r="E645" s="191"/>
      <c r="F645" s="191"/>
      <c r="G645" s="191"/>
      <c r="H645" s="191"/>
      <c r="I645" s="191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T645" s="191"/>
      <c r="U645" s="191"/>
      <c r="V645" s="191"/>
    </row>
    <row r="646" ht="15.75" customHeight="1">
      <c r="A646" s="191"/>
      <c r="B646" s="191"/>
      <c r="C646" s="191"/>
      <c r="D646" s="191"/>
      <c r="E646" s="191"/>
      <c r="F646" s="191"/>
      <c r="G646" s="191"/>
      <c r="H646" s="191"/>
      <c r="I646" s="191"/>
      <c r="J646" s="191"/>
      <c r="K646" s="191"/>
      <c r="L646" s="191"/>
      <c r="M646" s="191"/>
      <c r="N646" s="191"/>
      <c r="O646" s="191"/>
      <c r="P646" s="191"/>
      <c r="Q646" s="191"/>
      <c r="R646" s="191"/>
      <c r="S646" s="191"/>
      <c r="T646" s="191"/>
      <c r="U646" s="191"/>
      <c r="V646" s="191"/>
    </row>
    <row r="647" ht="15.75" customHeight="1">
      <c r="A647" s="191"/>
      <c r="B647" s="191"/>
      <c r="C647" s="191"/>
      <c r="D647" s="191"/>
      <c r="E647" s="191"/>
      <c r="F647" s="191"/>
      <c r="G647" s="191"/>
      <c r="H647" s="191"/>
      <c r="I647" s="191"/>
      <c r="J647" s="191"/>
      <c r="K647" s="191"/>
      <c r="L647" s="191"/>
      <c r="M647" s="191"/>
      <c r="N647" s="191"/>
      <c r="O647" s="191"/>
      <c r="P647" s="191"/>
      <c r="Q647" s="191"/>
      <c r="R647" s="191"/>
      <c r="S647" s="191"/>
      <c r="T647" s="191"/>
      <c r="U647" s="191"/>
      <c r="V647" s="191"/>
    </row>
    <row r="648" ht="15.75" customHeight="1">
      <c r="A648" s="191"/>
      <c r="B648" s="191"/>
      <c r="C648" s="191"/>
      <c r="D648" s="191"/>
      <c r="E648" s="191"/>
      <c r="F648" s="191"/>
      <c r="G648" s="191"/>
      <c r="H648" s="191"/>
      <c r="I648" s="191"/>
      <c r="J648" s="191"/>
      <c r="K648" s="191"/>
      <c r="L648" s="191"/>
      <c r="M648" s="191"/>
      <c r="N648" s="191"/>
      <c r="O648" s="191"/>
      <c r="P648" s="191"/>
      <c r="Q648" s="191"/>
      <c r="R648" s="191"/>
      <c r="S648" s="191"/>
      <c r="T648" s="191"/>
      <c r="U648" s="191"/>
      <c r="V648" s="191"/>
    </row>
    <row r="649" ht="15.75" customHeight="1">
      <c r="A649" s="191"/>
      <c r="B649" s="191"/>
      <c r="C649" s="191"/>
      <c r="D649" s="191"/>
      <c r="E649" s="191"/>
      <c r="F649" s="191"/>
      <c r="G649" s="191"/>
      <c r="H649" s="191"/>
      <c r="I649" s="191"/>
      <c r="J649" s="191"/>
      <c r="K649" s="191"/>
      <c r="L649" s="191"/>
      <c r="M649" s="191"/>
      <c r="N649" s="191"/>
      <c r="O649" s="191"/>
      <c r="P649" s="191"/>
      <c r="Q649" s="191"/>
      <c r="R649" s="191"/>
      <c r="S649" s="191"/>
      <c r="T649" s="191"/>
      <c r="U649" s="191"/>
      <c r="V649" s="191"/>
    </row>
    <row r="650" ht="15.75" customHeight="1">
      <c r="A650" s="191"/>
      <c r="B650" s="191"/>
      <c r="C650" s="191"/>
      <c r="D650" s="191"/>
      <c r="E650" s="191"/>
      <c r="F650" s="191"/>
      <c r="G650" s="191"/>
      <c r="H650" s="191"/>
      <c r="I650" s="191"/>
      <c r="J650" s="191"/>
      <c r="K650" s="191"/>
      <c r="L650" s="191"/>
      <c r="M650" s="191"/>
      <c r="N650" s="191"/>
      <c r="O650" s="191"/>
      <c r="P650" s="191"/>
      <c r="Q650" s="191"/>
      <c r="R650" s="191"/>
      <c r="S650" s="191"/>
      <c r="T650" s="191"/>
      <c r="U650" s="191"/>
      <c r="V650" s="191"/>
    </row>
    <row r="651" ht="15.75" customHeight="1">
      <c r="A651" s="191"/>
      <c r="B651" s="191"/>
      <c r="C651" s="191"/>
      <c r="D651" s="191"/>
      <c r="E651" s="191"/>
      <c r="F651" s="191"/>
      <c r="G651" s="191"/>
      <c r="H651" s="191"/>
      <c r="I651" s="191"/>
      <c r="J651" s="191"/>
      <c r="K651" s="191"/>
      <c r="L651" s="191"/>
      <c r="M651" s="191"/>
      <c r="N651" s="191"/>
      <c r="O651" s="191"/>
      <c r="P651" s="191"/>
      <c r="Q651" s="191"/>
      <c r="R651" s="191"/>
      <c r="S651" s="191"/>
      <c r="T651" s="191"/>
      <c r="U651" s="191"/>
      <c r="V651" s="191"/>
    </row>
    <row r="652" ht="15.75" customHeight="1">
      <c r="A652" s="191"/>
      <c r="B652" s="191"/>
      <c r="C652" s="191"/>
      <c r="D652" s="191"/>
      <c r="E652" s="191"/>
      <c r="F652" s="191"/>
      <c r="G652" s="191"/>
      <c r="H652" s="191"/>
      <c r="I652" s="191"/>
      <c r="J652" s="191"/>
      <c r="K652" s="191"/>
      <c r="L652" s="191"/>
      <c r="M652" s="191"/>
      <c r="N652" s="191"/>
      <c r="O652" s="191"/>
      <c r="P652" s="191"/>
      <c r="Q652" s="191"/>
      <c r="R652" s="191"/>
      <c r="S652" s="191"/>
      <c r="T652" s="191"/>
      <c r="U652" s="191"/>
      <c r="V652" s="191"/>
    </row>
    <row r="653" ht="15.75" customHeight="1">
      <c r="A653" s="191"/>
      <c r="B653" s="191"/>
      <c r="C653" s="191"/>
      <c r="D653" s="191"/>
      <c r="E653" s="191"/>
      <c r="F653" s="191"/>
      <c r="G653" s="191"/>
      <c r="H653" s="191"/>
      <c r="I653" s="191"/>
      <c r="J653" s="191"/>
      <c r="K653" s="191"/>
      <c r="L653" s="191"/>
      <c r="M653" s="191"/>
      <c r="N653" s="191"/>
      <c r="O653" s="191"/>
      <c r="P653" s="191"/>
      <c r="Q653" s="191"/>
      <c r="R653" s="191"/>
      <c r="S653" s="191"/>
      <c r="T653" s="191"/>
      <c r="U653" s="191"/>
      <c r="V653" s="191"/>
    </row>
    <row r="654" ht="15.75" customHeight="1">
      <c r="A654" s="191"/>
      <c r="B654" s="191"/>
      <c r="C654" s="191"/>
      <c r="D654" s="191"/>
      <c r="E654" s="191"/>
      <c r="F654" s="191"/>
      <c r="G654" s="191"/>
      <c r="H654" s="191"/>
      <c r="I654" s="191"/>
      <c r="J654" s="191"/>
      <c r="K654" s="191"/>
      <c r="L654" s="191"/>
      <c r="M654" s="191"/>
      <c r="N654" s="191"/>
      <c r="O654" s="191"/>
      <c r="P654" s="191"/>
      <c r="Q654" s="191"/>
      <c r="R654" s="191"/>
      <c r="S654" s="191"/>
      <c r="T654" s="191"/>
      <c r="U654" s="191"/>
      <c r="V654" s="191"/>
    </row>
    <row r="655" ht="15.75" customHeight="1">
      <c r="A655" s="191"/>
      <c r="B655" s="191"/>
      <c r="C655" s="191"/>
      <c r="D655" s="191"/>
      <c r="E655" s="191"/>
      <c r="F655" s="191"/>
      <c r="G655" s="191"/>
      <c r="H655" s="191"/>
      <c r="I655" s="191"/>
      <c r="J655" s="191"/>
      <c r="K655" s="191"/>
      <c r="L655" s="191"/>
      <c r="M655" s="191"/>
      <c r="N655" s="191"/>
      <c r="O655" s="191"/>
      <c r="P655" s="191"/>
      <c r="Q655" s="191"/>
      <c r="R655" s="191"/>
      <c r="S655" s="191"/>
      <c r="T655" s="191"/>
      <c r="U655" s="191"/>
      <c r="V655" s="191"/>
    </row>
    <row r="656" ht="15.75" customHeight="1">
      <c r="A656" s="191"/>
      <c r="B656" s="191"/>
      <c r="C656" s="191"/>
      <c r="D656" s="191"/>
      <c r="E656" s="191"/>
      <c r="F656" s="191"/>
      <c r="G656" s="191"/>
      <c r="H656" s="191"/>
      <c r="I656" s="191"/>
      <c r="J656" s="191"/>
      <c r="K656" s="191"/>
      <c r="L656" s="191"/>
      <c r="M656" s="191"/>
      <c r="N656" s="191"/>
      <c r="O656" s="191"/>
      <c r="P656" s="191"/>
      <c r="Q656" s="191"/>
      <c r="R656" s="191"/>
      <c r="S656" s="191"/>
      <c r="T656" s="191"/>
      <c r="U656" s="191"/>
      <c r="V656" s="191"/>
    </row>
    <row r="657" ht="15.75" customHeight="1">
      <c r="A657" s="191"/>
      <c r="B657" s="191"/>
      <c r="C657" s="191"/>
      <c r="D657" s="191"/>
      <c r="E657" s="191"/>
      <c r="F657" s="191"/>
      <c r="G657" s="191"/>
      <c r="H657" s="191"/>
      <c r="I657" s="191"/>
      <c r="J657" s="191"/>
      <c r="K657" s="191"/>
      <c r="L657" s="191"/>
      <c r="M657" s="191"/>
      <c r="N657" s="191"/>
      <c r="O657" s="191"/>
      <c r="P657" s="191"/>
      <c r="Q657" s="191"/>
      <c r="R657" s="191"/>
      <c r="S657" s="191"/>
      <c r="T657" s="191"/>
      <c r="U657" s="191"/>
      <c r="V657" s="191"/>
    </row>
    <row r="658" ht="15.75" customHeight="1">
      <c r="A658" s="191"/>
      <c r="B658" s="191"/>
      <c r="C658" s="191"/>
      <c r="D658" s="191"/>
      <c r="E658" s="191"/>
      <c r="F658" s="191"/>
      <c r="G658" s="191"/>
      <c r="H658" s="191"/>
      <c r="I658" s="191"/>
      <c r="J658" s="191"/>
      <c r="K658" s="191"/>
      <c r="L658" s="191"/>
      <c r="M658" s="191"/>
      <c r="N658" s="191"/>
      <c r="O658" s="191"/>
      <c r="P658" s="191"/>
      <c r="Q658" s="191"/>
      <c r="R658" s="191"/>
      <c r="S658" s="191"/>
      <c r="T658" s="191"/>
      <c r="U658" s="191"/>
      <c r="V658" s="191"/>
    </row>
    <row r="659" ht="15.75" customHeight="1">
      <c r="A659" s="191"/>
      <c r="B659" s="191"/>
      <c r="C659" s="191"/>
      <c r="D659" s="191"/>
      <c r="E659" s="191"/>
      <c r="F659" s="191"/>
      <c r="G659" s="191"/>
      <c r="H659" s="191"/>
      <c r="I659" s="191"/>
      <c r="J659" s="191"/>
      <c r="K659" s="191"/>
      <c r="L659" s="191"/>
      <c r="M659" s="191"/>
      <c r="N659" s="191"/>
      <c r="O659" s="191"/>
      <c r="P659" s="191"/>
      <c r="Q659" s="191"/>
      <c r="R659" s="191"/>
      <c r="S659" s="191"/>
      <c r="T659" s="191"/>
      <c r="U659" s="191"/>
      <c r="V659" s="191"/>
    </row>
    <row r="660" ht="15.75" customHeight="1">
      <c r="A660" s="191"/>
      <c r="B660" s="191"/>
      <c r="C660" s="191"/>
      <c r="D660" s="191"/>
      <c r="E660" s="191"/>
      <c r="F660" s="191"/>
      <c r="G660" s="191"/>
      <c r="H660" s="191"/>
      <c r="I660" s="191"/>
      <c r="J660" s="191"/>
      <c r="K660" s="191"/>
      <c r="L660" s="191"/>
      <c r="M660" s="191"/>
      <c r="N660" s="191"/>
      <c r="O660" s="191"/>
      <c r="P660" s="191"/>
      <c r="Q660" s="191"/>
      <c r="R660" s="191"/>
      <c r="S660" s="191"/>
      <c r="T660" s="191"/>
      <c r="U660" s="191"/>
      <c r="V660" s="191"/>
    </row>
    <row r="661" ht="15.75" customHeight="1">
      <c r="A661" s="191"/>
      <c r="B661" s="191"/>
      <c r="C661" s="191"/>
      <c r="D661" s="191"/>
      <c r="E661" s="191"/>
      <c r="F661" s="191"/>
      <c r="G661" s="191"/>
      <c r="H661" s="191"/>
      <c r="I661" s="191"/>
      <c r="J661" s="191"/>
      <c r="K661" s="191"/>
      <c r="L661" s="191"/>
      <c r="M661" s="191"/>
      <c r="N661" s="191"/>
      <c r="O661" s="191"/>
      <c r="P661" s="191"/>
      <c r="Q661" s="191"/>
      <c r="R661" s="191"/>
      <c r="S661" s="191"/>
      <c r="T661" s="191"/>
      <c r="U661" s="191"/>
      <c r="V661" s="191"/>
    </row>
    <row r="662" ht="15.75" customHeight="1">
      <c r="A662" s="191"/>
      <c r="B662" s="191"/>
      <c r="C662" s="191"/>
      <c r="D662" s="191"/>
      <c r="E662" s="191"/>
      <c r="F662" s="191"/>
      <c r="G662" s="191"/>
      <c r="H662" s="191"/>
      <c r="I662" s="191"/>
      <c r="J662" s="191"/>
      <c r="K662" s="191"/>
      <c r="L662" s="191"/>
      <c r="M662" s="191"/>
      <c r="N662" s="191"/>
      <c r="O662" s="191"/>
      <c r="P662" s="191"/>
      <c r="Q662" s="191"/>
      <c r="R662" s="191"/>
      <c r="S662" s="191"/>
      <c r="T662" s="191"/>
      <c r="U662" s="191"/>
      <c r="V662" s="191"/>
    </row>
    <row r="663" ht="15.75" customHeight="1">
      <c r="A663" s="191"/>
      <c r="B663" s="191"/>
      <c r="C663" s="191"/>
      <c r="D663" s="191"/>
      <c r="E663" s="191"/>
      <c r="F663" s="191"/>
      <c r="G663" s="191"/>
      <c r="H663" s="191"/>
      <c r="I663" s="191"/>
      <c r="J663" s="191"/>
      <c r="K663" s="191"/>
      <c r="L663" s="191"/>
      <c r="M663" s="191"/>
      <c r="N663" s="191"/>
      <c r="O663" s="191"/>
      <c r="P663" s="191"/>
      <c r="Q663" s="191"/>
      <c r="R663" s="191"/>
      <c r="S663" s="191"/>
      <c r="T663" s="191"/>
      <c r="U663" s="191"/>
      <c r="V663" s="191"/>
    </row>
    <row r="664" ht="15.75" customHeight="1">
      <c r="A664" s="191"/>
      <c r="B664" s="191"/>
      <c r="C664" s="191"/>
      <c r="D664" s="191"/>
      <c r="E664" s="191"/>
      <c r="F664" s="191"/>
      <c r="G664" s="191"/>
      <c r="H664" s="191"/>
      <c r="I664" s="191"/>
      <c r="J664" s="191"/>
      <c r="K664" s="191"/>
      <c r="L664" s="191"/>
      <c r="M664" s="191"/>
      <c r="N664" s="191"/>
      <c r="O664" s="191"/>
      <c r="P664" s="191"/>
      <c r="Q664" s="191"/>
      <c r="R664" s="191"/>
      <c r="S664" s="191"/>
      <c r="T664" s="191"/>
      <c r="U664" s="191"/>
      <c r="V664" s="191"/>
    </row>
    <row r="665" ht="15.75" customHeight="1">
      <c r="A665" s="191"/>
      <c r="B665" s="191"/>
      <c r="C665" s="191"/>
      <c r="D665" s="191"/>
      <c r="E665" s="191"/>
      <c r="F665" s="191"/>
      <c r="G665" s="191"/>
      <c r="H665" s="191"/>
      <c r="I665" s="191"/>
      <c r="J665" s="191"/>
      <c r="K665" s="191"/>
      <c r="L665" s="191"/>
      <c r="M665" s="191"/>
      <c r="N665" s="191"/>
      <c r="O665" s="191"/>
      <c r="P665" s="191"/>
      <c r="Q665" s="191"/>
      <c r="R665" s="191"/>
      <c r="S665" s="191"/>
      <c r="T665" s="191"/>
      <c r="U665" s="191"/>
      <c r="V665" s="191"/>
    </row>
    <row r="666" ht="15.75" customHeight="1">
      <c r="A666" s="191"/>
      <c r="B666" s="191"/>
      <c r="C666" s="191"/>
      <c r="D666" s="191"/>
      <c r="E666" s="191"/>
      <c r="F666" s="191"/>
      <c r="G666" s="191"/>
      <c r="H666" s="191"/>
      <c r="I666" s="191"/>
      <c r="J666" s="191"/>
      <c r="K666" s="191"/>
      <c r="L666" s="191"/>
      <c r="M666" s="191"/>
      <c r="N666" s="191"/>
      <c r="O666" s="191"/>
      <c r="P666" s="191"/>
      <c r="Q666" s="191"/>
      <c r="R666" s="191"/>
      <c r="S666" s="191"/>
      <c r="T666" s="191"/>
      <c r="U666" s="191"/>
      <c r="V666" s="191"/>
    </row>
    <row r="667" ht="15.75" customHeight="1">
      <c r="A667" s="191"/>
      <c r="B667" s="191"/>
      <c r="C667" s="191"/>
      <c r="D667" s="191"/>
      <c r="E667" s="191"/>
      <c r="F667" s="191"/>
      <c r="G667" s="191"/>
      <c r="H667" s="191"/>
      <c r="I667" s="191"/>
      <c r="J667" s="191"/>
      <c r="K667" s="191"/>
      <c r="L667" s="191"/>
      <c r="M667" s="191"/>
      <c r="N667" s="191"/>
      <c r="O667" s="191"/>
      <c r="P667" s="191"/>
      <c r="Q667" s="191"/>
      <c r="R667" s="191"/>
      <c r="S667" s="191"/>
      <c r="T667" s="191"/>
      <c r="U667" s="191"/>
      <c r="V667" s="191"/>
    </row>
    <row r="668" ht="15.75" customHeight="1">
      <c r="A668" s="191"/>
      <c r="B668" s="191"/>
      <c r="C668" s="191"/>
      <c r="D668" s="191"/>
      <c r="E668" s="191"/>
      <c r="F668" s="191"/>
      <c r="G668" s="191"/>
      <c r="H668" s="191"/>
      <c r="I668" s="191"/>
      <c r="J668" s="191"/>
      <c r="K668" s="191"/>
      <c r="L668" s="191"/>
      <c r="M668" s="191"/>
      <c r="N668" s="191"/>
      <c r="O668" s="191"/>
      <c r="P668" s="191"/>
      <c r="Q668" s="191"/>
      <c r="R668" s="191"/>
      <c r="S668" s="191"/>
      <c r="T668" s="191"/>
      <c r="U668" s="191"/>
      <c r="V668" s="191"/>
    </row>
    <row r="669" ht="15.75" customHeight="1">
      <c r="A669" s="191"/>
      <c r="B669" s="191"/>
      <c r="C669" s="191"/>
      <c r="D669" s="191"/>
      <c r="E669" s="191"/>
      <c r="F669" s="191"/>
      <c r="G669" s="191"/>
      <c r="H669" s="191"/>
      <c r="I669" s="191"/>
      <c r="J669" s="191"/>
      <c r="K669" s="191"/>
      <c r="L669" s="191"/>
      <c r="M669" s="191"/>
      <c r="N669" s="191"/>
      <c r="O669" s="191"/>
      <c r="P669" s="191"/>
      <c r="Q669" s="191"/>
      <c r="R669" s="191"/>
      <c r="S669" s="191"/>
      <c r="T669" s="191"/>
      <c r="U669" s="191"/>
      <c r="V669" s="191"/>
    </row>
    <row r="670" ht="15.75" customHeight="1">
      <c r="A670" s="191"/>
      <c r="B670" s="191"/>
      <c r="C670" s="191"/>
      <c r="D670" s="191"/>
      <c r="E670" s="191"/>
      <c r="F670" s="191"/>
      <c r="G670" s="191"/>
      <c r="H670" s="191"/>
      <c r="I670" s="191"/>
      <c r="J670" s="191"/>
      <c r="K670" s="191"/>
      <c r="L670" s="191"/>
      <c r="M670" s="191"/>
      <c r="N670" s="191"/>
      <c r="O670" s="191"/>
      <c r="P670" s="191"/>
      <c r="Q670" s="191"/>
      <c r="R670" s="191"/>
      <c r="S670" s="191"/>
      <c r="T670" s="191"/>
      <c r="U670" s="191"/>
      <c r="V670" s="191"/>
    </row>
    <row r="671" ht="15.75" customHeight="1">
      <c r="A671" s="191"/>
      <c r="B671" s="191"/>
      <c r="C671" s="191"/>
      <c r="D671" s="191"/>
      <c r="E671" s="191"/>
      <c r="F671" s="191"/>
      <c r="G671" s="191"/>
      <c r="H671" s="191"/>
      <c r="I671" s="191"/>
      <c r="J671" s="191"/>
      <c r="K671" s="191"/>
      <c r="L671" s="191"/>
      <c r="M671" s="191"/>
      <c r="N671" s="191"/>
      <c r="O671" s="191"/>
      <c r="P671" s="191"/>
      <c r="Q671" s="191"/>
      <c r="R671" s="191"/>
      <c r="S671" s="191"/>
      <c r="T671" s="191"/>
      <c r="U671" s="191"/>
      <c r="V671" s="191"/>
    </row>
    <row r="672" ht="15.75" customHeight="1">
      <c r="A672" s="191"/>
      <c r="B672" s="191"/>
      <c r="C672" s="191"/>
      <c r="D672" s="191"/>
      <c r="E672" s="191"/>
      <c r="F672" s="191"/>
      <c r="G672" s="191"/>
      <c r="H672" s="191"/>
      <c r="I672" s="191"/>
      <c r="J672" s="191"/>
      <c r="K672" s="191"/>
      <c r="L672" s="191"/>
      <c r="M672" s="191"/>
      <c r="N672" s="191"/>
      <c r="O672" s="191"/>
      <c r="P672" s="191"/>
      <c r="Q672" s="191"/>
      <c r="R672" s="191"/>
      <c r="S672" s="191"/>
      <c r="T672" s="191"/>
      <c r="U672" s="191"/>
      <c r="V672" s="191"/>
    </row>
    <row r="673" ht="15.75" customHeight="1">
      <c r="A673" s="191"/>
      <c r="B673" s="191"/>
      <c r="C673" s="191"/>
      <c r="D673" s="191"/>
      <c r="E673" s="191"/>
      <c r="F673" s="191"/>
      <c r="G673" s="191"/>
      <c r="H673" s="191"/>
      <c r="I673" s="191"/>
      <c r="J673" s="191"/>
      <c r="K673" s="191"/>
      <c r="L673" s="191"/>
      <c r="M673" s="191"/>
      <c r="N673" s="191"/>
      <c r="O673" s="191"/>
      <c r="P673" s="191"/>
      <c r="Q673" s="191"/>
      <c r="R673" s="191"/>
      <c r="S673" s="191"/>
      <c r="T673" s="191"/>
      <c r="U673" s="191"/>
      <c r="V673" s="191"/>
    </row>
    <row r="674" ht="15.75" customHeight="1">
      <c r="A674" s="191"/>
      <c r="B674" s="191"/>
      <c r="C674" s="191"/>
      <c r="D674" s="191"/>
      <c r="E674" s="191"/>
      <c r="F674" s="191"/>
      <c r="G674" s="191"/>
      <c r="H674" s="191"/>
      <c r="I674" s="191"/>
      <c r="J674" s="191"/>
      <c r="K674" s="191"/>
      <c r="L674" s="191"/>
      <c r="M674" s="191"/>
      <c r="N674" s="191"/>
      <c r="O674" s="191"/>
      <c r="P674" s="191"/>
      <c r="Q674" s="191"/>
      <c r="R674" s="191"/>
      <c r="S674" s="191"/>
      <c r="T674" s="191"/>
      <c r="U674" s="191"/>
      <c r="V674" s="191"/>
    </row>
    <row r="675" ht="15.75" customHeight="1">
      <c r="A675" s="191"/>
      <c r="B675" s="191"/>
      <c r="C675" s="191"/>
      <c r="D675" s="191"/>
      <c r="E675" s="191"/>
      <c r="F675" s="191"/>
      <c r="G675" s="191"/>
      <c r="H675" s="191"/>
      <c r="I675" s="191"/>
      <c r="J675" s="191"/>
      <c r="K675" s="191"/>
      <c r="L675" s="191"/>
      <c r="M675" s="191"/>
      <c r="N675" s="191"/>
      <c r="O675" s="191"/>
      <c r="P675" s="191"/>
      <c r="Q675" s="191"/>
      <c r="R675" s="191"/>
      <c r="S675" s="191"/>
      <c r="T675" s="191"/>
      <c r="U675" s="191"/>
      <c r="V675" s="191"/>
    </row>
    <row r="676" ht="15.75" customHeight="1">
      <c r="A676" s="191"/>
      <c r="B676" s="191"/>
      <c r="C676" s="191"/>
      <c r="D676" s="191"/>
      <c r="E676" s="191"/>
      <c r="F676" s="191"/>
      <c r="G676" s="191"/>
      <c r="H676" s="191"/>
      <c r="I676" s="191"/>
      <c r="J676" s="191"/>
      <c r="K676" s="191"/>
      <c r="L676" s="191"/>
      <c r="M676" s="191"/>
      <c r="N676" s="191"/>
      <c r="O676" s="191"/>
      <c r="P676" s="191"/>
      <c r="Q676" s="191"/>
      <c r="R676" s="191"/>
      <c r="S676" s="191"/>
      <c r="T676" s="191"/>
      <c r="U676" s="191"/>
      <c r="V676" s="191"/>
    </row>
    <row r="677" ht="15.75" customHeight="1">
      <c r="A677" s="191"/>
      <c r="B677" s="191"/>
      <c r="C677" s="191"/>
      <c r="D677" s="191"/>
      <c r="E677" s="191"/>
      <c r="F677" s="191"/>
      <c r="G677" s="191"/>
      <c r="H677" s="191"/>
      <c r="I677" s="191"/>
      <c r="J677" s="191"/>
      <c r="K677" s="191"/>
      <c r="L677" s="191"/>
      <c r="M677" s="191"/>
      <c r="N677" s="191"/>
      <c r="O677" s="191"/>
      <c r="P677" s="191"/>
      <c r="Q677" s="191"/>
      <c r="R677" s="191"/>
      <c r="S677" s="191"/>
      <c r="T677" s="191"/>
      <c r="U677" s="191"/>
      <c r="V677" s="191"/>
    </row>
    <row r="678" ht="15.75" customHeight="1">
      <c r="A678" s="191"/>
      <c r="B678" s="191"/>
      <c r="C678" s="191"/>
      <c r="D678" s="191"/>
      <c r="E678" s="191"/>
      <c r="F678" s="191"/>
      <c r="G678" s="191"/>
      <c r="H678" s="191"/>
      <c r="I678" s="191"/>
      <c r="J678" s="191"/>
      <c r="K678" s="191"/>
      <c r="L678" s="191"/>
      <c r="M678" s="191"/>
      <c r="N678" s="191"/>
      <c r="O678" s="191"/>
      <c r="P678" s="191"/>
      <c r="Q678" s="191"/>
      <c r="R678" s="191"/>
      <c r="S678" s="191"/>
      <c r="T678" s="191"/>
      <c r="U678" s="191"/>
      <c r="V678" s="191"/>
    </row>
    <row r="679" ht="15.75" customHeight="1">
      <c r="A679" s="191"/>
      <c r="B679" s="191"/>
      <c r="C679" s="191"/>
      <c r="D679" s="191"/>
      <c r="E679" s="191"/>
      <c r="F679" s="191"/>
      <c r="G679" s="191"/>
      <c r="H679" s="191"/>
      <c r="I679" s="191"/>
      <c r="J679" s="191"/>
      <c r="K679" s="191"/>
      <c r="L679" s="191"/>
      <c r="M679" s="191"/>
      <c r="N679" s="191"/>
      <c r="O679" s="191"/>
      <c r="P679" s="191"/>
      <c r="Q679" s="191"/>
      <c r="R679" s="191"/>
      <c r="S679" s="191"/>
      <c r="T679" s="191"/>
      <c r="U679" s="191"/>
      <c r="V679" s="191"/>
    </row>
    <row r="680" ht="15.75" customHeight="1">
      <c r="A680" s="191"/>
      <c r="B680" s="191"/>
      <c r="C680" s="191"/>
      <c r="D680" s="191"/>
      <c r="E680" s="191"/>
      <c r="F680" s="191"/>
      <c r="G680" s="191"/>
      <c r="H680" s="191"/>
      <c r="I680" s="191"/>
      <c r="J680" s="191"/>
      <c r="K680" s="191"/>
      <c r="L680" s="191"/>
      <c r="M680" s="191"/>
      <c r="N680" s="191"/>
      <c r="O680" s="191"/>
      <c r="P680" s="191"/>
      <c r="Q680" s="191"/>
      <c r="R680" s="191"/>
      <c r="S680" s="191"/>
      <c r="T680" s="191"/>
      <c r="U680" s="191"/>
      <c r="V680" s="191"/>
    </row>
    <row r="681" ht="15.75" customHeight="1">
      <c r="A681" s="191"/>
      <c r="B681" s="191"/>
      <c r="C681" s="191"/>
      <c r="D681" s="191"/>
      <c r="E681" s="191"/>
      <c r="F681" s="191"/>
      <c r="G681" s="191"/>
      <c r="H681" s="191"/>
      <c r="I681" s="191"/>
      <c r="J681" s="191"/>
      <c r="K681" s="191"/>
      <c r="L681" s="191"/>
      <c r="M681" s="191"/>
      <c r="N681" s="191"/>
      <c r="O681" s="191"/>
      <c r="P681" s="191"/>
      <c r="Q681" s="191"/>
      <c r="R681" s="191"/>
      <c r="S681" s="191"/>
      <c r="T681" s="191"/>
      <c r="U681" s="191"/>
      <c r="V681" s="191"/>
    </row>
    <row r="682" ht="15.75" customHeight="1">
      <c r="A682" s="191"/>
      <c r="B682" s="191"/>
      <c r="C682" s="191"/>
      <c r="D682" s="191"/>
      <c r="E682" s="191"/>
      <c r="F682" s="191"/>
      <c r="G682" s="191"/>
      <c r="H682" s="191"/>
      <c r="I682" s="191"/>
      <c r="J682" s="191"/>
      <c r="K682" s="191"/>
      <c r="L682" s="191"/>
      <c r="M682" s="191"/>
      <c r="N682" s="191"/>
      <c r="O682" s="191"/>
      <c r="P682" s="191"/>
      <c r="Q682" s="191"/>
      <c r="R682" s="191"/>
      <c r="S682" s="191"/>
      <c r="T682" s="191"/>
      <c r="U682" s="191"/>
      <c r="V682" s="191"/>
    </row>
    <row r="683" ht="15.75" customHeight="1">
      <c r="A683" s="191"/>
      <c r="B683" s="191"/>
      <c r="C683" s="191"/>
      <c r="D683" s="191"/>
      <c r="E683" s="191"/>
      <c r="F683" s="191"/>
      <c r="G683" s="191"/>
      <c r="H683" s="191"/>
      <c r="I683" s="191"/>
      <c r="J683" s="191"/>
      <c r="K683" s="191"/>
      <c r="L683" s="191"/>
      <c r="M683" s="191"/>
      <c r="N683" s="191"/>
      <c r="O683" s="191"/>
      <c r="P683" s="191"/>
      <c r="Q683" s="191"/>
      <c r="R683" s="191"/>
      <c r="S683" s="191"/>
      <c r="T683" s="191"/>
      <c r="U683" s="191"/>
      <c r="V683" s="191"/>
    </row>
    <row r="684" ht="15.75" customHeight="1">
      <c r="A684" s="191"/>
      <c r="B684" s="191"/>
      <c r="C684" s="191"/>
      <c r="D684" s="191"/>
      <c r="E684" s="191"/>
      <c r="F684" s="191"/>
      <c r="G684" s="191"/>
      <c r="H684" s="191"/>
      <c r="I684" s="191"/>
      <c r="J684" s="191"/>
      <c r="K684" s="191"/>
      <c r="L684" s="191"/>
      <c r="M684" s="191"/>
      <c r="N684" s="191"/>
      <c r="O684" s="191"/>
      <c r="P684" s="191"/>
      <c r="Q684" s="191"/>
      <c r="R684" s="191"/>
      <c r="S684" s="191"/>
      <c r="T684" s="191"/>
      <c r="U684" s="191"/>
      <c r="V684" s="191"/>
    </row>
    <row r="685" ht="15.75" customHeight="1">
      <c r="A685" s="191"/>
      <c r="B685" s="191"/>
      <c r="C685" s="191"/>
      <c r="D685" s="191"/>
      <c r="E685" s="191"/>
      <c r="F685" s="191"/>
      <c r="G685" s="191"/>
      <c r="H685" s="191"/>
      <c r="I685" s="191"/>
      <c r="J685" s="191"/>
      <c r="K685" s="191"/>
      <c r="L685" s="191"/>
      <c r="M685" s="191"/>
      <c r="N685" s="191"/>
      <c r="O685" s="191"/>
      <c r="P685" s="191"/>
      <c r="Q685" s="191"/>
      <c r="R685" s="191"/>
      <c r="S685" s="191"/>
      <c r="T685" s="191"/>
      <c r="U685" s="191"/>
      <c r="V685" s="191"/>
    </row>
    <row r="686" ht="15.75" customHeight="1">
      <c r="A686" s="191"/>
      <c r="B686" s="191"/>
      <c r="C686" s="191"/>
      <c r="D686" s="191"/>
      <c r="E686" s="191"/>
      <c r="F686" s="191"/>
      <c r="G686" s="191"/>
      <c r="H686" s="191"/>
      <c r="I686" s="191"/>
      <c r="J686" s="191"/>
      <c r="K686" s="191"/>
      <c r="L686" s="191"/>
      <c r="M686" s="191"/>
      <c r="N686" s="191"/>
      <c r="O686" s="191"/>
      <c r="P686" s="191"/>
      <c r="Q686" s="191"/>
      <c r="R686" s="191"/>
      <c r="S686" s="191"/>
      <c r="T686" s="191"/>
      <c r="U686" s="191"/>
      <c r="V686" s="191"/>
    </row>
    <row r="687" ht="15.75" customHeight="1">
      <c r="A687" s="191"/>
      <c r="B687" s="191"/>
      <c r="C687" s="191"/>
      <c r="D687" s="191"/>
      <c r="E687" s="191"/>
      <c r="F687" s="191"/>
      <c r="G687" s="191"/>
      <c r="H687" s="191"/>
      <c r="I687" s="191"/>
      <c r="J687" s="191"/>
      <c r="K687" s="191"/>
      <c r="L687" s="191"/>
      <c r="M687" s="191"/>
      <c r="N687" s="191"/>
      <c r="O687" s="191"/>
      <c r="P687" s="191"/>
      <c r="Q687" s="191"/>
      <c r="R687" s="191"/>
      <c r="S687" s="191"/>
      <c r="T687" s="191"/>
      <c r="U687" s="191"/>
      <c r="V687" s="191"/>
    </row>
    <row r="688" ht="15.75" customHeight="1">
      <c r="A688" s="191"/>
      <c r="B688" s="191"/>
      <c r="C688" s="191"/>
      <c r="D688" s="191"/>
      <c r="E688" s="191"/>
      <c r="F688" s="191"/>
      <c r="G688" s="191"/>
      <c r="H688" s="191"/>
      <c r="I688" s="191"/>
      <c r="J688" s="191"/>
      <c r="K688" s="191"/>
      <c r="L688" s="191"/>
      <c r="M688" s="191"/>
      <c r="N688" s="191"/>
      <c r="O688" s="191"/>
      <c r="P688" s="191"/>
      <c r="Q688" s="191"/>
      <c r="R688" s="191"/>
      <c r="S688" s="191"/>
      <c r="T688" s="191"/>
      <c r="U688" s="191"/>
      <c r="V688" s="191"/>
    </row>
    <row r="689" ht="15.75" customHeight="1">
      <c r="A689" s="191"/>
      <c r="B689" s="191"/>
      <c r="C689" s="191"/>
      <c r="D689" s="191"/>
      <c r="E689" s="191"/>
      <c r="F689" s="191"/>
      <c r="G689" s="191"/>
      <c r="H689" s="191"/>
      <c r="I689" s="191"/>
      <c r="J689" s="191"/>
      <c r="K689" s="191"/>
      <c r="L689" s="191"/>
      <c r="M689" s="191"/>
      <c r="N689" s="191"/>
      <c r="O689" s="191"/>
      <c r="P689" s="191"/>
      <c r="Q689" s="191"/>
      <c r="R689" s="191"/>
      <c r="S689" s="191"/>
      <c r="T689" s="191"/>
      <c r="U689" s="191"/>
      <c r="V689" s="191"/>
    </row>
    <row r="690" ht="15.75" customHeight="1">
      <c r="A690" s="191"/>
      <c r="B690" s="191"/>
      <c r="C690" s="191"/>
      <c r="D690" s="191"/>
      <c r="E690" s="191"/>
      <c r="F690" s="191"/>
      <c r="G690" s="191"/>
      <c r="H690" s="191"/>
      <c r="I690" s="191"/>
      <c r="J690" s="191"/>
      <c r="K690" s="191"/>
      <c r="L690" s="191"/>
      <c r="M690" s="191"/>
      <c r="N690" s="191"/>
      <c r="O690" s="191"/>
      <c r="P690" s="191"/>
      <c r="Q690" s="191"/>
      <c r="R690" s="191"/>
      <c r="S690" s="191"/>
      <c r="T690" s="191"/>
      <c r="U690" s="191"/>
      <c r="V690" s="191"/>
    </row>
    <row r="691" ht="15.75" customHeight="1">
      <c r="A691" s="191"/>
      <c r="B691" s="191"/>
      <c r="C691" s="191"/>
      <c r="D691" s="191"/>
      <c r="E691" s="191"/>
      <c r="F691" s="191"/>
      <c r="G691" s="191"/>
      <c r="H691" s="191"/>
      <c r="I691" s="191"/>
      <c r="J691" s="191"/>
      <c r="K691" s="191"/>
      <c r="L691" s="191"/>
      <c r="M691" s="191"/>
      <c r="N691" s="191"/>
      <c r="O691" s="191"/>
      <c r="P691" s="191"/>
      <c r="Q691" s="191"/>
      <c r="R691" s="191"/>
      <c r="S691" s="191"/>
      <c r="T691" s="191"/>
      <c r="U691" s="191"/>
      <c r="V691" s="191"/>
    </row>
    <row r="692" ht="15.75" customHeight="1">
      <c r="A692" s="191"/>
      <c r="B692" s="191"/>
      <c r="C692" s="191"/>
      <c r="D692" s="191"/>
      <c r="E692" s="191"/>
      <c r="F692" s="191"/>
      <c r="G692" s="191"/>
      <c r="H692" s="191"/>
      <c r="I692" s="191"/>
      <c r="J692" s="191"/>
      <c r="K692" s="191"/>
      <c r="L692" s="191"/>
      <c r="M692" s="191"/>
      <c r="N692" s="191"/>
      <c r="O692" s="191"/>
      <c r="P692" s="191"/>
      <c r="Q692" s="191"/>
      <c r="R692" s="191"/>
      <c r="S692" s="191"/>
      <c r="T692" s="191"/>
      <c r="U692" s="191"/>
      <c r="V692" s="191"/>
    </row>
    <row r="693" ht="15.75" customHeight="1">
      <c r="A693" s="191"/>
      <c r="B693" s="191"/>
      <c r="C693" s="191"/>
      <c r="D693" s="191"/>
      <c r="E693" s="191"/>
      <c r="F693" s="191"/>
      <c r="G693" s="191"/>
      <c r="H693" s="191"/>
      <c r="I693" s="191"/>
      <c r="J693" s="191"/>
      <c r="K693" s="191"/>
      <c r="L693" s="191"/>
      <c r="M693" s="191"/>
      <c r="N693" s="191"/>
      <c r="O693" s="191"/>
      <c r="P693" s="191"/>
      <c r="Q693" s="191"/>
      <c r="R693" s="191"/>
      <c r="S693" s="191"/>
      <c r="T693" s="191"/>
      <c r="U693" s="191"/>
      <c r="V693" s="191"/>
    </row>
    <row r="694" ht="15.75" customHeight="1">
      <c r="A694" s="191"/>
      <c r="B694" s="191"/>
      <c r="C694" s="191"/>
      <c r="D694" s="191"/>
      <c r="E694" s="191"/>
      <c r="F694" s="191"/>
      <c r="G694" s="191"/>
      <c r="H694" s="191"/>
      <c r="I694" s="191"/>
      <c r="J694" s="191"/>
      <c r="K694" s="191"/>
      <c r="L694" s="191"/>
      <c r="M694" s="191"/>
      <c r="N694" s="191"/>
      <c r="O694" s="191"/>
      <c r="P694" s="191"/>
      <c r="Q694" s="191"/>
      <c r="R694" s="191"/>
      <c r="S694" s="191"/>
      <c r="T694" s="191"/>
      <c r="U694" s="191"/>
      <c r="V694" s="191"/>
    </row>
    <row r="695" ht="15.75" customHeight="1">
      <c r="A695" s="191"/>
      <c r="B695" s="191"/>
      <c r="C695" s="191"/>
      <c r="D695" s="191"/>
      <c r="E695" s="191"/>
      <c r="F695" s="191"/>
      <c r="G695" s="191"/>
      <c r="H695" s="191"/>
      <c r="I695" s="191"/>
      <c r="J695" s="191"/>
      <c r="K695" s="191"/>
      <c r="L695" s="191"/>
      <c r="M695" s="191"/>
      <c r="N695" s="191"/>
      <c r="O695" s="191"/>
      <c r="P695" s="191"/>
      <c r="Q695" s="191"/>
      <c r="R695" s="191"/>
      <c r="S695" s="191"/>
      <c r="T695" s="191"/>
      <c r="U695" s="191"/>
      <c r="V695" s="191"/>
    </row>
    <row r="696" ht="15.75" customHeight="1">
      <c r="A696" s="191"/>
      <c r="B696" s="191"/>
      <c r="C696" s="191"/>
      <c r="D696" s="191"/>
      <c r="E696" s="191"/>
      <c r="F696" s="191"/>
      <c r="G696" s="191"/>
      <c r="H696" s="191"/>
      <c r="I696" s="191"/>
      <c r="J696" s="191"/>
      <c r="K696" s="191"/>
      <c r="L696" s="191"/>
      <c r="M696" s="191"/>
      <c r="N696" s="191"/>
      <c r="O696" s="191"/>
      <c r="P696" s="191"/>
      <c r="Q696" s="191"/>
      <c r="R696" s="191"/>
      <c r="S696" s="191"/>
      <c r="T696" s="191"/>
      <c r="U696" s="191"/>
      <c r="V696" s="191"/>
    </row>
    <row r="697" ht="15.75" customHeight="1">
      <c r="A697" s="191"/>
      <c r="B697" s="191"/>
      <c r="C697" s="191"/>
      <c r="D697" s="191"/>
      <c r="E697" s="191"/>
      <c r="F697" s="191"/>
      <c r="G697" s="191"/>
      <c r="H697" s="191"/>
      <c r="I697" s="191"/>
      <c r="J697" s="191"/>
      <c r="K697" s="191"/>
      <c r="L697" s="191"/>
      <c r="M697" s="191"/>
      <c r="N697" s="191"/>
      <c r="O697" s="191"/>
      <c r="P697" s="191"/>
      <c r="Q697" s="191"/>
      <c r="R697" s="191"/>
      <c r="S697" s="191"/>
      <c r="T697" s="191"/>
      <c r="U697" s="191"/>
      <c r="V697" s="191"/>
    </row>
    <row r="698" ht="15.75" customHeight="1">
      <c r="A698" s="191"/>
      <c r="B698" s="191"/>
      <c r="C698" s="191"/>
      <c r="D698" s="191"/>
      <c r="E698" s="191"/>
      <c r="F698" s="191"/>
      <c r="G698" s="191"/>
      <c r="H698" s="191"/>
      <c r="I698" s="191"/>
      <c r="J698" s="191"/>
      <c r="K698" s="191"/>
      <c r="L698" s="191"/>
      <c r="M698" s="191"/>
      <c r="N698" s="191"/>
      <c r="O698" s="191"/>
      <c r="P698" s="191"/>
      <c r="Q698" s="191"/>
      <c r="R698" s="191"/>
      <c r="S698" s="191"/>
      <c r="T698" s="191"/>
      <c r="U698" s="191"/>
      <c r="V698" s="191"/>
    </row>
    <row r="699" ht="15.75" customHeight="1">
      <c r="A699" s="191"/>
      <c r="B699" s="191"/>
      <c r="C699" s="191"/>
      <c r="D699" s="191"/>
      <c r="E699" s="191"/>
      <c r="F699" s="191"/>
      <c r="G699" s="191"/>
      <c r="H699" s="191"/>
      <c r="I699" s="191"/>
      <c r="J699" s="191"/>
      <c r="K699" s="191"/>
      <c r="L699" s="191"/>
      <c r="M699" s="191"/>
      <c r="N699" s="191"/>
      <c r="O699" s="191"/>
      <c r="P699" s="191"/>
      <c r="Q699" s="191"/>
      <c r="R699" s="191"/>
      <c r="S699" s="191"/>
      <c r="T699" s="191"/>
      <c r="U699" s="191"/>
      <c r="V699" s="191"/>
    </row>
    <row r="700" ht="15.75" customHeight="1">
      <c r="A700" s="191"/>
      <c r="B700" s="191"/>
      <c r="C700" s="191"/>
      <c r="D700" s="191"/>
      <c r="E700" s="191"/>
      <c r="F700" s="191"/>
      <c r="G700" s="191"/>
      <c r="H700" s="191"/>
      <c r="I700" s="191"/>
      <c r="J700" s="191"/>
      <c r="K700" s="191"/>
      <c r="L700" s="191"/>
      <c r="M700" s="191"/>
      <c r="N700" s="191"/>
      <c r="O700" s="191"/>
      <c r="P700" s="191"/>
      <c r="Q700" s="191"/>
      <c r="R700" s="191"/>
      <c r="S700" s="191"/>
      <c r="T700" s="191"/>
      <c r="U700" s="191"/>
      <c r="V700" s="191"/>
    </row>
    <row r="701" ht="15.75" customHeight="1">
      <c r="A701" s="191"/>
      <c r="B701" s="191"/>
      <c r="C701" s="191"/>
      <c r="D701" s="191"/>
      <c r="E701" s="191"/>
      <c r="F701" s="191"/>
      <c r="G701" s="191"/>
      <c r="H701" s="191"/>
      <c r="I701" s="191"/>
      <c r="J701" s="191"/>
      <c r="K701" s="191"/>
      <c r="L701" s="191"/>
      <c r="M701" s="191"/>
      <c r="N701" s="191"/>
      <c r="O701" s="191"/>
      <c r="P701" s="191"/>
      <c r="Q701" s="191"/>
      <c r="R701" s="191"/>
      <c r="S701" s="191"/>
      <c r="T701" s="191"/>
      <c r="U701" s="191"/>
      <c r="V701" s="191"/>
    </row>
    <row r="702" ht="15.75" customHeight="1">
      <c r="A702" s="191"/>
      <c r="B702" s="191"/>
      <c r="C702" s="191"/>
      <c r="D702" s="191"/>
      <c r="E702" s="191"/>
      <c r="F702" s="191"/>
      <c r="G702" s="191"/>
      <c r="H702" s="191"/>
      <c r="I702" s="191"/>
      <c r="J702" s="191"/>
      <c r="K702" s="191"/>
      <c r="L702" s="191"/>
      <c r="M702" s="191"/>
      <c r="N702" s="191"/>
      <c r="O702" s="191"/>
      <c r="P702" s="191"/>
      <c r="Q702" s="191"/>
      <c r="R702" s="191"/>
      <c r="S702" s="191"/>
      <c r="T702" s="191"/>
      <c r="U702" s="191"/>
      <c r="V702" s="191"/>
    </row>
    <row r="703" ht="15.75" customHeight="1">
      <c r="A703" s="191"/>
      <c r="B703" s="191"/>
      <c r="C703" s="191"/>
      <c r="D703" s="191"/>
      <c r="E703" s="191"/>
      <c r="F703" s="191"/>
      <c r="G703" s="191"/>
      <c r="H703" s="191"/>
      <c r="I703" s="191"/>
      <c r="J703" s="191"/>
      <c r="K703" s="191"/>
      <c r="L703" s="191"/>
      <c r="M703" s="191"/>
      <c r="N703" s="191"/>
      <c r="O703" s="191"/>
      <c r="P703" s="191"/>
      <c r="Q703" s="191"/>
      <c r="R703" s="191"/>
      <c r="S703" s="191"/>
      <c r="T703" s="191"/>
      <c r="U703" s="191"/>
      <c r="V703" s="191"/>
    </row>
    <row r="704" ht="15.75" customHeight="1">
      <c r="A704" s="191"/>
      <c r="B704" s="191"/>
      <c r="C704" s="191"/>
      <c r="D704" s="191"/>
      <c r="E704" s="191"/>
      <c r="F704" s="191"/>
      <c r="G704" s="191"/>
      <c r="H704" s="191"/>
      <c r="I704" s="191"/>
      <c r="J704" s="191"/>
      <c r="K704" s="191"/>
      <c r="L704" s="191"/>
      <c r="M704" s="191"/>
      <c r="N704" s="191"/>
      <c r="O704" s="191"/>
      <c r="P704" s="191"/>
      <c r="Q704" s="191"/>
      <c r="R704" s="191"/>
      <c r="S704" s="191"/>
      <c r="T704" s="191"/>
      <c r="U704" s="191"/>
      <c r="V704" s="191"/>
    </row>
    <row r="705" ht="15.75" customHeight="1">
      <c r="A705" s="191"/>
      <c r="B705" s="191"/>
      <c r="C705" s="191"/>
      <c r="D705" s="191"/>
      <c r="E705" s="191"/>
      <c r="F705" s="191"/>
      <c r="G705" s="191"/>
      <c r="H705" s="191"/>
      <c r="I705" s="191"/>
      <c r="J705" s="191"/>
      <c r="K705" s="191"/>
      <c r="L705" s="191"/>
      <c r="M705" s="191"/>
      <c r="N705" s="191"/>
      <c r="O705" s="191"/>
      <c r="P705" s="191"/>
      <c r="Q705" s="191"/>
      <c r="R705" s="191"/>
      <c r="S705" s="191"/>
      <c r="T705" s="191"/>
      <c r="U705" s="191"/>
      <c r="V705" s="191"/>
    </row>
    <row r="706" ht="15.75" customHeight="1">
      <c r="A706" s="191"/>
      <c r="B706" s="191"/>
      <c r="C706" s="191"/>
      <c r="D706" s="191"/>
      <c r="E706" s="191"/>
      <c r="F706" s="191"/>
      <c r="G706" s="191"/>
      <c r="H706" s="191"/>
      <c r="I706" s="191"/>
      <c r="J706" s="191"/>
      <c r="K706" s="191"/>
      <c r="L706" s="191"/>
      <c r="M706" s="191"/>
      <c r="N706" s="191"/>
      <c r="O706" s="191"/>
      <c r="P706" s="191"/>
      <c r="Q706" s="191"/>
      <c r="R706" s="191"/>
      <c r="S706" s="191"/>
      <c r="T706" s="191"/>
      <c r="U706" s="191"/>
      <c r="V706" s="191"/>
    </row>
    <row r="707" ht="15.75" customHeight="1">
      <c r="A707" s="191"/>
      <c r="B707" s="191"/>
      <c r="C707" s="191"/>
      <c r="D707" s="191"/>
      <c r="E707" s="191"/>
      <c r="F707" s="191"/>
      <c r="G707" s="191"/>
      <c r="H707" s="191"/>
      <c r="I707" s="191"/>
      <c r="J707" s="191"/>
      <c r="K707" s="191"/>
      <c r="L707" s="191"/>
      <c r="M707" s="191"/>
      <c r="N707" s="191"/>
      <c r="O707" s="191"/>
      <c r="P707" s="191"/>
      <c r="Q707" s="191"/>
      <c r="R707" s="191"/>
      <c r="S707" s="191"/>
      <c r="T707" s="191"/>
      <c r="U707" s="191"/>
      <c r="V707" s="191"/>
    </row>
    <row r="708" ht="15.75" customHeight="1">
      <c r="A708" s="191"/>
      <c r="B708" s="191"/>
      <c r="C708" s="191"/>
      <c r="D708" s="191"/>
      <c r="E708" s="191"/>
      <c r="F708" s="191"/>
      <c r="G708" s="191"/>
      <c r="H708" s="191"/>
      <c r="I708" s="191"/>
      <c r="J708" s="191"/>
      <c r="K708" s="191"/>
      <c r="L708" s="191"/>
      <c r="M708" s="191"/>
      <c r="N708" s="191"/>
      <c r="O708" s="191"/>
      <c r="P708" s="191"/>
      <c r="Q708" s="191"/>
      <c r="R708" s="191"/>
      <c r="S708" s="191"/>
      <c r="T708" s="191"/>
      <c r="U708" s="191"/>
      <c r="V708" s="191"/>
    </row>
    <row r="709" ht="15.75" customHeight="1">
      <c r="A709" s="191"/>
      <c r="B709" s="191"/>
      <c r="C709" s="191"/>
      <c r="D709" s="191"/>
      <c r="E709" s="191"/>
      <c r="F709" s="191"/>
      <c r="G709" s="191"/>
      <c r="H709" s="191"/>
      <c r="I709" s="191"/>
      <c r="J709" s="191"/>
      <c r="K709" s="191"/>
      <c r="L709" s="191"/>
      <c r="M709" s="191"/>
      <c r="N709" s="191"/>
      <c r="O709" s="191"/>
      <c r="P709" s="191"/>
      <c r="Q709" s="191"/>
      <c r="R709" s="191"/>
      <c r="S709" s="191"/>
      <c r="T709" s="191"/>
      <c r="U709" s="191"/>
      <c r="V709" s="191"/>
    </row>
    <row r="710" ht="15.75" customHeight="1">
      <c r="A710" s="191"/>
      <c r="B710" s="191"/>
      <c r="C710" s="191"/>
      <c r="D710" s="191"/>
      <c r="E710" s="191"/>
      <c r="F710" s="191"/>
      <c r="G710" s="191"/>
      <c r="H710" s="191"/>
      <c r="I710" s="191"/>
      <c r="J710" s="191"/>
      <c r="K710" s="191"/>
      <c r="L710" s="191"/>
      <c r="M710" s="191"/>
      <c r="N710" s="191"/>
      <c r="O710" s="191"/>
      <c r="P710" s="191"/>
      <c r="Q710" s="191"/>
      <c r="R710" s="191"/>
      <c r="S710" s="191"/>
      <c r="T710" s="191"/>
      <c r="U710" s="191"/>
      <c r="V710" s="191"/>
    </row>
    <row r="711" ht="15.75" customHeight="1">
      <c r="A711" s="191"/>
      <c r="B711" s="191"/>
      <c r="C711" s="191"/>
      <c r="D711" s="191"/>
      <c r="E711" s="191"/>
      <c r="F711" s="191"/>
      <c r="G711" s="191"/>
      <c r="H711" s="191"/>
      <c r="I711" s="191"/>
      <c r="J711" s="191"/>
      <c r="K711" s="191"/>
      <c r="L711" s="191"/>
      <c r="M711" s="191"/>
      <c r="N711" s="191"/>
      <c r="O711" s="191"/>
      <c r="P711" s="191"/>
      <c r="Q711" s="191"/>
      <c r="R711" s="191"/>
      <c r="S711" s="191"/>
      <c r="T711" s="191"/>
      <c r="U711" s="191"/>
      <c r="V711" s="191"/>
    </row>
    <row r="712" ht="15.75" customHeight="1">
      <c r="A712" s="191"/>
      <c r="B712" s="191"/>
      <c r="C712" s="191"/>
      <c r="D712" s="191"/>
      <c r="E712" s="191"/>
      <c r="F712" s="191"/>
      <c r="G712" s="191"/>
      <c r="H712" s="191"/>
      <c r="I712" s="191"/>
      <c r="J712" s="191"/>
      <c r="K712" s="191"/>
      <c r="L712" s="191"/>
      <c r="M712" s="191"/>
      <c r="N712" s="191"/>
      <c r="O712" s="191"/>
      <c r="P712" s="191"/>
      <c r="Q712" s="191"/>
      <c r="R712" s="191"/>
      <c r="S712" s="191"/>
      <c r="T712" s="191"/>
      <c r="U712" s="191"/>
      <c r="V712" s="191"/>
    </row>
    <row r="713" ht="15.75" customHeight="1">
      <c r="A713" s="191"/>
      <c r="B713" s="191"/>
      <c r="C713" s="191"/>
      <c r="D713" s="191"/>
      <c r="E713" s="191"/>
      <c r="F713" s="191"/>
      <c r="G713" s="191"/>
      <c r="H713" s="191"/>
      <c r="I713" s="191"/>
      <c r="J713" s="191"/>
      <c r="K713" s="191"/>
      <c r="L713" s="191"/>
      <c r="M713" s="191"/>
      <c r="N713" s="191"/>
      <c r="O713" s="191"/>
      <c r="P713" s="191"/>
      <c r="Q713" s="191"/>
      <c r="R713" s="191"/>
      <c r="S713" s="191"/>
      <c r="T713" s="191"/>
      <c r="U713" s="191"/>
      <c r="V713" s="191"/>
    </row>
    <row r="714" ht="15.75" customHeight="1">
      <c r="A714" s="191"/>
      <c r="B714" s="191"/>
      <c r="C714" s="191"/>
      <c r="D714" s="191"/>
      <c r="E714" s="191"/>
      <c r="F714" s="191"/>
      <c r="G714" s="191"/>
      <c r="H714" s="191"/>
      <c r="I714" s="191"/>
      <c r="J714" s="191"/>
      <c r="K714" s="191"/>
      <c r="L714" s="191"/>
      <c r="M714" s="191"/>
      <c r="N714" s="191"/>
      <c r="O714" s="191"/>
      <c r="P714" s="191"/>
      <c r="Q714" s="191"/>
      <c r="R714" s="191"/>
      <c r="S714" s="191"/>
      <c r="T714" s="191"/>
      <c r="U714" s="191"/>
      <c r="V714" s="191"/>
    </row>
    <row r="715" ht="15.75" customHeight="1">
      <c r="A715" s="191"/>
      <c r="B715" s="191"/>
      <c r="C715" s="191"/>
      <c r="D715" s="191"/>
      <c r="E715" s="191"/>
      <c r="F715" s="191"/>
      <c r="G715" s="191"/>
      <c r="H715" s="191"/>
      <c r="I715" s="191"/>
      <c r="J715" s="191"/>
      <c r="K715" s="191"/>
      <c r="L715" s="191"/>
      <c r="M715" s="191"/>
      <c r="N715" s="191"/>
      <c r="O715" s="191"/>
      <c r="P715" s="191"/>
      <c r="Q715" s="191"/>
      <c r="R715" s="191"/>
      <c r="S715" s="191"/>
      <c r="T715" s="191"/>
      <c r="U715" s="191"/>
      <c r="V715" s="191"/>
    </row>
    <row r="716" ht="15.75" customHeight="1">
      <c r="A716" s="191"/>
      <c r="B716" s="191"/>
      <c r="C716" s="191"/>
      <c r="D716" s="191"/>
      <c r="E716" s="191"/>
      <c r="F716" s="191"/>
      <c r="G716" s="191"/>
      <c r="H716" s="191"/>
      <c r="I716" s="191"/>
      <c r="J716" s="191"/>
      <c r="K716" s="191"/>
      <c r="L716" s="191"/>
      <c r="M716" s="191"/>
      <c r="N716" s="191"/>
      <c r="O716" s="191"/>
      <c r="P716" s="191"/>
      <c r="Q716" s="191"/>
      <c r="R716" s="191"/>
      <c r="S716" s="191"/>
      <c r="T716" s="191"/>
      <c r="U716" s="191"/>
      <c r="V716" s="191"/>
    </row>
    <row r="717" ht="15.75" customHeight="1">
      <c r="A717" s="191"/>
      <c r="B717" s="191"/>
      <c r="C717" s="191"/>
      <c r="D717" s="191"/>
      <c r="E717" s="191"/>
      <c r="F717" s="191"/>
      <c r="G717" s="191"/>
      <c r="H717" s="191"/>
      <c r="I717" s="191"/>
      <c r="J717" s="191"/>
      <c r="K717" s="191"/>
      <c r="L717" s="191"/>
      <c r="M717" s="191"/>
      <c r="N717" s="191"/>
      <c r="O717" s="191"/>
      <c r="P717" s="191"/>
      <c r="Q717" s="191"/>
      <c r="R717" s="191"/>
      <c r="S717" s="191"/>
      <c r="T717" s="191"/>
      <c r="U717" s="191"/>
      <c r="V717" s="191"/>
    </row>
    <row r="718" ht="15.75" customHeight="1">
      <c r="A718" s="191"/>
      <c r="B718" s="191"/>
      <c r="C718" s="191"/>
      <c r="D718" s="191"/>
      <c r="E718" s="191"/>
      <c r="F718" s="191"/>
      <c r="G718" s="191"/>
      <c r="H718" s="191"/>
      <c r="I718" s="191"/>
      <c r="J718" s="191"/>
      <c r="K718" s="191"/>
      <c r="L718" s="191"/>
      <c r="M718" s="191"/>
      <c r="N718" s="191"/>
      <c r="O718" s="191"/>
      <c r="P718" s="191"/>
      <c r="Q718" s="191"/>
      <c r="R718" s="191"/>
      <c r="S718" s="191"/>
      <c r="T718" s="191"/>
      <c r="U718" s="191"/>
      <c r="V718" s="191"/>
    </row>
    <row r="719" ht="15.75" customHeight="1">
      <c r="A719" s="191"/>
      <c r="B719" s="191"/>
      <c r="C719" s="191"/>
      <c r="D719" s="191"/>
      <c r="E719" s="191"/>
      <c r="F719" s="191"/>
      <c r="G719" s="191"/>
      <c r="H719" s="191"/>
      <c r="I719" s="191"/>
      <c r="J719" s="191"/>
      <c r="K719" s="191"/>
      <c r="L719" s="191"/>
      <c r="M719" s="191"/>
      <c r="N719" s="191"/>
      <c r="O719" s="191"/>
      <c r="P719" s="191"/>
      <c r="Q719" s="191"/>
      <c r="R719" s="191"/>
      <c r="S719" s="191"/>
      <c r="T719" s="191"/>
      <c r="U719" s="191"/>
      <c r="V719" s="191"/>
    </row>
    <row r="720" ht="15.75" customHeight="1">
      <c r="A720" s="191"/>
      <c r="B720" s="191"/>
      <c r="C720" s="191"/>
      <c r="D720" s="191"/>
      <c r="E720" s="191"/>
      <c r="F720" s="191"/>
      <c r="G720" s="191"/>
      <c r="H720" s="191"/>
      <c r="I720" s="191"/>
      <c r="J720" s="191"/>
      <c r="K720" s="191"/>
      <c r="L720" s="191"/>
      <c r="M720" s="191"/>
      <c r="N720" s="191"/>
      <c r="O720" s="191"/>
      <c r="P720" s="191"/>
      <c r="Q720" s="191"/>
      <c r="R720" s="191"/>
      <c r="S720" s="191"/>
      <c r="T720" s="191"/>
      <c r="U720" s="191"/>
      <c r="V720" s="191"/>
    </row>
    <row r="721" ht="15.75" customHeight="1">
      <c r="A721" s="191"/>
      <c r="B721" s="191"/>
      <c r="C721" s="191"/>
      <c r="D721" s="191"/>
      <c r="E721" s="191"/>
      <c r="F721" s="191"/>
      <c r="G721" s="191"/>
      <c r="H721" s="191"/>
      <c r="I721" s="191"/>
      <c r="J721" s="191"/>
      <c r="K721" s="191"/>
      <c r="L721" s="191"/>
      <c r="M721" s="191"/>
      <c r="N721" s="191"/>
      <c r="O721" s="191"/>
      <c r="P721" s="191"/>
      <c r="Q721" s="191"/>
      <c r="R721" s="191"/>
      <c r="S721" s="191"/>
      <c r="T721" s="191"/>
      <c r="U721" s="191"/>
      <c r="V721" s="191"/>
    </row>
    <row r="722" ht="15.75" customHeight="1">
      <c r="A722" s="191"/>
      <c r="B722" s="191"/>
      <c r="C722" s="191"/>
      <c r="D722" s="191"/>
      <c r="E722" s="191"/>
      <c r="F722" s="191"/>
      <c r="G722" s="191"/>
      <c r="H722" s="191"/>
      <c r="I722" s="191"/>
      <c r="J722" s="191"/>
      <c r="K722" s="191"/>
      <c r="L722" s="191"/>
      <c r="M722" s="191"/>
      <c r="N722" s="191"/>
      <c r="O722" s="191"/>
      <c r="P722" s="191"/>
      <c r="Q722" s="191"/>
      <c r="R722" s="191"/>
      <c r="S722" s="191"/>
      <c r="T722" s="191"/>
      <c r="U722" s="191"/>
      <c r="V722" s="191"/>
    </row>
    <row r="723" ht="15.75" customHeight="1">
      <c r="A723" s="191"/>
      <c r="B723" s="191"/>
      <c r="C723" s="191"/>
      <c r="D723" s="191"/>
      <c r="E723" s="191"/>
      <c r="F723" s="191"/>
      <c r="G723" s="191"/>
      <c r="H723" s="191"/>
      <c r="I723" s="191"/>
      <c r="J723" s="191"/>
      <c r="K723" s="191"/>
      <c r="L723" s="191"/>
      <c r="M723" s="191"/>
      <c r="N723" s="191"/>
      <c r="O723" s="191"/>
      <c r="P723" s="191"/>
      <c r="Q723" s="191"/>
      <c r="R723" s="191"/>
      <c r="S723" s="191"/>
      <c r="T723" s="191"/>
      <c r="U723" s="191"/>
      <c r="V723" s="191"/>
    </row>
    <row r="724" ht="15.75" customHeight="1">
      <c r="A724" s="191"/>
      <c r="B724" s="191"/>
      <c r="C724" s="191"/>
      <c r="D724" s="191"/>
      <c r="E724" s="191"/>
      <c r="F724" s="191"/>
      <c r="G724" s="191"/>
      <c r="H724" s="191"/>
      <c r="I724" s="191"/>
      <c r="J724" s="191"/>
      <c r="K724" s="191"/>
      <c r="L724" s="191"/>
      <c r="M724" s="191"/>
      <c r="N724" s="191"/>
      <c r="O724" s="191"/>
      <c r="P724" s="191"/>
      <c r="Q724" s="191"/>
      <c r="R724" s="191"/>
      <c r="S724" s="191"/>
      <c r="T724" s="191"/>
      <c r="U724" s="191"/>
      <c r="V724" s="191"/>
    </row>
    <row r="725" ht="15.75" customHeight="1">
      <c r="A725" s="191"/>
      <c r="B725" s="191"/>
      <c r="C725" s="191"/>
      <c r="D725" s="191"/>
      <c r="E725" s="191"/>
      <c r="F725" s="191"/>
      <c r="G725" s="191"/>
      <c r="H725" s="191"/>
      <c r="I725" s="191"/>
      <c r="J725" s="191"/>
      <c r="K725" s="191"/>
      <c r="L725" s="191"/>
      <c r="M725" s="191"/>
      <c r="N725" s="191"/>
      <c r="O725" s="191"/>
      <c r="P725" s="191"/>
      <c r="Q725" s="191"/>
      <c r="R725" s="191"/>
      <c r="S725" s="191"/>
      <c r="T725" s="191"/>
      <c r="U725" s="191"/>
      <c r="V725" s="191"/>
    </row>
    <row r="726" ht="15.75" customHeight="1">
      <c r="A726" s="191"/>
      <c r="B726" s="191"/>
      <c r="C726" s="191"/>
      <c r="D726" s="191"/>
      <c r="E726" s="191"/>
      <c r="F726" s="191"/>
      <c r="G726" s="191"/>
      <c r="H726" s="191"/>
      <c r="I726" s="191"/>
      <c r="J726" s="191"/>
      <c r="K726" s="191"/>
      <c r="L726" s="191"/>
      <c r="M726" s="191"/>
      <c r="N726" s="191"/>
      <c r="O726" s="191"/>
      <c r="P726" s="191"/>
      <c r="Q726" s="191"/>
      <c r="R726" s="191"/>
      <c r="S726" s="191"/>
      <c r="T726" s="191"/>
      <c r="U726" s="191"/>
      <c r="V726" s="191"/>
    </row>
    <row r="727" ht="15.75" customHeight="1">
      <c r="A727" s="191"/>
      <c r="B727" s="191"/>
      <c r="C727" s="191"/>
      <c r="D727" s="191"/>
      <c r="E727" s="191"/>
      <c r="F727" s="191"/>
      <c r="G727" s="191"/>
      <c r="H727" s="191"/>
      <c r="I727" s="191"/>
      <c r="J727" s="191"/>
      <c r="K727" s="191"/>
      <c r="L727" s="191"/>
      <c r="M727" s="191"/>
      <c r="N727" s="191"/>
      <c r="O727" s="191"/>
      <c r="P727" s="191"/>
      <c r="Q727" s="191"/>
      <c r="R727" s="191"/>
      <c r="S727" s="191"/>
      <c r="T727" s="191"/>
      <c r="U727" s="191"/>
      <c r="V727" s="191"/>
    </row>
    <row r="728" ht="15.75" customHeight="1">
      <c r="A728" s="191"/>
      <c r="B728" s="191"/>
      <c r="C728" s="191"/>
      <c r="D728" s="191"/>
      <c r="E728" s="191"/>
      <c r="F728" s="191"/>
      <c r="G728" s="191"/>
      <c r="H728" s="191"/>
      <c r="I728" s="191"/>
      <c r="J728" s="191"/>
      <c r="K728" s="191"/>
      <c r="L728" s="191"/>
      <c r="M728" s="191"/>
      <c r="N728" s="191"/>
      <c r="O728" s="191"/>
      <c r="P728" s="191"/>
      <c r="Q728" s="191"/>
      <c r="R728" s="191"/>
      <c r="S728" s="191"/>
      <c r="T728" s="191"/>
      <c r="U728" s="191"/>
      <c r="V728" s="191"/>
    </row>
    <row r="729" ht="15.75" customHeight="1">
      <c r="A729" s="191"/>
      <c r="B729" s="191"/>
      <c r="C729" s="191"/>
      <c r="D729" s="191"/>
      <c r="E729" s="191"/>
      <c r="F729" s="191"/>
      <c r="G729" s="191"/>
      <c r="H729" s="191"/>
      <c r="I729" s="191"/>
      <c r="J729" s="191"/>
      <c r="K729" s="191"/>
      <c r="L729" s="191"/>
      <c r="M729" s="191"/>
      <c r="N729" s="191"/>
      <c r="O729" s="191"/>
      <c r="P729" s="191"/>
      <c r="Q729" s="191"/>
      <c r="R729" s="191"/>
      <c r="S729" s="191"/>
      <c r="T729" s="191"/>
      <c r="U729" s="191"/>
      <c r="V729" s="191"/>
    </row>
    <row r="730" ht="15.75" customHeight="1">
      <c r="A730" s="191"/>
      <c r="B730" s="191"/>
      <c r="C730" s="191"/>
      <c r="D730" s="191"/>
      <c r="E730" s="191"/>
      <c r="F730" s="191"/>
      <c r="G730" s="191"/>
      <c r="H730" s="191"/>
      <c r="I730" s="191"/>
      <c r="J730" s="191"/>
      <c r="K730" s="191"/>
      <c r="L730" s="191"/>
      <c r="M730" s="191"/>
      <c r="N730" s="191"/>
      <c r="O730" s="191"/>
      <c r="P730" s="191"/>
      <c r="Q730" s="191"/>
      <c r="R730" s="191"/>
      <c r="S730" s="191"/>
      <c r="T730" s="191"/>
      <c r="U730" s="191"/>
      <c r="V730" s="191"/>
    </row>
    <row r="731" ht="15.75" customHeight="1">
      <c r="A731" s="191"/>
      <c r="B731" s="191"/>
      <c r="C731" s="191"/>
      <c r="D731" s="191"/>
      <c r="E731" s="191"/>
      <c r="F731" s="191"/>
      <c r="G731" s="191"/>
      <c r="H731" s="191"/>
      <c r="I731" s="191"/>
      <c r="J731" s="191"/>
      <c r="K731" s="191"/>
      <c r="L731" s="191"/>
      <c r="M731" s="191"/>
      <c r="N731" s="191"/>
      <c r="O731" s="191"/>
      <c r="P731" s="191"/>
      <c r="Q731" s="191"/>
      <c r="R731" s="191"/>
      <c r="S731" s="191"/>
      <c r="T731" s="191"/>
      <c r="U731" s="191"/>
      <c r="V731" s="191"/>
    </row>
    <row r="732" ht="15.75" customHeight="1">
      <c r="A732" s="191"/>
      <c r="B732" s="191"/>
      <c r="C732" s="191"/>
      <c r="D732" s="191"/>
      <c r="E732" s="191"/>
      <c r="F732" s="191"/>
      <c r="G732" s="191"/>
      <c r="H732" s="191"/>
      <c r="I732" s="191"/>
      <c r="J732" s="191"/>
      <c r="K732" s="191"/>
      <c r="L732" s="191"/>
      <c r="M732" s="191"/>
      <c r="N732" s="191"/>
      <c r="O732" s="191"/>
      <c r="P732" s="191"/>
      <c r="Q732" s="191"/>
      <c r="R732" s="191"/>
      <c r="S732" s="191"/>
      <c r="T732" s="191"/>
      <c r="U732" s="191"/>
      <c r="V732" s="191"/>
    </row>
    <row r="733" ht="15.75" customHeight="1">
      <c r="A733" s="191"/>
      <c r="B733" s="191"/>
      <c r="C733" s="191"/>
      <c r="D733" s="191"/>
      <c r="E733" s="191"/>
      <c r="F733" s="191"/>
      <c r="G733" s="191"/>
      <c r="H733" s="191"/>
      <c r="I733" s="191"/>
      <c r="J733" s="191"/>
      <c r="K733" s="191"/>
      <c r="L733" s="191"/>
      <c r="M733" s="191"/>
      <c r="N733" s="191"/>
      <c r="O733" s="191"/>
      <c r="P733" s="191"/>
      <c r="Q733" s="191"/>
      <c r="R733" s="191"/>
      <c r="S733" s="191"/>
      <c r="T733" s="191"/>
      <c r="U733" s="191"/>
      <c r="V733" s="191"/>
    </row>
    <row r="734" ht="15.75" customHeight="1">
      <c r="A734" s="191"/>
      <c r="B734" s="191"/>
      <c r="C734" s="191"/>
      <c r="D734" s="191"/>
      <c r="E734" s="191"/>
      <c r="F734" s="191"/>
      <c r="G734" s="191"/>
      <c r="H734" s="191"/>
      <c r="I734" s="191"/>
      <c r="J734" s="191"/>
      <c r="K734" s="191"/>
      <c r="L734" s="191"/>
      <c r="M734" s="191"/>
      <c r="N734" s="191"/>
      <c r="O734" s="191"/>
      <c r="P734" s="191"/>
      <c r="Q734" s="191"/>
      <c r="R734" s="191"/>
      <c r="S734" s="191"/>
      <c r="T734" s="191"/>
      <c r="U734" s="191"/>
      <c r="V734" s="191"/>
    </row>
    <row r="735" ht="15.75" customHeight="1">
      <c r="A735" s="191"/>
      <c r="B735" s="191"/>
      <c r="C735" s="191"/>
      <c r="D735" s="191"/>
      <c r="E735" s="191"/>
      <c r="F735" s="191"/>
      <c r="G735" s="191"/>
      <c r="H735" s="191"/>
      <c r="I735" s="191"/>
      <c r="J735" s="191"/>
      <c r="K735" s="191"/>
      <c r="L735" s="191"/>
      <c r="M735" s="191"/>
      <c r="N735" s="191"/>
      <c r="O735" s="191"/>
      <c r="P735" s="191"/>
      <c r="Q735" s="191"/>
      <c r="R735" s="191"/>
      <c r="S735" s="191"/>
      <c r="T735" s="191"/>
      <c r="U735" s="191"/>
      <c r="V735" s="191"/>
    </row>
    <row r="736" ht="15.75" customHeight="1">
      <c r="A736" s="191"/>
      <c r="B736" s="191"/>
      <c r="C736" s="191"/>
      <c r="D736" s="191"/>
      <c r="E736" s="191"/>
      <c r="F736" s="191"/>
      <c r="G736" s="191"/>
      <c r="H736" s="191"/>
      <c r="I736" s="191"/>
      <c r="J736" s="191"/>
      <c r="K736" s="191"/>
      <c r="L736" s="191"/>
      <c r="M736" s="191"/>
      <c r="N736" s="191"/>
      <c r="O736" s="191"/>
      <c r="P736" s="191"/>
      <c r="Q736" s="191"/>
      <c r="R736" s="191"/>
      <c r="S736" s="191"/>
      <c r="T736" s="191"/>
      <c r="U736" s="191"/>
      <c r="V736" s="191"/>
    </row>
    <row r="737" ht="15.75" customHeight="1">
      <c r="A737" s="191"/>
      <c r="B737" s="191"/>
      <c r="C737" s="191"/>
      <c r="D737" s="191"/>
      <c r="E737" s="191"/>
      <c r="F737" s="191"/>
      <c r="G737" s="191"/>
      <c r="H737" s="191"/>
      <c r="I737" s="191"/>
      <c r="J737" s="191"/>
      <c r="K737" s="191"/>
      <c r="L737" s="191"/>
      <c r="M737" s="191"/>
      <c r="N737" s="191"/>
      <c r="O737" s="191"/>
      <c r="P737" s="191"/>
      <c r="Q737" s="191"/>
      <c r="R737" s="191"/>
      <c r="S737" s="191"/>
      <c r="T737" s="191"/>
      <c r="U737" s="191"/>
      <c r="V737" s="191"/>
    </row>
    <row r="738" ht="15.75" customHeight="1">
      <c r="A738" s="191"/>
      <c r="B738" s="191"/>
      <c r="C738" s="191"/>
      <c r="D738" s="191"/>
      <c r="E738" s="191"/>
      <c r="F738" s="191"/>
      <c r="G738" s="191"/>
      <c r="H738" s="191"/>
      <c r="I738" s="191"/>
      <c r="J738" s="191"/>
      <c r="K738" s="191"/>
      <c r="L738" s="191"/>
      <c r="M738" s="191"/>
      <c r="N738" s="191"/>
      <c r="O738" s="191"/>
      <c r="P738" s="191"/>
      <c r="Q738" s="191"/>
      <c r="R738" s="191"/>
      <c r="S738" s="191"/>
      <c r="T738" s="191"/>
      <c r="U738" s="191"/>
      <c r="V738" s="191"/>
    </row>
    <row r="739" ht="15.75" customHeight="1">
      <c r="A739" s="191"/>
      <c r="B739" s="191"/>
      <c r="C739" s="191"/>
      <c r="D739" s="191"/>
      <c r="E739" s="191"/>
      <c r="F739" s="191"/>
      <c r="G739" s="191"/>
      <c r="H739" s="191"/>
      <c r="I739" s="191"/>
      <c r="J739" s="191"/>
      <c r="K739" s="191"/>
      <c r="L739" s="191"/>
      <c r="M739" s="191"/>
      <c r="N739" s="191"/>
      <c r="O739" s="191"/>
      <c r="P739" s="191"/>
      <c r="Q739" s="191"/>
      <c r="R739" s="191"/>
      <c r="S739" s="191"/>
      <c r="T739" s="191"/>
      <c r="U739" s="191"/>
      <c r="V739" s="191"/>
    </row>
    <row r="740" ht="15.75" customHeight="1">
      <c r="A740" s="191"/>
      <c r="B740" s="191"/>
      <c r="C740" s="191"/>
      <c r="D740" s="191"/>
      <c r="E740" s="191"/>
      <c r="F740" s="191"/>
      <c r="G740" s="191"/>
      <c r="H740" s="191"/>
      <c r="I740" s="191"/>
      <c r="J740" s="191"/>
      <c r="K740" s="191"/>
      <c r="L740" s="191"/>
      <c r="M740" s="191"/>
      <c r="N740" s="191"/>
      <c r="O740" s="191"/>
      <c r="P740" s="191"/>
      <c r="Q740" s="191"/>
      <c r="R740" s="191"/>
      <c r="S740" s="191"/>
      <c r="T740" s="191"/>
      <c r="U740" s="191"/>
      <c r="V740" s="191"/>
    </row>
    <row r="741" ht="15.75" customHeight="1">
      <c r="A741" s="191"/>
      <c r="B741" s="191"/>
      <c r="C741" s="191"/>
      <c r="D741" s="191"/>
      <c r="E741" s="191"/>
      <c r="F741" s="191"/>
      <c r="G741" s="191"/>
      <c r="H741" s="191"/>
      <c r="I741" s="191"/>
      <c r="J741" s="191"/>
      <c r="K741" s="191"/>
      <c r="L741" s="191"/>
      <c r="M741" s="191"/>
      <c r="N741" s="191"/>
      <c r="O741" s="191"/>
      <c r="P741" s="191"/>
      <c r="Q741" s="191"/>
      <c r="R741" s="191"/>
      <c r="S741" s="191"/>
      <c r="T741" s="191"/>
      <c r="U741" s="191"/>
      <c r="V741" s="191"/>
    </row>
    <row r="742" ht="15.75" customHeight="1">
      <c r="A742" s="191"/>
      <c r="B742" s="191"/>
      <c r="C742" s="191"/>
      <c r="D742" s="191"/>
      <c r="E742" s="191"/>
      <c r="F742" s="191"/>
      <c r="G742" s="191"/>
      <c r="H742" s="191"/>
      <c r="I742" s="191"/>
      <c r="J742" s="191"/>
      <c r="K742" s="191"/>
      <c r="L742" s="191"/>
      <c r="M742" s="191"/>
      <c r="N742" s="191"/>
      <c r="O742" s="191"/>
      <c r="P742" s="191"/>
      <c r="Q742" s="191"/>
      <c r="R742" s="191"/>
      <c r="S742" s="191"/>
      <c r="T742" s="191"/>
      <c r="U742" s="191"/>
      <c r="V742" s="191"/>
    </row>
    <row r="743" ht="15.75" customHeight="1">
      <c r="A743" s="191"/>
      <c r="B743" s="191"/>
      <c r="C743" s="191"/>
      <c r="D743" s="191"/>
      <c r="E743" s="191"/>
      <c r="F743" s="191"/>
      <c r="G743" s="191"/>
      <c r="H743" s="191"/>
      <c r="I743" s="191"/>
      <c r="J743" s="191"/>
      <c r="K743" s="191"/>
      <c r="L743" s="191"/>
      <c r="M743" s="191"/>
      <c r="N743" s="191"/>
      <c r="O743" s="191"/>
      <c r="P743" s="191"/>
      <c r="Q743" s="191"/>
      <c r="R743" s="191"/>
      <c r="S743" s="191"/>
      <c r="T743" s="191"/>
      <c r="U743" s="191"/>
      <c r="V743" s="191"/>
    </row>
    <row r="744" ht="15.75" customHeight="1">
      <c r="A744" s="191"/>
      <c r="B744" s="191"/>
      <c r="C744" s="191"/>
      <c r="D744" s="191"/>
      <c r="E744" s="191"/>
      <c r="F744" s="191"/>
      <c r="G744" s="191"/>
      <c r="H744" s="191"/>
      <c r="I744" s="191"/>
      <c r="J744" s="191"/>
      <c r="K744" s="191"/>
      <c r="L744" s="191"/>
      <c r="M744" s="191"/>
      <c r="N744" s="191"/>
      <c r="O744" s="191"/>
      <c r="P744" s="191"/>
      <c r="Q744" s="191"/>
      <c r="R744" s="191"/>
      <c r="S744" s="191"/>
      <c r="T744" s="191"/>
      <c r="U744" s="191"/>
      <c r="V744" s="191"/>
    </row>
    <row r="745" ht="15.75" customHeight="1">
      <c r="A745" s="191"/>
      <c r="B745" s="191"/>
      <c r="C745" s="191"/>
      <c r="D745" s="191"/>
      <c r="E745" s="191"/>
      <c r="F745" s="191"/>
      <c r="G745" s="191"/>
      <c r="H745" s="191"/>
      <c r="I745" s="191"/>
      <c r="J745" s="191"/>
      <c r="K745" s="191"/>
      <c r="L745" s="191"/>
      <c r="M745" s="191"/>
      <c r="N745" s="191"/>
      <c r="O745" s="191"/>
      <c r="P745" s="191"/>
      <c r="Q745" s="191"/>
      <c r="R745" s="191"/>
      <c r="S745" s="191"/>
      <c r="T745" s="191"/>
      <c r="U745" s="191"/>
      <c r="V745" s="191"/>
    </row>
    <row r="746" ht="15.75" customHeight="1">
      <c r="A746" s="191"/>
      <c r="B746" s="191"/>
      <c r="C746" s="191"/>
      <c r="D746" s="191"/>
      <c r="E746" s="191"/>
      <c r="F746" s="191"/>
      <c r="G746" s="191"/>
      <c r="H746" s="191"/>
      <c r="I746" s="191"/>
      <c r="J746" s="191"/>
      <c r="K746" s="191"/>
      <c r="L746" s="191"/>
      <c r="M746" s="191"/>
      <c r="N746" s="191"/>
      <c r="O746" s="191"/>
      <c r="P746" s="191"/>
      <c r="Q746" s="191"/>
      <c r="R746" s="191"/>
      <c r="S746" s="191"/>
      <c r="T746" s="191"/>
      <c r="U746" s="191"/>
      <c r="V746" s="191"/>
    </row>
    <row r="747" ht="15.75" customHeight="1">
      <c r="A747" s="191"/>
      <c r="B747" s="191"/>
      <c r="C747" s="191"/>
      <c r="D747" s="191"/>
      <c r="E747" s="191"/>
      <c r="F747" s="191"/>
      <c r="G747" s="191"/>
      <c r="H747" s="191"/>
      <c r="I747" s="191"/>
      <c r="J747" s="191"/>
      <c r="K747" s="191"/>
      <c r="L747" s="191"/>
      <c r="M747" s="191"/>
      <c r="N747" s="191"/>
      <c r="O747" s="191"/>
      <c r="P747" s="191"/>
      <c r="Q747" s="191"/>
      <c r="R747" s="191"/>
      <c r="S747" s="191"/>
      <c r="T747" s="191"/>
      <c r="U747" s="191"/>
      <c r="V747" s="191"/>
    </row>
    <row r="748" ht="15.75" customHeight="1">
      <c r="A748" s="191"/>
      <c r="B748" s="191"/>
      <c r="C748" s="191"/>
      <c r="D748" s="191"/>
      <c r="E748" s="191"/>
      <c r="F748" s="191"/>
      <c r="G748" s="191"/>
      <c r="H748" s="191"/>
      <c r="I748" s="191"/>
      <c r="J748" s="191"/>
      <c r="K748" s="191"/>
      <c r="L748" s="191"/>
      <c r="M748" s="191"/>
      <c r="N748" s="191"/>
      <c r="O748" s="191"/>
      <c r="P748" s="191"/>
      <c r="Q748" s="191"/>
      <c r="R748" s="191"/>
      <c r="S748" s="191"/>
      <c r="T748" s="191"/>
      <c r="U748" s="191"/>
      <c r="V748" s="191"/>
    </row>
    <row r="749" ht="15.75" customHeight="1">
      <c r="A749" s="191"/>
      <c r="B749" s="191"/>
      <c r="C749" s="191"/>
      <c r="D749" s="191"/>
      <c r="E749" s="191"/>
      <c r="F749" s="191"/>
      <c r="G749" s="191"/>
      <c r="H749" s="191"/>
      <c r="I749" s="191"/>
      <c r="J749" s="191"/>
      <c r="K749" s="191"/>
      <c r="L749" s="191"/>
      <c r="M749" s="191"/>
      <c r="N749" s="191"/>
      <c r="O749" s="191"/>
      <c r="P749" s="191"/>
      <c r="Q749" s="191"/>
      <c r="R749" s="191"/>
      <c r="S749" s="191"/>
      <c r="T749" s="191"/>
      <c r="U749" s="191"/>
      <c r="V749" s="191"/>
    </row>
    <row r="750" ht="15.75" customHeight="1">
      <c r="A750" s="191"/>
      <c r="B750" s="191"/>
      <c r="C750" s="191"/>
      <c r="D750" s="191"/>
      <c r="E750" s="191"/>
      <c r="F750" s="191"/>
      <c r="G750" s="191"/>
      <c r="H750" s="191"/>
      <c r="I750" s="191"/>
      <c r="J750" s="191"/>
      <c r="K750" s="191"/>
      <c r="L750" s="191"/>
      <c r="M750" s="191"/>
      <c r="N750" s="191"/>
      <c r="O750" s="191"/>
      <c r="P750" s="191"/>
      <c r="Q750" s="191"/>
      <c r="R750" s="191"/>
      <c r="S750" s="191"/>
      <c r="T750" s="191"/>
      <c r="U750" s="191"/>
      <c r="V750" s="191"/>
    </row>
    <row r="751" ht="15.75" customHeight="1">
      <c r="A751" s="191"/>
      <c r="B751" s="191"/>
      <c r="C751" s="191"/>
      <c r="D751" s="191"/>
      <c r="E751" s="191"/>
      <c r="F751" s="191"/>
      <c r="G751" s="191"/>
      <c r="H751" s="191"/>
      <c r="I751" s="191"/>
      <c r="J751" s="191"/>
      <c r="K751" s="191"/>
      <c r="L751" s="191"/>
      <c r="M751" s="191"/>
      <c r="N751" s="191"/>
      <c r="O751" s="191"/>
      <c r="P751" s="191"/>
      <c r="Q751" s="191"/>
      <c r="R751" s="191"/>
      <c r="S751" s="191"/>
      <c r="T751" s="191"/>
      <c r="U751" s="191"/>
      <c r="V751" s="191"/>
    </row>
    <row r="752" ht="15.75" customHeight="1">
      <c r="A752" s="191"/>
      <c r="B752" s="191"/>
      <c r="C752" s="191"/>
      <c r="D752" s="191"/>
      <c r="E752" s="191"/>
      <c r="F752" s="191"/>
      <c r="G752" s="191"/>
      <c r="H752" s="191"/>
      <c r="I752" s="191"/>
      <c r="J752" s="191"/>
      <c r="K752" s="191"/>
      <c r="L752" s="191"/>
      <c r="M752" s="191"/>
      <c r="N752" s="191"/>
      <c r="O752" s="191"/>
      <c r="P752" s="191"/>
      <c r="Q752" s="191"/>
      <c r="R752" s="191"/>
      <c r="S752" s="191"/>
      <c r="T752" s="191"/>
      <c r="U752" s="191"/>
      <c r="V752" s="191"/>
    </row>
    <row r="753" ht="15.75" customHeight="1">
      <c r="A753" s="191"/>
      <c r="B753" s="191"/>
      <c r="C753" s="191"/>
      <c r="D753" s="191"/>
      <c r="E753" s="191"/>
      <c r="F753" s="191"/>
      <c r="G753" s="191"/>
      <c r="H753" s="191"/>
      <c r="I753" s="191"/>
      <c r="J753" s="191"/>
      <c r="K753" s="191"/>
      <c r="L753" s="191"/>
      <c r="M753" s="191"/>
      <c r="N753" s="191"/>
      <c r="O753" s="191"/>
      <c r="P753" s="191"/>
      <c r="Q753" s="191"/>
      <c r="R753" s="191"/>
      <c r="S753" s="191"/>
      <c r="T753" s="191"/>
      <c r="U753" s="191"/>
      <c r="V753" s="191"/>
    </row>
    <row r="754" ht="15.75" customHeight="1">
      <c r="A754" s="191"/>
      <c r="B754" s="191"/>
      <c r="C754" s="191"/>
      <c r="D754" s="191"/>
      <c r="E754" s="191"/>
      <c r="F754" s="191"/>
      <c r="G754" s="191"/>
      <c r="H754" s="191"/>
      <c r="I754" s="191"/>
      <c r="J754" s="191"/>
      <c r="K754" s="191"/>
      <c r="L754" s="191"/>
      <c r="M754" s="191"/>
      <c r="N754" s="191"/>
      <c r="O754" s="191"/>
      <c r="P754" s="191"/>
      <c r="Q754" s="191"/>
      <c r="R754" s="191"/>
      <c r="S754" s="191"/>
      <c r="T754" s="191"/>
      <c r="U754" s="191"/>
      <c r="V754" s="191"/>
    </row>
    <row r="755" ht="15.75" customHeight="1">
      <c r="A755" s="191"/>
      <c r="B755" s="191"/>
      <c r="C755" s="191"/>
      <c r="D755" s="191"/>
      <c r="E755" s="191"/>
      <c r="F755" s="191"/>
      <c r="G755" s="191"/>
      <c r="H755" s="191"/>
      <c r="I755" s="191"/>
      <c r="J755" s="191"/>
      <c r="K755" s="191"/>
      <c r="L755" s="191"/>
      <c r="M755" s="191"/>
      <c r="N755" s="191"/>
      <c r="O755" s="191"/>
      <c r="P755" s="191"/>
      <c r="Q755" s="191"/>
      <c r="R755" s="191"/>
      <c r="S755" s="191"/>
      <c r="T755" s="191"/>
      <c r="U755" s="191"/>
      <c r="V755" s="191"/>
    </row>
    <row r="756" ht="15.75" customHeight="1">
      <c r="A756" s="191"/>
      <c r="B756" s="191"/>
      <c r="C756" s="191"/>
      <c r="D756" s="191"/>
      <c r="E756" s="191"/>
      <c r="F756" s="191"/>
      <c r="G756" s="191"/>
      <c r="H756" s="191"/>
      <c r="I756" s="191"/>
      <c r="J756" s="191"/>
      <c r="K756" s="191"/>
      <c r="L756" s="191"/>
      <c r="M756" s="191"/>
      <c r="N756" s="191"/>
      <c r="O756" s="191"/>
      <c r="P756" s="191"/>
      <c r="Q756" s="191"/>
      <c r="R756" s="191"/>
      <c r="S756" s="191"/>
      <c r="T756" s="191"/>
      <c r="U756" s="191"/>
      <c r="V756" s="191"/>
    </row>
    <row r="757" ht="15.75" customHeight="1">
      <c r="A757" s="191"/>
      <c r="B757" s="191"/>
      <c r="C757" s="191"/>
      <c r="D757" s="191"/>
      <c r="E757" s="191"/>
      <c r="F757" s="191"/>
      <c r="G757" s="191"/>
      <c r="H757" s="191"/>
      <c r="I757" s="191"/>
      <c r="J757" s="191"/>
      <c r="K757" s="191"/>
      <c r="L757" s="191"/>
      <c r="M757" s="191"/>
      <c r="N757" s="191"/>
      <c r="O757" s="191"/>
      <c r="P757" s="191"/>
      <c r="Q757" s="191"/>
      <c r="R757" s="191"/>
      <c r="S757" s="191"/>
      <c r="T757" s="191"/>
      <c r="U757" s="191"/>
      <c r="V757" s="191"/>
    </row>
    <row r="758" ht="15.75" customHeight="1">
      <c r="A758" s="191"/>
      <c r="B758" s="191"/>
      <c r="C758" s="191"/>
      <c r="D758" s="191"/>
      <c r="E758" s="191"/>
      <c r="F758" s="191"/>
      <c r="G758" s="191"/>
      <c r="H758" s="191"/>
      <c r="I758" s="191"/>
      <c r="J758" s="191"/>
      <c r="K758" s="191"/>
      <c r="L758" s="191"/>
      <c r="M758" s="191"/>
      <c r="N758" s="191"/>
      <c r="O758" s="191"/>
      <c r="P758" s="191"/>
      <c r="Q758" s="191"/>
      <c r="R758" s="191"/>
      <c r="S758" s="191"/>
      <c r="T758" s="191"/>
      <c r="U758" s="191"/>
      <c r="V758" s="191"/>
    </row>
    <row r="759" ht="15.75" customHeight="1">
      <c r="A759" s="191"/>
      <c r="B759" s="191"/>
      <c r="C759" s="191"/>
      <c r="D759" s="191"/>
      <c r="E759" s="191"/>
      <c r="F759" s="191"/>
      <c r="G759" s="191"/>
      <c r="H759" s="191"/>
      <c r="I759" s="191"/>
      <c r="J759" s="191"/>
      <c r="K759" s="191"/>
      <c r="L759" s="191"/>
      <c r="M759" s="191"/>
      <c r="N759" s="191"/>
      <c r="O759" s="191"/>
      <c r="P759" s="191"/>
      <c r="Q759" s="191"/>
      <c r="R759" s="191"/>
      <c r="S759" s="191"/>
      <c r="T759" s="191"/>
      <c r="U759" s="191"/>
      <c r="V759" s="191"/>
    </row>
    <row r="760" ht="15.75" customHeight="1">
      <c r="A760" s="191"/>
      <c r="B760" s="191"/>
      <c r="C760" s="191"/>
      <c r="D760" s="191"/>
      <c r="E760" s="191"/>
      <c r="F760" s="191"/>
      <c r="G760" s="191"/>
      <c r="H760" s="191"/>
      <c r="I760" s="191"/>
      <c r="J760" s="191"/>
      <c r="K760" s="191"/>
      <c r="L760" s="191"/>
      <c r="M760" s="191"/>
      <c r="N760" s="191"/>
      <c r="O760" s="191"/>
      <c r="P760" s="191"/>
      <c r="Q760" s="191"/>
      <c r="R760" s="191"/>
      <c r="S760" s="191"/>
      <c r="T760" s="191"/>
      <c r="U760" s="191"/>
      <c r="V760" s="191"/>
    </row>
    <row r="761" ht="15.75" customHeight="1">
      <c r="A761" s="191"/>
      <c r="B761" s="191"/>
      <c r="C761" s="191"/>
      <c r="D761" s="191"/>
      <c r="E761" s="191"/>
      <c r="F761" s="191"/>
      <c r="G761" s="191"/>
      <c r="H761" s="191"/>
      <c r="I761" s="191"/>
      <c r="J761" s="191"/>
      <c r="K761" s="191"/>
      <c r="L761" s="191"/>
      <c r="M761" s="191"/>
      <c r="N761" s="191"/>
      <c r="O761" s="191"/>
      <c r="P761" s="191"/>
      <c r="Q761" s="191"/>
      <c r="R761" s="191"/>
      <c r="S761" s="191"/>
      <c r="T761" s="191"/>
      <c r="U761" s="191"/>
      <c r="V761" s="191"/>
    </row>
    <row r="762" ht="15.75" customHeight="1">
      <c r="A762" s="191"/>
      <c r="B762" s="191"/>
      <c r="C762" s="191"/>
      <c r="D762" s="191"/>
      <c r="E762" s="191"/>
      <c r="F762" s="191"/>
      <c r="G762" s="191"/>
      <c r="H762" s="191"/>
      <c r="I762" s="191"/>
      <c r="J762" s="191"/>
      <c r="K762" s="191"/>
      <c r="L762" s="191"/>
      <c r="M762" s="191"/>
      <c r="N762" s="191"/>
      <c r="O762" s="191"/>
      <c r="P762" s="191"/>
      <c r="Q762" s="191"/>
      <c r="R762" s="191"/>
      <c r="S762" s="191"/>
      <c r="T762" s="191"/>
      <c r="U762" s="191"/>
      <c r="V762" s="191"/>
    </row>
    <row r="763" ht="15.75" customHeight="1">
      <c r="A763" s="191"/>
      <c r="B763" s="191"/>
      <c r="C763" s="191"/>
      <c r="D763" s="191"/>
      <c r="E763" s="191"/>
      <c r="F763" s="191"/>
      <c r="G763" s="191"/>
      <c r="H763" s="191"/>
      <c r="I763" s="191"/>
      <c r="J763" s="191"/>
      <c r="K763" s="191"/>
      <c r="L763" s="191"/>
      <c r="M763" s="191"/>
      <c r="N763" s="191"/>
      <c r="O763" s="191"/>
      <c r="P763" s="191"/>
      <c r="Q763" s="191"/>
      <c r="R763" s="191"/>
      <c r="S763" s="191"/>
      <c r="T763" s="191"/>
      <c r="U763" s="191"/>
      <c r="V763" s="191"/>
    </row>
    <row r="764" ht="15.75" customHeight="1">
      <c r="A764" s="191"/>
      <c r="B764" s="191"/>
      <c r="C764" s="191"/>
      <c r="D764" s="191"/>
      <c r="E764" s="191"/>
      <c r="F764" s="191"/>
      <c r="G764" s="191"/>
      <c r="H764" s="191"/>
      <c r="I764" s="191"/>
      <c r="J764" s="191"/>
      <c r="K764" s="191"/>
      <c r="L764" s="191"/>
      <c r="M764" s="191"/>
      <c r="N764" s="191"/>
      <c r="O764" s="191"/>
      <c r="P764" s="191"/>
      <c r="Q764" s="191"/>
      <c r="R764" s="191"/>
      <c r="S764" s="191"/>
      <c r="T764" s="191"/>
      <c r="U764" s="191"/>
      <c r="V764" s="191"/>
    </row>
    <row r="765" ht="15.75" customHeight="1">
      <c r="A765" s="191"/>
      <c r="B765" s="191"/>
      <c r="C765" s="191"/>
      <c r="D765" s="191"/>
      <c r="E765" s="191"/>
      <c r="F765" s="191"/>
      <c r="G765" s="191"/>
      <c r="H765" s="191"/>
      <c r="I765" s="191"/>
      <c r="J765" s="191"/>
      <c r="K765" s="191"/>
      <c r="L765" s="191"/>
      <c r="M765" s="191"/>
      <c r="N765" s="191"/>
      <c r="O765" s="191"/>
      <c r="P765" s="191"/>
      <c r="Q765" s="191"/>
      <c r="R765" s="191"/>
      <c r="S765" s="191"/>
      <c r="T765" s="191"/>
      <c r="U765" s="191"/>
      <c r="V765" s="191"/>
    </row>
    <row r="766" ht="15.75" customHeight="1">
      <c r="A766" s="191"/>
      <c r="B766" s="191"/>
      <c r="C766" s="191"/>
      <c r="D766" s="191"/>
      <c r="E766" s="191"/>
      <c r="F766" s="191"/>
      <c r="G766" s="191"/>
      <c r="H766" s="191"/>
      <c r="I766" s="191"/>
      <c r="J766" s="191"/>
      <c r="K766" s="191"/>
      <c r="L766" s="191"/>
      <c r="M766" s="191"/>
      <c r="N766" s="191"/>
      <c r="O766" s="191"/>
      <c r="P766" s="191"/>
      <c r="Q766" s="191"/>
      <c r="R766" s="191"/>
      <c r="S766" s="191"/>
      <c r="T766" s="191"/>
      <c r="U766" s="191"/>
      <c r="V766" s="191"/>
    </row>
    <row r="767" ht="15.75" customHeight="1">
      <c r="A767" s="191"/>
      <c r="B767" s="191"/>
      <c r="C767" s="191"/>
      <c r="D767" s="191"/>
      <c r="E767" s="191"/>
      <c r="F767" s="191"/>
      <c r="G767" s="191"/>
      <c r="H767" s="191"/>
      <c r="I767" s="191"/>
      <c r="J767" s="191"/>
      <c r="K767" s="191"/>
      <c r="L767" s="191"/>
      <c r="M767" s="191"/>
      <c r="N767" s="191"/>
      <c r="O767" s="191"/>
      <c r="P767" s="191"/>
      <c r="Q767" s="191"/>
      <c r="R767" s="191"/>
      <c r="S767" s="191"/>
      <c r="T767" s="191"/>
      <c r="U767" s="191"/>
      <c r="V767" s="191"/>
    </row>
    <row r="768" ht="15.75" customHeight="1">
      <c r="A768" s="191"/>
      <c r="B768" s="191"/>
      <c r="C768" s="191"/>
      <c r="D768" s="191"/>
      <c r="E768" s="191"/>
      <c r="F768" s="191"/>
      <c r="G768" s="191"/>
      <c r="H768" s="191"/>
      <c r="I768" s="191"/>
      <c r="J768" s="191"/>
      <c r="K768" s="191"/>
      <c r="L768" s="191"/>
      <c r="M768" s="191"/>
      <c r="N768" s="191"/>
      <c r="O768" s="191"/>
      <c r="P768" s="191"/>
      <c r="Q768" s="191"/>
      <c r="R768" s="191"/>
      <c r="S768" s="191"/>
      <c r="T768" s="191"/>
      <c r="U768" s="191"/>
      <c r="V768" s="191"/>
    </row>
    <row r="769" ht="15.75" customHeight="1">
      <c r="A769" s="191"/>
      <c r="B769" s="191"/>
      <c r="C769" s="191"/>
      <c r="D769" s="191"/>
      <c r="E769" s="191"/>
      <c r="F769" s="191"/>
      <c r="G769" s="191"/>
      <c r="H769" s="191"/>
      <c r="I769" s="191"/>
      <c r="J769" s="191"/>
      <c r="K769" s="191"/>
      <c r="L769" s="191"/>
      <c r="M769" s="191"/>
      <c r="N769" s="191"/>
      <c r="O769" s="191"/>
      <c r="P769" s="191"/>
      <c r="Q769" s="191"/>
      <c r="R769" s="191"/>
      <c r="S769" s="191"/>
      <c r="T769" s="191"/>
      <c r="U769" s="191"/>
      <c r="V769" s="191"/>
    </row>
    <row r="770" ht="15.75" customHeight="1">
      <c r="A770" s="191"/>
      <c r="B770" s="191"/>
      <c r="C770" s="191"/>
      <c r="D770" s="191"/>
      <c r="E770" s="191"/>
      <c r="F770" s="191"/>
      <c r="G770" s="191"/>
      <c r="H770" s="191"/>
      <c r="I770" s="191"/>
      <c r="J770" s="191"/>
      <c r="K770" s="191"/>
      <c r="L770" s="191"/>
      <c r="M770" s="191"/>
      <c r="N770" s="191"/>
      <c r="O770" s="191"/>
      <c r="P770" s="191"/>
      <c r="Q770" s="191"/>
      <c r="R770" s="191"/>
      <c r="S770" s="191"/>
      <c r="T770" s="191"/>
      <c r="U770" s="191"/>
      <c r="V770" s="191"/>
    </row>
    <row r="771" ht="15.75" customHeight="1">
      <c r="A771" s="191"/>
      <c r="B771" s="191"/>
      <c r="C771" s="191"/>
      <c r="D771" s="191"/>
      <c r="E771" s="191"/>
      <c r="F771" s="191"/>
      <c r="G771" s="191"/>
      <c r="H771" s="191"/>
      <c r="I771" s="191"/>
      <c r="J771" s="191"/>
      <c r="K771" s="191"/>
      <c r="L771" s="191"/>
      <c r="M771" s="191"/>
      <c r="N771" s="191"/>
      <c r="O771" s="191"/>
      <c r="P771" s="191"/>
      <c r="Q771" s="191"/>
      <c r="R771" s="191"/>
      <c r="S771" s="191"/>
      <c r="T771" s="191"/>
      <c r="U771" s="191"/>
      <c r="V771" s="191"/>
    </row>
    <row r="772" ht="15.75" customHeight="1">
      <c r="A772" s="191"/>
      <c r="B772" s="191"/>
      <c r="C772" s="191"/>
      <c r="D772" s="191"/>
      <c r="E772" s="191"/>
      <c r="F772" s="191"/>
      <c r="G772" s="191"/>
      <c r="H772" s="191"/>
      <c r="I772" s="191"/>
      <c r="J772" s="191"/>
      <c r="K772" s="191"/>
      <c r="L772" s="191"/>
      <c r="M772" s="191"/>
      <c r="N772" s="191"/>
      <c r="O772" s="191"/>
      <c r="P772" s="191"/>
      <c r="Q772" s="191"/>
      <c r="R772" s="191"/>
      <c r="S772" s="191"/>
      <c r="T772" s="191"/>
      <c r="U772" s="191"/>
      <c r="V772" s="191"/>
    </row>
    <row r="773" ht="15.75" customHeight="1">
      <c r="A773" s="191"/>
      <c r="B773" s="191"/>
      <c r="C773" s="191"/>
      <c r="D773" s="191"/>
      <c r="E773" s="191"/>
      <c r="F773" s="191"/>
      <c r="G773" s="191"/>
      <c r="H773" s="191"/>
      <c r="I773" s="191"/>
      <c r="J773" s="191"/>
      <c r="K773" s="191"/>
      <c r="L773" s="191"/>
      <c r="M773" s="191"/>
      <c r="N773" s="191"/>
      <c r="O773" s="191"/>
      <c r="P773" s="191"/>
      <c r="Q773" s="191"/>
      <c r="R773" s="191"/>
      <c r="S773" s="191"/>
      <c r="T773" s="191"/>
      <c r="U773" s="191"/>
      <c r="V773" s="191"/>
    </row>
    <row r="774" ht="15.75" customHeight="1">
      <c r="A774" s="191"/>
      <c r="B774" s="191"/>
      <c r="C774" s="191"/>
      <c r="D774" s="191"/>
      <c r="E774" s="191"/>
      <c r="F774" s="191"/>
      <c r="G774" s="191"/>
      <c r="H774" s="191"/>
      <c r="I774" s="191"/>
      <c r="J774" s="191"/>
      <c r="K774" s="191"/>
      <c r="L774" s="191"/>
      <c r="M774" s="191"/>
      <c r="N774" s="191"/>
      <c r="O774" s="191"/>
      <c r="P774" s="191"/>
      <c r="Q774" s="191"/>
      <c r="R774" s="191"/>
      <c r="S774" s="191"/>
      <c r="T774" s="191"/>
      <c r="U774" s="191"/>
      <c r="V774" s="191"/>
    </row>
    <row r="775" ht="15.75" customHeight="1">
      <c r="A775" s="191"/>
      <c r="B775" s="191"/>
      <c r="C775" s="191"/>
      <c r="D775" s="191"/>
      <c r="E775" s="191"/>
      <c r="F775" s="191"/>
      <c r="G775" s="191"/>
      <c r="H775" s="191"/>
      <c r="I775" s="191"/>
      <c r="J775" s="191"/>
      <c r="K775" s="191"/>
      <c r="L775" s="191"/>
      <c r="M775" s="191"/>
      <c r="N775" s="191"/>
      <c r="O775" s="191"/>
      <c r="P775" s="191"/>
      <c r="Q775" s="191"/>
      <c r="R775" s="191"/>
      <c r="S775" s="191"/>
      <c r="T775" s="191"/>
      <c r="U775" s="191"/>
      <c r="V775" s="191"/>
    </row>
    <row r="776" ht="15.75" customHeight="1">
      <c r="A776" s="191"/>
      <c r="B776" s="191"/>
      <c r="C776" s="191"/>
      <c r="D776" s="191"/>
      <c r="E776" s="191"/>
      <c r="F776" s="191"/>
      <c r="G776" s="191"/>
      <c r="H776" s="191"/>
      <c r="I776" s="191"/>
      <c r="J776" s="191"/>
      <c r="K776" s="191"/>
      <c r="L776" s="191"/>
      <c r="M776" s="191"/>
      <c r="N776" s="191"/>
      <c r="O776" s="191"/>
      <c r="P776" s="191"/>
      <c r="Q776" s="191"/>
      <c r="R776" s="191"/>
      <c r="S776" s="191"/>
      <c r="T776" s="191"/>
      <c r="U776" s="191"/>
      <c r="V776" s="191"/>
    </row>
    <row r="777" ht="15.75" customHeight="1">
      <c r="A777" s="191"/>
      <c r="B777" s="191"/>
      <c r="C777" s="191"/>
      <c r="D777" s="191"/>
      <c r="E777" s="191"/>
      <c r="F777" s="191"/>
      <c r="G777" s="191"/>
      <c r="H777" s="191"/>
      <c r="I777" s="191"/>
      <c r="J777" s="191"/>
      <c r="K777" s="191"/>
      <c r="L777" s="191"/>
      <c r="M777" s="191"/>
      <c r="N777" s="191"/>
      <c r="O777" s="191"/>
      <c r="P777" s="191"/>
      <c r="Q777" s="191"/>
      <c r="R777" s="191"/>
      <c r="S777" s="191"/>
      <c r="T777" s="191"/>
      <c r="U777" s="191"/>
      <c r="V777" s="191"/>
    </row>
    <row r="778" ht="15.75" customHeight="1">
      <c r="A778" s="191"/>
      <c r="B778" s="191"/>
      <c r="C778" s="191"/>
      <c r="D778" s="191"/>
      <c r="E778" s="191"/>
      <c r="F778" s="191"/>
      <c r="G778" s="191"/>
      <c r="H778" s="191"/>
      <c r="I778" s="191"/>
      <c r="J778" s="191"/>
      <c r="K778" s="191"/>
      <c r="L778" s="191"/>
      <c r="M778" s="191"/>
      <c r="N778" s="191"/>
      <c r="O778" s="191"/>
      <c r="P778" s="191"/>
      <c r="Q778" s="191"/>
      <c r="R778" s="191"/>
      <c r="S778" s="191"/>
      <c r="T778" s="191"/>
      <c r="U778" s="191"/>
      <c r="V778" s="191"/>
    </row>
    <row r="779" ht="15.75" customHeight="1">
      <c r="A779" s="191"/>
      <c r="B779" s="191"/>
      <c r="C779" s="191"/>
      <c r="D779" s="191"/>
      <c r="E779" s="191"/>
      <c r="F779" s="191"/>
      <c r="G779" s="191"/>
      <c r="H779" s="191"/>
      <c r="I779" s="191"/>
      <c r="J779" s="191"/>
      <c r="K779" s="191"/>
      <c r="L779" s="191"/>
      <c r="M779" s="191"/>
      <c r="N779" s="191"/>
      <c r="O779" s="191"/>
      <c r="P779" s="191"/>
      <c r="Q779" s="191"/>
      <c r="R779" s="191"/>
      <c r="S779" s="191"/>
      <c r="T779" s="191"/>
      <c r="U779" s="191"/>
      <c r="V779" s="191"/>
    </row>
    <row r="780" ht="15.75" customHeight="1">
      <c r="A780" s="191"/>
      <c r="B780" s="191"/>
      <c r="C780" s="191"/>
      <c r="D780" s="191"/>
      <c r="E780" s="191"/>
      <c r="F780" s="191"/>
      <c r="G780" s="191"/>
      <c r="H780" s="191"/>
      <c r="I780" s="191"/>
      <c r="J780" s="191"/>
      <c r="K780" s="191"/>
      <c r="L780" s="191"/>
      <c r="M780" s="191"/>
      <c r="N780" s="191"/>
      <c r="O780" s="191"/>
      <c r="P780" s="191"/>
      <c r="Q780" s="191"/>
      <c r="R780" s="191"/>
      <c r="S780" s="191"/>
      <c r="T780" s="191"/>
      <c r="U780" s="191"/>
      <c r="V780" s="191"/>
    </row>
    <row r="781" ht="15.75" customHeight="1">
      <c r="A781" s="191"/>
      <c r="B781" s="191"/>
      <c r="C781" s="191"/>
      <c r="D781" s="191"/>
      <c r="E781" s="191"/>
      <c r="F781" s="191"/>
      <c r="G781" s="191"/>
      <c r="H781" s="191"/>
      <c r="I781" s="191"/>
      <c r="J781" s="191"/>
      <c r="K781" s="191"/>
      <c r="L781" s="191"/>
      <c r="M781" s="191"/>
      <c r="N781" s="191"/>
      <c r="O781" s="191"/>
      <c r="P781" s="191"/>
      <c r="Q781" s="191"/>
      <c r="R781" s="191"/>
      <c r="S781" s="191"/>
      <c r="T781" s="191"/>
      <c r="U781" s="191"/>
      <c r="V781" s="191"/>
    </row>
    <row r="782" ht="15.75" customHeight="1">
      <c r="A782" s="191"/>
      <c r="B782" s="191"/>
      <c r="C782" s="191"/>
      <c r="D782" s="191"/>
      <c r="E782" s="191"/>
      <c r="F782" s="191"/>
      <c r="G782" s="191"/>
      <c r="H782" s="191"/>
      <c r="I782" s="191"/>
      <c r="J782" s="191"/>
      <c r="K782" s="191"/>
      <c r="L782" s="191"/>
      <c r="M782" s="191"/>
      <c r="N782" s="191"/>
      <c r="O782" s="191"/>
      <c r="P782" s="191"/>
      <c r="Q782" s="191"/>
      <c r="R782" s="191"/>
      <c r="S782" s="191"/>
      <c r="T782" s="191"/>
      <c r="U782" s="191"/>
      <c r="V782" s="191"/>
    </row>
    <row r="783" ht="15.75" customHeight="1">
      <c r="A783" s="191"/>
      <c r="B783" s="191"/>
      <c r="C783" s="191"/>
      <c r="D783" s="191"/>
      <c r="E783" s="191"/>
      <c r="F783" s="191"/>
      <c r="G783" s="191"/>
      <c r="H783" s="191"/>
      <c r="I783" s="191"/>
      <c r="J783" s="191"/>
      <c r="K783" s="191"/>
      <c r="L783" s="191"/>
      <c r="M783" s="191"/>
      <c r="N783" s="191"/>
      <c r="O783" s="191"/>
      <c r="P783" s="191"/>
      <c r="Q783" s="191"/>
      <c r="R783" s="191"/>
      <c r="S783" s="191"/>
      <c r="T783" s="191"/>
      <c r="U783" s="191"/>
      <c r="V783" s="191"/>
    </row>
    <row r="784" ht="15.75" customHeight="1">
      <c r="A784" s="191"/>
      <c r="B784" s="191"/>
      <c r="C784" s="191"/>
      <c r="D784" s="191"/>
      <c r="E784" s="191"/>
      <c r="F784" s="191"/>
      <c r="G784" s="191"/>
      <c r="H784" s="191"/>
      <c r="I784" s="191"/>
      <c r="J784" s="191"/>
      <c r="K784" s="191"/>
      <c r="L784" s="191"/>
      <c r="M784" s="191"/>
      <c r="N784" s="191"/>
      <c r="O784" s="191"/>
      <c r="P784" s="191"/>
      <c r="Q784" s="191"/>
      <c r="R784" s="191"/>
      <c r="S784" s="191"/>
      <c r="T784" s="191"/>
      <c r="U784" s="191"/>
      <c r="V784" s="191"/>
    </row>
    <row r="785" ht="15.75" customHeight="1">
      <c r="A785" s="191"/>
      <c r="B785" s="191"/>
      <c r="C785" s="191"/>
      <c r="D785" s="191"/>
      <c r="E785" s="191"/>
      <c r="F785" s="191"/>
      <c r="G785" s="191"/>
      <c r="H785" s="191"/>
      <c r="I785" s="191"/>
      <c r="J785" s="191"/>
      <c r="K785" s="191"/>
      <c r="L785" s="191"/>
      <c r="M785" s="191"/>
      <c r="N785" s="191"/>
      <c r="O785" s="191"/>
      <c r="P785" s="191"/>
      <c r="Q785" s="191"/>
      <c r="R785" s="191"/>
      <c r="S785" s="191"/>
      <c r="T785" s="191"/>
      <c r="U785" s="191"/>
      <c r="V785" s="191"/>
    </row>
    <row r="786" ht="15.75" customHeight="1">
      <c r="A786" s="191"/>
      <c r="B786" s="191"/>
      <c r="C786" s="191"/>
      <c r="D786" s="191"/>
      <c r="E786" s="191"/>
      <c r="F786" s="191"/>
      <c r="G786" s="191"/>
      <c r="H786" s="191"/>
      <c r="I786" s="191"/>
      <c r="J786" s="191"/>
      <c r="K786" s="191"/>
      <c r="L786" s="191"/>
      <c r="M786" s="191"/>
      <c r="N786" s="191"/>
      <c r="O786" s="191"/>
      <c r="P786" s="191"/>
      <c r="Q786" s="191"/>
      <c r="R786" s="191"/>
      <c r="S786" s="191"/>
      <c r="T786" s="191"/>
      <c r="U786" s="191"/>
      <c r="V786" s="191"/>
    </row>
    <row r="787" ht="15.75" customHeight="1">
      <c r="A787" s="191"/>
      <c r="B787" s="191"/>
      <c r="C787" s="191"/>
      <c r="D787" s="191"/>
      <c r="E787" s="191"/>
      <c r="F787" s="191"/>
      <c r="G787" s="191"/>
      <c r="H787" s="191"/>
      <c r="I787" s="191"/>
      <c r="J787" s="191"/>
      <c r="K787" s="191"/>
      <c r="L787" s="191"/>
      <c r="M787" s="191"/>
      <c r="N787" s="191"/>
      <c r="O787" s="191"/>
      <c r="P787" s="191"/>
      <c r="Q787" s="191"/>
      <c r="R787" s="191"/>
      <c r="S787" s="191"/>
      <c r="T787" s="191"/>
      <c r="U787" s="191"/>
      <c r="V787" s="191"/>
    </row>
    <row r="788" ht="15.75" customHeight="1">
      <c r="A788" s="191"/>
      <c r="B788" s="191"/>
      <c r="C788" s="191"/>
      <c r="D788" s="191"/>
      <c r="E788" s="191"/>
      <c r="F788" s="191"/>
      <c r="G788" s="191"/>
      <c r="H788" s="191"/>
      <c r="I788" s="191"/>
      <c r="J788" s="191"/>
      <c r="K788" s="191"/>
      <c r="L788" s="191"/>
      <c r="M788" s="191"/>
      <c r="N788" s="191"/>
      <c r="O788" s="191"/>
      <c r="P788" s="191"/>
      <c r="Q788" s="191"/>
      <c r="R788" s="191"/>
      <c r="S788" s="191"/>
      <c r="T788" s="191"/>
      <c r="U788" s="191"/>
      <c r="V788" s="191"/>
    </row>
    <row r="789" ht="15.75" customHeight="1">
      <c r="A789" s="191"/>
      <c r="B789" s="191"/>
      <c r="C789" s="191"/>
      <c r="D789" s="191"/>
      <c r="E789" s="191"/>
      <c r="F789" s="191"/>
      <c r="G789" s="191"/>
      <c r="H789" s="191"/>
      <c r="I789" s="191"/>
      <c r="J789" s="191"/>
      <c r="K789" s="191"/>
      <c r="L789" s="191"/>
      <c r="M789" s="191"/>
      <c r="N789" s="191"/>
      <c r="O789" s="191"/>
      <c r="P789" s="191"/>
      <c r="Q789" s="191"/>
      <c r="R789" s="191"/>
      <c r="S789" s="191"/>
      <c r="T789" s="191"/>
      <c r="U789" s="191"/>
      <c r="V789" s="191"/>
    </row>
    <row r="790" ht="15.75" customHeight="1">
      <c r="A790" s="191"/>
      <c r="B790" s="191"/>
      <c r="C790" s="191"/>
      <c r="D790" s="191"/>
      <c r="E790" s="191"/>
      <c r="F790" s="191"/>
      <c r="G790" s="191"/>
      <c r="H790" s="191"/>
      <c r="I790" s="191"/>
      <c r="J790" s="191"/>
      <c r="K790" s="191"/>
      <c r="L790" s="191"/>
      <c r="M790" s="191"/>
      <c r="N790" s="191"/>
      <c r="O790" s="191"/>
      <c r="P790" s="191"/>
      <c r="Q790" s="191"/>
      <c r="R790" s="191"/>
      <c r="S790" s="191"/>
      <c r="T790" s="191"/>
      <c r="U790" s="191"/>
      <c r="V790" s="191"/>
    </row>
    <row r="791" ht="15.75" customHeight="1">
      <c r="A791" s="191"/>
      <c r="B791" s="191"/>
      <c r="C791" s="191"/>
      <c r="D791" s="191"/>
      <c r="E791" s="191"/>
      <c r="F791" s="191"/>
      <c r="G791" s="191"/>
      <c r="H791" s="191"/>
      <c r="I791" s="191"/>
      <c r="J791" s="191"/>
      <c r="K791" s="191"/>
      <c r="L791" s="191"/>
      <c r="M791" s="191"/>
      <c r="N791" s="191"/>
      <c r="O791" s="191"/>
      <c r="P791" s="191"/>
      <c r="Q791" s="191"/>
      <c r="R791" s="191"/>
      <c r="S791" s="191"/>
      <c r="T791" s="191"/>
      <c r="U791" s="191"/>
      <c r="V791" s="191"/>
    </row>
    <row r="792" ht="15.75" customHeight="1">
      <c r="A792" s="191"/>
      <c r="B792" s="191"/>
      <c r="C792" s="191"/>
      <c r="D792" s="191"/>
      <c r="E792" s="191"/>
      <c r="F792" s="191"/>
      <c r="G792" s="191"/>
      <c r="H792" s="191"/>
      <c r="I792" s="191"/>
      <c r="J792" s="191"/>
      <c r="K792" s="191"/>
      <c r="L792" s="191"/>
      <c r="M792" s="191"/>
      <c r="N792" s="191"/>
      <c r="O792" s="191"/>
      <c r="P792" s="191"/>
      <c r="Q792" s="191"/>
      <c r="R792" s="191"/>
      <c r="S792" s="191"/>
      <c r="T792" s="191"/>
      <c r="U792" s="191"/>
      <c r="V792" s="191"/>
    </row>
    <row r="793" ht="15.75" customHeight="1">
      <c r="A793" s="191"/>
      <c r="B793" s="191"/>
      <c r="C793" s="191"/>
      <c r="D793" s="191"/>
      <c r="E793" s="191"/>
      <c r="F793" s="191"/>
      <c r="G793" s="191"/>
      <c r="H793" s="191"/>
      <c r="I793" s="191"/>
      <c r="J793" s="191"/>
      <c r="K793" s="191"/>
      <c r="L793" s="191"/>
      <c r="M793" s="191"/>
      <c r="N793" s="191"/>
      <c r="O793" s="191"/>
      <c r="P793" s="191"/>
      <c r="Q793" s="191"/>
      <c r="R793" s="191"/>
      <c r="S793" s="191"/>
      <c r="T793" s="191"/>
      <c r="U793" s="191"/>
      <c r="V793" s="191"/>
    </row>
    <row r="794" ht="15.75" customHeight="1">
      <c r="A794" s="191"/>
      <c r="B794" s="191"/>
      <c r="C794" s="191"/>
      <c r="D794" s="191"/>
      <c r="E794" s="191"/>
      <c r="F794" s="191"/>
      <c r="G794" s="191"/>
      <c r="H794" s="191"/>
      <c r="I794" s="191"/>
      <c r="J794" s="191"/>
      <c r="K794" s="191"/>
      <c r="L794" s="191"/>
      <c r="M794" s="191"/>
      <c r="N794" s="191"/>
      <c r="O794" s="191"/>
      <c r="P794" s="191"/>
      <c r="Q794" s="191"/>
      <c r="R794" s="191"/>
      <c r="S794" s="191"/>
      <c r="T794" s="191"/>
      <c r="U794" s="191"/>
      <c r="V794" s="191"/>
    </row>
    <row r="795" ht="15.75" customHeight="1">
      <c r="A795" s="191"/>
      <c r="B795" s="191"/>
      <c r="C795" s="191"/>
      <c r="D795" s="191"/>
      <c r="E795" s="191"/>
      <c r="F795" s="191"/>
      <c r="G795" s="191"/>
      <c r="H795" s="191"/>
      <c r="I795" s="191"/>
      <c r="J795" s="191"/>
      <c r="K795" s="191"/>
      <c r="L795" s="191"/>
      <c r="M795" s="191"/>
      <c r="N795" s="191"/>
      <c r="O795" s="191"/>
      <c r="P795" s="191"/>
      <c r="Q795" s="191"/>
      <c r="R795" s="191"/>
      <c r="S795" s="191"/>
      <c r="T795" s="191"/>
      <c r="U795" s="191"/>
      <c r="V795" s="191"/>
    </row>
    <row r="796" ht="15.75" customHeight="1">
      <c r="A796" s="191"/>
      <c r="B796" s="191"/>
      <c r="C796" s="191"/>
      <c r="D796" s="191"/>
      <c r="E796" s="191"/>
      <c r="F796" s="191"/>
      <c r="G796" s="191"/>
      <c r="H796" s="191"/>
      <c r="I796" s="191"/>
      <c r="J796" s="191"/>
      <c r="K796" s="191"/>
      <c r="L796" s="191"/>
      <c r="M796" s="191"/>
      <c r="N796" s="191"/>
      <c r="O796" s="191"/>
      <c r="P796" s="191"/>
      <c r="Q796" s="191"/>
      <c r="R796" s="191"/>
      <c r="S796" s="191"/>
      <c r="T796" s="191"/>
      <c r="U796" s="191"/>
      <c r="V796" s="191"/>
    </row>
    <row r="797" ht="15.75" customHeight="1">
      <c r="A797" s="191"/>
      <c r="B797" s="191"/>
      <c r="C797" s="191"/>
      <c r="D797" s="191"/>
      <c r="E797" s="191"/>
      <c r="F797" s="191"/>
      <c r="G797" s="191"/>
      <c r="H797" s="191"/>
      <c r="I797" s="191"/>
      <c r="J797" s="191"/>
      <c r="K797" s="191"/>
      <c r="L797" s="191"/>
      <c r="M797" s="191"/>
      <c r="N797" s="191"/>
      <c r="O797" s="191"/>
      <c r="P797" s="191"/>
      <c r="Q797" s="191"/>
      <c r="R797" s="191"/>
      <c r="S797" s="191"/>
      <c r="T797" s="191"/>
      <c r="U797" s="191"/>
      <c r="V797" s="191"/>
    </row>
    <row r="798" ht="15.75" customHeight="1">
      <c r="A798" s="191"/>
      <c r="B798" s="191"/>
      <c r="C798" s="191"/>
      <c r="D798" s="191"/>
      <c r="E798" s="191"/>
      <c r="F798" s="191"/>
      <c r="G798" s="191"/>
      <c r="H798" s="191"/>
      <c r="I798" s="191"/>
      <c r="J798" s="191"/>
      <c r="K798" s="191"/>
      <c r="L798" s="191"/>
      <c r="M798" s="191"/>
      <c r="N798" s="191"/>
      <c r="O798" s="191"/>
      <c r="P798" s="191"/>
      <c r="Q798" s="191"/>
      <c r="R798" s="191"/>
      <c r="S798" s="191"/>
      <c r="T798" s="191"/>
      <c r="U798" s="191"/>
      <c r="V798" s="191"/>
    </row>
    <row r="799" ht="15.75" customHeight="1">
      <c r="A799" s="191"/>
      <c r="B799" s="191"/>
      <c r="C799" s="191"/>
      <c r="D799" s="191"/>
      <c r="E799" s="191"/>
      <c r="F799" s="191"/>
      <c r="G799" s="191"/>
      <c r="H799" s="191"/>
      <c r="I799" s="191"/>
      <c r="J799" s="191"/>
      <c r="K799" s="191"/>
      <c r="L799" s="191"/>
      <c r="M799" s="191"/>
      <c r="N799" s="191"/>
      <c r="O799" s="191"/>
      <c r="P799" s="191"/>
      <c r="Q799" s="191"/>
      <c r="R799" s="191"/>
      <c r="S799" s="191"/>
      <c r="T799" s="191"/>
      <c r="U799" s="191"/>
      <c r="V799" s="191"/>
    </row>
    <row r="800" ht="15.75" customHeight="1">
      <c r="A800" s="191"/>
      <c r="B800" s="191"/>
      <c r="C800" s="191"/>
      <c r="D800" s="191"/>
      <c r="E800" s="191"/>
      <c r="F800" s="191"/>
      <c r="G800" s="191"/>
      <c r="H800" s="191"/>
      <c r="I800" s="191"/>
      <c r="J800" s="191"/>
      <c r="K800" s="191"/>
      <c r="L800" s="191"/>
      <c r="M800" s="191"/>
      <c r="N800" s="191"/>
      <c r="O800" s="191"/>
      <c r="P800" s="191"/>
      <c r="Q800" s="191"/>
      <c r="R800" s="191"/>
      <c r="S800" s="191"/>
      <c r="T800" s="191"/>
      <c r="U800" s="191"/>
      <c r="V800" s="191"/>
    </row>
    <row r="801" ht="15.75" customHeight="1">
      <c r="A801" s="191"/>
      <c r="B801" s="191"/>
      <c r="C801" s="191"/>
      <c r="D801" s="191"/>
      <c r="E801" s="191"/>
      <c r="F801" s="191"/>
      <c r="G801" s="191"/>
      <c r="H801" s="191"/>
      <c r="I801" s="191"/>
      <c r="J801" s="191"/>
      <c r="K801" s="191"/>
      <c r="L801" s="191"/>
      <c r="M801" s="191"/>
      <c r="N801" s="191"/>
      <c r="O801" s="191"/>
      <c r="P801" s="191"/>
      <c r="Q801" s="191"/>
      <c r="R801" s="191"/>
      <c r="S801" s="191"/>
      <c r="T801" s="191"/>
      <c r="U801" s="191"/>
      <c r="V801" s="191"/>
    </row>
    <row r="802" ht="15.75" customHeight="1">
      <c r="A802" s="191"/>
      <c r="B802" s="191"/>
      <c r="C802" s="191"/>
      <c r="D802" s="191"/>
      <c r="E802" s="191"/>
      <c r="F802" s="191"/>
      <c r="G802" s="191"/>
      <c r="H802" s="191"/>
      <c r="I802" s="191"/>
      <c r="J802" s="191"/>
      <c r="K802" s="191"/>
      <c r="L802" s="191"/>
      <c r="M802" s="191"/>
      <c r="N802" s="191"/>
      <c r="O802" s="191"/>
      <c r="P802" s="191"/>
      <c r="Q802" s="191"/>
      <c r="R802" s="191"/>
      <c r="S802" s="191"/>
      <c r="T802" s="191"/>
      <c r="U802" s="191"/>
      <c r="V802" s="191"/>
    </row>
    <row r="803" ht="15.75" customHeight="1">
      <c r="A803" s="191"/>
      <c r="B803" s="191"/>
      <c r="C803" s="191"/>
      <c r="D803" s="191"/>
      <c r="E803" s="191"/>
      <c r="F803" s="191"/>
      <c r="G803" s="191"/>
      <c r="H803" s="191"/>
      <c r="I803" s="191"/>
      <c r="J803" s="191"/>
      <c r="K803" s="191"/>
      <c r="L803" s="191"/>
      <c r="M803" s="191"/>
      <c r="N803" s="191"/>
      <c r="O803" s="191"/>
      <c r="P803" s="191"/>
      <c r="Q803" s="191"/>
      <c r="R803" s="191"/>
      <c r="S803" s="191"/>
      <c r="T803" s="191"/>
      <c r="U803" s="191"/>
      <c r="V803" s="191"/>
    </row>
    <row r="804" ht="15.75" customHeight="1">
      <c r="A804" s="191"/>
      <c r="B804" s="191"/>
      <c r="C804" s="191"/>
      <c r="D804" s="191"/>
      <c r="E804" s="191"/>
      <c r="F804" s="191"/>
      <c r="G804" s="191"/>
      <c r="H804" s="191"/>
      <c r="I804" s="191"/>
      <c r="J804" s="191"/>
      <c r="K804" s="191"/>
      <c r="L804" s="191"/>
      <c r="M804" s="191"/>
      <c r="N804" s="191"/>
      <c r="O804" s="191"/>
      <c r="P804" s="191"/>
      <c r="Q804" s="191"/>
      <c r="R804" s="191"/>
      <c r="S804" s="191"/>
      <c r="T804" s="191"/>
      <c r="U804" s="191"/>
      <c r="V804" s="191"/>
    </row>
    <row r="805" ht="15.75" customHeight="1">
      <c r="A805" s="191"/>
      <c r="B805" s="191"/>
      <c r="C805" s="191"/>
      <c r="D805" s="191"/>
      <c r="E805" s="191"/>
      <c r="F805" s="191"/>
      <c r="G805" s="191"/>
      <c r="H805" s="191"/>
      <c r="I805" s="191"/>
      <c r="J805" s="191"/>
      <c r="K805" s="191"/>
      <c r="L805" s="191"/>
      <c r="M805" s="191"/>
      <c r="N805" s="191"/>
      <c r="O805" s="191"/>
      <c r="P805" s="191"/>
      <c r="Q805" s="191"/>
      <c r="R805" s="191"/>
      <c r="S805" s="191"/>
      <c r="T805" s="191"/>
      <c r="U805" s="191"/>
      <c r="V805" s="191"/>
    </row>
    <row r="806" ht="15.75" customHeight="1">
      <c r="A806" s="191"/>
      <c r="B806" s="191"/>
      <c r="C806" s="191"/>
      <c r="D806" s="191"/>
      <c r="E806" s="191"/>
      <c r="F806" s="191"/>
      <c r="G806" s="191"/>
      <c r="H806" s="191"/>
      <c r="I806" s="191"/>
      <c r="J806" s="191"/>
      <c r="K806" s="191"/>
      <c r="L806" s="191"/>
      <c r="M806" s="191"/>
      <c r="N806" s="191"/>
      <c r="O806" s="191"/>
      <c r="P806" s="191"/>
      <c r="Q806" s="191"/>
      <c r="R806" s="191"/>
      <c r="S806" s="191"/>
      <c r="T806" s="191"/>
      <c r="U806" s="191"/>
      <c r="V806" s="191"/>
    </row>
    <row r="807" ht="15.75" customHeight="1">
      <c r="A807" s="191"/>
      <c r="B807" s="191"/>
      <c r="C807" s="191"/>
      <c r="D807" s="191"/>
      <c r="E807" s="191"/>
      <c r="F807" s="191"/>
      <c r="G807" s="191"/>
      <c r="H807" s="191"/>
      <c r="I807" s="191"/>
      <c r="J807" s="191"/>
      <c r="K807" s="191"/>
      <c r="L807" s="191"/>
      <c r="M807" s="191"/>
      <c r="N807" s="191"/>
      <c r="O807" s="191"/>
      <c r="P807" s="191"/>
      <c r="Q807" s="191"/>
      <c r="R807" s="191"/>
      <c r="S807" s="191"/>
      <c r="T807" s="191"/>
      <c r="U807" s="191"/>
      <c r="V807" s="191"/>
    </row>
    <row r="808" ht="15.75" customHeight="1">
      <c r="A808" s="191"/>
      <c r="B808" s="191"/>
      <c r="C808" s="191"/>
      <c r="D808" s="191"/>
      <c r="E808" s="191"/>
      <c r="F808" s="191"/>
      <c r="G808" s="191"/>
      <c r="H808" s="191"/>
      <c r="I808" s="191"/>
      <c r="J808" s="191"/>
      <c r="K808" s="191"/>
      <c r="L808" s="191"/>
      <c r="M808" s="191"/>
      <c r="N808" s="191"/>
      <c r="O808" s="191"/>
      <c r="P808" s="191"/>
      <c r="Q808" s="191"/>
      <c r="R808" s="191"/>
      <c r="S808" s="191"/>
      <c r="T808" s="191"/>
      <c r="U808" s="191"/>
      <c r="V808" s="191"/>
    </row>
    <row r="809" ht="15.75" customHeight="1">
      <c r="A809" s="191"/>
      <c r="B809" s="191"/>
      <c r="C809" s="191"/>
      <c r="D809" s="191"/>
      <c r="E809" s="191"/>
      <c r="F809" s="191"/>
      <c r="G809" s="191"/>
      <c r="H809" s="191"/>
      <c r="I809" s="191"/>
      <c r="J809" s="191"/>
      <c r="K809" s="191"/>
      <c r="L809" s="191"/>
      <c r="M809" s="191"/>
      <c r="N809" s="191"/>
      <c r="O809" s="191"/>
      <c r="P809" s="191"/>
      <c r="Q809" s="191"/>
      <c r="R809" s="191"/>
      <c r="S809" s="191"/>
      <c r="T809" s="191"/>
      <c r="U809" s="191"/>
      <c r="V809" s="191"/>
    </row>
    <row r="810" ht="15.75" customHeight="1">
      <c r="A810" s="191"/>
      <c r="B810" s="191"/>
      <c r="C810" s="191"/>
      <c r="D810" s="191"/>
      <c r="E810" s="191"/>
      <c r="F810" s="191"/>
      <c r="G810" s="191"/>
      <c r="H810" s="191"/>
      <c r="I810" s="191"/>
      <c r="J810" s="191"/>
      <c r="K810" s="191"/>
      <c r="L810" s="191"/>
      <c r="M810" s="191"/>
      <c r="N810" s="191"/>
      <c r="O810" s="191"/>
      <c r="P810" s="191"/>
      <c r="Q810" s="191"/>
      <c r="R810" s="191"/>
      <c r="S810" s="191"/>
      <c r="T810" s="191"/>
      <c r="U810" s="191"/>
      <c r="V810" s="191"/>
    </row>
    <row r="811" ht="15.75" customHeight="1">
      <c r="A811" s="191"/>
      <c r="B811" s="191"/>
      <c r="C811" s="191"/>
      <c r="D811" s="191"/>
      <c r="E811" s="191"/>
      <c r="F811" s="191"/>
      <c r="G811" s="191"/>
      <c r="H811" s="191"/>
      <c r="I811" s="191"/>
      <c r="J811" s="191"/>
      <c r="K811" s="191"/>
      <c r="L811" s="191"/>
      <c r="M811" s="191"/>
      <c r="N811" s="191"/>
      <c r="O811" s="191"/>
      <c r="P811" s="191"/>
      <c r="Q811" s="191"/>
      <c r="R811" s="191"/>
      <c r="S811" s="191"/>
      <c r="T811" s="191"/>
      <c r="U811" s="191"/>
      <c r="V811" s="191"/>
    </row>
    <row r="812" ht="15.75" customHeight="1">
      <c r="A812" s="191"/>
      <c r="B812" s="191"/>
      <c r="C812" s="191"/>
      <c r="D812" s="191"/>
      <c r="E812" s="191"/>
      <c r="F812" s="191"/>
      <c r="G812" s="191"/>
      <c r="H812" s="191"/>
      <c r="I812" s="191"/>
      <c r="J812" s="191"/>
      <c r="K812" s="191"/>
      <c r="L812" s="191"/>
      <c r="M812" s="191"/>
      <c r="N812" s="191"/>
      <c r="O812" s="191"/>
      <c r="P812" s="191"/>
      <c r="Q812" s="191"/>
      <c r="R812" s="191"/>
      <c r="S812" s="191"/>
      <c r="T812" s="191"/>
      <c r="U812" s="191"/>
      <c r="V812" s="191"/>
    </row>
    <row r="813" ht="15.75" customHeight="1">
      <c r="A813" s="191"/>
      <c r="B813" s="191"/>
      <c r="C813" s="191"/>
      <c r="D813" s="191"/>
      <c r="E813" s="191"/>
      <c r="F813" s="191"/>
      <c r="G813" s="191"/>
      <c r="H813" s="191"/>
      <c r="I813" s="191"/>
      <c r="J813" s="191"/>
      <c r="K813" s="191"/>
      <c r="L813" s="191"/>
      <c r="M813" s="191"/>
      <c r="N813" s="191"/>
      <c r="O813" s="191"/>
      <c r="P813" s="191"/>
      <c r="Q813" s="191"/>
      <c r="R813" s="191"/>
      <c r="S813" s="191"/>
      <c r="T813" s="191"/>
      <c r="U813" s="191"/>
      <c r="V813" s="191"/>
    </row>
    <row r="814" ht="15.75" customHeight="1">
      <c r="A814" s="191"/>
      <c r="B814" s="191"/>
      <c r="C814" s="191"/>
      <c r="D814" s="191"/>
      <c r="E814" s="191"/>
      <c r="F814" s="191"/>
      <c r="G814" s="191"/>
      <c r="H814" s="191"/>
      <c r="I814" s="191"/>
      <c r="J814" s="191"/>
      <c r="K814" s="191"/>
      <c r="L814" s="191"/>
      <c r="M814" s="191"/>
      <c r="N814" s="191"/>
      <c r="O814" s="191"/>
      <c r="P814" s="191"/>
      <c r="Q814" s="191"/>
      <c r="R814" s="191"/>
      <c r="S814" s="191"/>
      <c r="T814" s="191"/>
      <c r="U814" s="191"/>
      <c r="V814" s="191"/>
    </row>
    <row r="815" ht="15.75" customHeight="1">
      <c r="A815" s="191"/>
      <c r="B815" s="191"/>
      <c r="C815" s="191"/>
      <c r="D815" s="191"/>
      <c r="E815" s="191"/>
      <c r="F815" s="191"/>
      <c r="G815" s="191"/>
      <c r="H815" s="191"/>
      <c r="I815" s="191"/>
      <c r="J815" s="191"/>
      <c r="K815" s="191"/>
      <c r="L815" s="191"/>
      <c r="M815" s="191"/>
      <c r="N815" s="191"/>
      <c r="O815" s="191"/>
      <c r="P815" s="191"/>
      <c r="Q815" s="191"/>
      <c r="R815" s="191"/>
      <c r="S815" s="191"/>
      <c r="T815" s="191"/>
      <c r="U815" s="191"/>
      <c r="V815" s="191"/>
    </row>
    <row r="816" ht="15.75" customHeight="1">
      <c r="A816" s="191"/>
      <c r="B816" s="191"/>
      <c r="C816" s="191"/>
      <c r="D816" s="191"/>
      <c r="E816" s="191"/>
      <c r="F816" s="191"/>
      <c r="G816" s="191"/>
      <c r="H816" s="191"/>
      <c r="I816" s="191"/>
      <c r="J816" s="191"/>
      <c r="K816" s="191"/>
      <c r="L816" s="191"/>
      <c r="M816" s="191"/>
      <c r="N816" s="191"/>
      <c r="O816" s="191"/>
      <c r="P816" s="191"/>
      <c r="Q816" s="191"/>
      <c r="R816" s="191"/>
      <c r="S816" s="191"/>
      <c r="T816" s="191"/>
      <c r="U816" s="191"/>
      <c r="V816" s="191"/>
    </row>
    <row r="817" ht="15.75" customHeight="1">
      <c r="A817" s="191"/>
      <c r="B817" s="191"/>
      <c r="C817" s="191"/>
      <c r="D817" s="191"/>
      <c r="E817" s="191"/>
      <c r="F817" s="191"/>
      <c r="G817" s="191"/>
      <c r="H817" s="191"/>
      <c r="I817" s="191"/>
      <c r="J817" s="191"/>
      <c r="K817" s="191"/>
      <c r="L817" s="191"/>
      <c r="M817" s="191"/>
      <c r="N817" s="191"/>
      <c r="O817" s="191"/>
      <c r="P817" s="191"/>
      <c r="Q817" s="191"/>
      <c r="R817" s="191"/>
      <c r="S817" s="191"/>
      <c r="T817" s="191"/>
      <c r="U817" s="191"/>
      <c r="V817" s="191"/>
    </row>
    <row r="818" ht="15.75" customHeight="1">
      <c r="A818" s="191"/>
      <c r="B818" s="191"/>
      <c r="C818" s="191"/>
      <c r="D818" s="191"/>
      <c r="E818" s="191"/>
      <c r="F818" s="191"/>
      <c r="G818" s="191"/>
      <c r="H818" s="191"/>
      <c r="I818" s="191"/>
      <c r="J818" s="191"/>
      <c r="K818" s="191"/>
      <c r="L818" s="191"/>
      <c r="M818" s="191"/>
      <c r="N818" s="191"/>
      <c r="O818" s="191"/>
      <c r="P818" s="191"/>
      <c r="Q818" s="191"/>
      <c r="R818" s="191"/>
      <c r="S818" s="191"/>
      <c r="T818" s="191"/>
      <c r="U818" s="191"/>
      <c r="V818" s="191"/>
    </row>
    <row r="819" ht="15.75" customHeight="1">
      <c r="A819" s="191"/>
      <c r="B819" s="191"/>
      <c r="C819" s="191"/>
      <c r="D819" s="191"/>
      <c r="E819" s="191"/>
      <c r="F819" s="191"/>
      <c r="G819" s="191"/>
      <c r="H819" s="191"/>
      <c r="I819" s="191"/>
      <c r="J819" s="191"/>
      <c r="K819" s="191"/>
      <c r="L819" s="191"/>
      <c r="M819" s="191"/>
      <c r="N819" s="191"/>
      <c r="O819" s="191"/>
      <c r="P819" s="191"/>
      <c r="Q819" s="191"/>
      <c r="R819" s="191"/>
      <c r="S819" s="191"/>
      <c r="T819" s="191"/>
      <c r="U819" s="191"/>
      <c r="V819" s="191"/>
    </row>
    <row r="820" ht="15.75" customHeight="1">
      <c r="A820" s="191"/>
      <c r="B820" s="191"/>
      <c r="C820" s="191"/>
      <c r="D820" s="191"/>
      <c r="E820" s="191"/>
      <c r="F820" s="191"/>
      <c r="G820" s="191"/>
      <c r="H820" s="191"/>
      <c r="I820" s="191"/>
      <c r="J820" s="191"/>
      <c r="K820" s="191"/>
      <c r="L820" s="191"/>
      <c r="M820" s="191"/>
      <c r="N820" s="191"/>
      <c r="O820" s="191"/>
      <c r="P820" s="191"/>
      <c r="Q820" s="191"/>
      <c r="R820" s="191"/>
      <c r="S820" s="191"/>
      <c r="T820" s="191"/>
      <c r="U820" s="191"/>
      <c r="V820" s="191"/>
    </row>
    <row r="821" ht="15.75" customHeight="1">
      <c r="A821" s="191"/>
      <c r="B821" s="191"/>
      <c r="C821" s="191"/>
      <c r="D821" s="191"/>
      <c r="E821" s="191"/>
      <c r="F821" s="191"/>
      <c r="G821" s="191"/>
      <c r="H821" s="191"/>
      <c r="I821" s="191"/>
      <c r="J821" s="191"/>
      <c r="K821" s="191"/>
      <c r="L821" s="191"/>
      <c r="M821" s="191"/>
      <c r="N821" s="191"/>
      <c r="O821" s="191"/>
      <c r="P821" s="191"/>
      <c r="Q821" s="191"/>
      <c r="R821" s="191"/>
      <c r="S821" s="191"/>
      <c r="T821" s="191"/>
      <c r="U821" s="191"/>
      <c r="V821" s="191"/>
    </row>
    <row r="822" ht="15.75" customHeight="1">
      <c r="A822" s="191"/>
      <c r="B822" s="191"/>
      <c r="C822" s="191"/>
      <c r="D822" s="191"/>
      <c r="E822" s="191"/>
      <c r="F822" s="191"/>
      <c r="G822" s="191"/>
      <c r="H822" s="191"/>
      <c r="I822" s="191"/>
      <c r="J822" s="191"/>
      <c r="K822" s="191"/>
      <c r="L822" s="191"/>
      <c r="M822" s="191"/>
      <c r="N822" s="191"/>
      <c r="O822" s="191"/>
      <c r="P822" s="191"/>
      <c r="Q822" s="191"/>
      <c r="R822" s="191"/>
      <c r="S822" s="191"/>
      <c r="T822" s="191"/>
      <c r="U822" s="191"/>
      <c r="V822" s="191"/>
    </row>
    <row r="823" ht="15.75" customHeight="1">
      <c r="A823" s="191"/>
      <c r="B823" s="191"/>
      <c r="C823" s="191"/>
      <c r="D823" s="191"/>
      <c r="E823" s="191"/>
      <c r="F823" s="191"/>
      <c r="G823" s="191"/>
      <c r="H823" s="191"/>
      <c r="I823" s="191"/>
      <c r="J823" s="191"/>
      <c r="K823" s="191"/>
      <c r="L823" s="191"/>
      <c r="M823" s="191"/>
      <c r="N823" s="191"/>
      <c r="O823" s="191"/>
      <c r="P823" s="191"/>
      <c r="Q823" s="191"/>
      <c r="R823" s="191"/>
      <c r="S823" s="191"/>
      <c r="T823" s="191"/>
      <c r="U823" s="191"/>
      <c r="V823" s="191"/>
    </row>
    <row r="824" ht="15.75" customHeight="1">
      <c r="A824" s="191"/>
      <c r="B824" s="191"/>
      <c r="C824" s="191"/>
      <c r="D824" s="191"/>
      <c r="E824" s="191"/>
      <c r="F824" s="191"/>
      <c r="G824" s="191"/>
      <c r="H824" s="191"/>
      <c r="I824" s="191"/>
      <c r="J824" s="191"/>
      <c r="K824" s="191"/>
      <c r="L824" s="191"/>
      <c r="M824" s="191"/>
      <c r="N824" s="191"/>
      <c r="O824" s="191"/>
      <c r="P824" s="191"/>
      <c r="Q824" s="191"/>
      <c r="R824" s="191"/>
      <c r="S824" s="191"/>
      <c r="T824" s="191"/>
      <c r="U824" s="191"/>
      <c r="V824" s="191"/>
    </row>
    <row r="825" ht="15.75" customHeight="1">
      <c r="A825" s="191"/>
      <c r="B825" s="191"/>
      <c r="C825" s="191"/>
      <c r="D825" s="191"/>
      <c r="E825" s="191"/>
      <c r="F825" s="191"/>
      <c r="G825" s="191"/>
      <c r="H825" s="191"/>
      <c r="I825" s="191"/>
      <c r="J825" s="191"/>
      <c r="K825" s="191"/>
      <c r="L825" s="191"/>
      <c r="M825" s="191"/>
      <c r="N825" s="191"/>
      <c r="O825" s="191"/>
      <c r="P825" s="191"/>
      <c r="Q825" s="191"/>
      <c r="R825" s="191"/>
      <c r="S825" s="191"/>
      <c r="T825" s="191"/>
      <c r="U825" s="191"/>
      <c r="V825" s="191"/>
    </row>
    <row r="826" ht="15.75" customHeight="1">
      <c r="A826" s="191"/>
      <c r="B826" s="191"/>
      <c r="C826" s="191"/>
      <c r="D826" s="191"/>
      <c r="E826" s="191"/>
      <c r="F826" s="191"/>
      <c r="G826" s="191"/>
      <c r="H826" s="191"/>
      <c r="I826" s="191"/>
      <c r="J826" s="191"/>
      <c r="K826" s="191"/>
      <c r="L826" s="191"/>
      <c r="M826" s="191"/>
      <c r="N826" s="191"/>
      <c r="O826" s="191"/>
      <c r="P826" s="191"/>
      <c r="Q826" s="191"/>
      <c r="R826" s="191"/>
      <c r="S826" s="191"/>
      <c r="T826" s="191"/>
      <c r="U826" s="191"/>
      <c r="V826" s="191"/>
    </row>
    <row r="827" ht="15.75" customHeight="1">
      <c r="A827" s="191"/>
      <c r="B827" s="191"/>
      <c r="C827" s="191"/>
      <c r="D827" s="191"/>
      <c r="E827" s="191"/>
      <c r="F827" s="191"/>
      <c r="G827" s="191"/>
      <c r="H827" s="191"/>
      <c r="I827" s="191"/>
      <c r="J827" s="191"/>
      <c r="K827" s="191"/>
      <c r="L827" s="191"/>
      <c r="M827" s="191"/>
      <c r="N827" s="191"/>
      <c r="O827" s="191"/>
      <c r="P827" s="191"/>
      <c r="Q827" s="191"/>
      <c r="R827" s="191"/>
      <c r="S827" s="191"/>
      <c r="T827" s="191"/>
      <c r="U827" s="191"/>
      <c r="V827" s="191"/>
    </row>
    <row r="828" ht="15.75" customHeight="1">
      <c r="A828" s="191"/>
      <c r="B828" s="191"/>
      <c r="C828" s="191"/>
      <c r="D828" s="191"/>
      <c r="E828" s="191"/>
      <c r="F828" s="191"/>
      <c r="G828" s="191"/>
      <c r="H828" s="191"/>
      <c r="I828" s="191"/>
      <c r="J828" s="191"/>
      <c r="K828" s="191"/>
      <c r="L828" s="191"/>
      <c r="M828" s="191"/>
      <c r="N828" s="191"/>
      <c r="O828" s="191"/>
      <c r="P828" s="191"/>
      <c r="Q828" s="191"/>
      <c r="R828" s="191"/>
      <c r="S828" s="191"/>
      <c r="T828" s="191"/>
      <c r="U828" s="191"/>
      <c r="V828" s="191"/>
    </row>
    <row r="829" ht="15.75" customHeight="1">
      <c r="A829" s="191"/>
      <c r="B829" s="191"/>
      <c r="C829" s="191"/>
      <c r="D829" s="191"/>
      <c r="E829" s="191"/>
      <c r="F829" s="191"/>
      <c r="G829" s="191"/>
      <c r="H829" s="191"/>
      <c r="I829" s="191"/>
      <c r="J829" s="191"/>
      <c r="K829" s="191"/>
      <c r="L829" s="191"/>
      <c r="M829" s="191"/>
      <c r="N829" s="191"/>
      <c r="O829" s="191"/>
      <c r="P829" s="191"/>
      <c r="Q829" s="191"/>
      <c r="R829" s="191"/>
      <c r="S829" s="191"/>
      <c r="T829" s="191"/>
      <c r="U829" s="191"/>
      <c r="V829" s="191"/>
    </row>
    <row r="830" ht="15.75" customHeight="1">
      <c r="A830" s="191"/>
      <c r="B830" s="191"/>
      <c r="C830" s="191"/>
      <c r="D830" s="191"/>
      <c r="E830" s="191"/>
      <c r="F830" s="191"/>
      <c r="G830" s="191"/>
      <c r="H830" s="191"/>
      <c r="I830" s="191"/>
      <c r="J830" s="191"/>
      <c r="K830" s="191"/>
      <c r="L830" s="191"/>
      <c r="M830" s="191"/>
      <c r="N830" s="191"/>
      <c r="O830" s="191"/>
      <c r="P830" s="191"/>
      <c r="Q830" s="191"/>
      <c r="R830" s="191"/>
      <c r="S830" s="191"/>
      <c r="T830" s="191"/>
      <c r="U830" s="191"/>
      <c r="V830" s="191"/>
    </row>
    <row r="831" ht="15.75" customHeight="1">
      <c r="A831" s="191"/>
      <c r="B831" s="191"/>
      <c r="C831" s="191"/>
      <c r="D831" s="191"/>
      <c r="E831" s="191"/>
      <c r="F831" s="191"/>
      <c r="G831" s="191"/>
      <c r="H831" s="191"/>
      <c r="I831" s="191"/>
      <c r="J831" s="191"/>
      <c r="K831" s="191"/>
      <c r="L831" s="191"/>
      <c r="M831" s="191"/>
      <c r="N831" s="191"/>
      <c r="O831" s="191"/>
      <c r="P831" s="191"/>
      <c r="Q831" s="191"/>
      <c r="R831" s="191"/>
      <c r="S831" s="191"/>
      <c r="T831" s="191"/>
      <c r="U831" s="191"/>
      <c r="V831" s="191"/>
    </row>
    <row r="832" ht="15.75" customHeight="1">
      <c r="A832" s="191"/>
      <c r="B832" s="191"/>
      <c r="C832" s="191"/>
      <c r="D832" s="191"/>
      <c r="E832" s="191"/>
      <c r="F832" s="191"/>
      <c r="G832" s="191"/>
      <c r="H832" s="191"/>
      <c r="I832" s="191"/>
      <c r="J832" s="191"/>
      <c r="K832" s="191"/>
      <c r="L832" s="191"/>
      <c r="M832" s="191"/>
      <c r="N832" s="191"/>
      <c r="O832" s="191"/>
      <c r="P832" s="191"/>
      <c r="Q832" s="191"/>
      <c r="R832" s="191"/>
      <c r="S832" s="191"/>
      <c r="T832" s="191"/>
      <c r="U832" s="191"/>
      <c r="V832" s="191"/>
    </row>
    <row r="833" ht="15.75" customHeight="1">
      <c r="A833" s="191"/>
      <c r="B833" s="191"/>
      <c r="C833" s="191"/>
      <c r="D833" s="191"/>
      <c r="E833" s="191"/>
      <c r="F833" s="191"/>
      <c r="G833" s="191"/>
      <c r="H833" s="191"/>
      <c r="I833" s="191"/>
      <c r="J833" s="191"/>
      <c r="K833" s="191"/>
      <c r="L833" s="191"/>
      <c r="M833" s="191"/>
      <c r="N833" s="191"/>
      <c r="O833" s="191"/>
      <c r="P833" s="191"/>
      <c r="Q833" s="191"/>
      <c r="R833" s="191"/>
      <c r="S833" s="191"/>
      <c r="T833" s="191"/>
      <c r="U833" s="191"/>
      <c r="V833" s="191"/>
    </row>
    <row r="834" ht="15.75" customHeight="1">
      <c r="A834" s="191"/>
      <c r="B834" s="191"/>
      <c r="C834" s="191"/>
      <c r="D834" s="191"/>
      <c r="E834" s="191"/>
      <c r="F834" s="191"/>
      <c r="G834" s="191"/>
      <c r="H834" s="191"/>
      <c r="I834" s="191"/>
      <c r="J834" s="191"/>
      <c r="K834" s="191"/>
      <c r="L834" s="191"/>
      <c r="M834" s="191"/>
      <c r="N834" s="191"/>
      <c r="O834" s="191"/>
      <c r="P834" s="191"/>
      <c r="Q834" s="191"/>
      <c r="R834" s="191"/>
      <c r="S834" s="191"/>
      <c r="T834" s="191"/>
      <c r="U834" s="191"/>
      <c r="V834" s="191"/>
    </row>
    <row r="835" ht="15.75" customHeight="1">
      <c r="A835" s="191"/>
      <c r="B835" s="191"/>
      <c r="C835" s="191"/>
      <c r="D835" s="191"/>
      <c r="E835" s="191"/>
      <c r="F835" s="191"/>
      <c r="G835" s="191"/>
      <c r="H835" s="191"/>
      <c r="I835" s="191"/>
      <c r="J835" s="191"/>
      <c r="K835" s="191"/>
      <c r="L835" s="191"/>
      <c r="M835" s="191"/>
      <c r="N835" s="191"/>
      <c r="O835" s="191"/>
      <c r="P835" s="191"/>
      <c r="Q835" s="191"/>
      <c r="R835" s="191"/>
      <c r="S835" s="191"/>
      <c r="T835" s="191"/>
      <c r="U835" s="191"/>
      <c r="V835" s="191"/>
    </row>
    <row r="836" ht="15.75" customHeight="1">
      <c r="A836" s="191"/>
      <c r="B836" s="191"/>
      <c r="C836" s="191"/>
      <c r="D836" s="191"/>
      <c r="E836" s="191"/>
      <c r="F836" s="191"/>
      <c r="G836" s="191"/>
      <c r="H836" s="191"/>
      <c r="I836" s="191"/>
      <c r="J836" s="191"/>
      <c r="K836" s="191"/>
      <c r="L836" s="191"/>
      <c r="M836" s="191"/>
      <c r="N836" s="191"/>
      <c r="O836" s="191"/>
      <c r="P836" s="191"/>
      <c r="Q836" s="191"/>
      <c r="R836" s="191"/>
      <c r="S836" s="191"/>
      <c r="T836" s="191"/>
      <c r="U836" s="191"/>
      <c r="V836" s="191"/>
    </row>
    <row r="837" ht="15.75" customHeight="1">
      <c r="A837" s="191"/>
      <c r="B837" s="191"/>
      <c r="C837" s="191"/>
      <c r="D837" s="191"/>
      <c r="E837" s="191"/>
      <c r="F837" s="191"/>
      <c r="G837" s="191"/>
      <c r="H837" s="191"/>
      <c r="I837" s="191"/>
      <c r="J837" s="191"/>
      <c r="K837" s="191"/>
      <c r="L837" s="191"/>
      <c r="M837" s="191"/>
      <c r="N837" s="191"/>
      <c r="O837" s="191"/>
      <c r="P837" s="191"/>
      <c r="Q837" s="191"/>
      <c r="R837" s="191"/>
      <c r="S837" s="191"/>
      <c r="T837" s="191"/>
      <c r="U837" s="191"/>
      <c r="V837" s="191"/>
    </row>
    <row r="838" ht="15.75" customHeight="1">
      <c r="A838" s="191"/>
      <c r="B838" s="191"/>
      <c r="C838" s="191"/>
      <c r="D838" s="191"/>
      <c r="E838" s="191"/>
      <c r="F838" s="191"/>
      <c r="G838" s="191"/>
      <c r="H838" s="191"/>
      <c r="I838" s="191"/>
      <c r="J838" s="191"/>
      <c r="K838" s="191"/>
      <c r="L838" s="191"/>
      <c r="M838" s="191"/>
      <c r="N838" s="191"/>
      <c r="O838" s="191"/>
      <c r="P838" s="191"/>
      <c r="Q838" s="191"/>
      <c r="R838" s="191"/>
      <c r="S838" s="191"/>
      <c r="T838" s="191"/>
      <c r="U838" s="191"/>
      <c r="V838" s="191"/>
    </row>
    <row r="839" ht="15.75" customHeight="1">
      <c r="A839" s="191"/>
      <c r="B839" s="191"/>
      <c r="C839" s="191"/>
      <c r="D839" s="191"/>
      <c r="E839" s="191"/>
      <c r="F839" s="191"/>
      <c r="G839" s="191"/>
      <c r="H839" s="191"/>
      <c r="I839" s="191"/>
      <c r="J839" s="191"/>
      <c r="K839" s="191"/>
      <c r="L839" s="191"/>
      <c r="M839" s="191"/>
      <c r="N839" s="191"/>
      <c r="O839" s="191"/>
      <c r="P839" s="191"/>
      <c r="Q839" s="191"/>
      <c r="R839" s="191"/>
      <c r="S839" s="191"/>
      <c r="T839" s="191"/>
      <c r="U839" s="191"/>
      <c r="V839" s="191"/>
    </row>
    <row r="840" ht="15.75" customHeight="1">
      <c r="A840" s="191"/>
      <c r="B840" s="191"/>
      <c r="C840" s="191"/>
      <c r="D840" s="191"/>
      <c r="E840" s="191"/>
      <c r="F840" s="191"/>
      <c r="G840" s="191"/>
      <c r="H840" s="191"/>
      <c r="I840" s="191"/>
      <c r="J840" s="191"/>
      <c r="K840" s="191"/>
      <c r="L840" s="191"/>
      <c r="M840" s="191"/>
      <c r="N840" s="191"/>
      <c r="O840" s="191"/>
      <c r="P840" s="191"/>
      <c r="Q840" s="191"/>
      <c r="R840" s="191"/>
      <c r="S840" s="191"/>
      <c r="T840" s="191"/>
      <c r="U840" s="191"/>
      <c r="V840" s="191"/>
    </row>
    <row r="841" ht="15.75" customHeight="1">
      <c r="A841" s="191"/>
      <c r="B841" s="191"/>
      <c r="C841" s="191"/>
      <c r="D841" s="191"/>
      <c r="E841" s="191"/>
      <c r="F841" s="191"/>
      <c r="G841" s="191"/>
      <c r="H841" s="191"/>
      <c r="I841" s="191"/>
      <c r="J841" s="191"/>
      <c r="K841" s="191"/>
      <c r="L841" s="191"/>
      <c r="M841" s="191"/>
      <c r="N841" s="191"/>
      <c r="O841" s="191"/>
      <c r="P841" s="191"/>
      <c r="Q841" s="191"/>
      <c r="R841" s="191"/>
      <c r="S841" s="191"/>
      <c r="T841" s="191"/>
      <c r="U841" s="191"/>
      <c r="V841" s="191"/>
    </row>
    <row r="842" ht="15.75" customHeight="1">
      <c r="A842" s="191"/>
      <c r="B842" s="191"/>
      <c r="C842" s="191"/>
      <c r="D842" s="191"/>
      <c r="E842" s="191"/>
      <c r="F842" s="191"/>
      <c r="G842" s="191"/>
      <c r="H842" s="191"/>
      <c r="I842" s="191"/>
      <c r="J842" s="191"/>
      <c r="K842" s="191"/>
      <c r="L842" s="191"/>
      <c r="M842" s="191"/>
      <c r="N842" s="191"/>
      <c r="O842" s="191"/>
      <c r="P842" s="191"/>
      <c r="Q842" s="191"/>
      <c r="R842" s="191"/>
      <c r="S842" s="191"/>
      <c r="T842" s="191"/>
      <c r="U842" s="191"/>
      <c r="V842" s="191"/>
    </row>
    <row r="843" ht="15.75" customHeight="1">
      <c r="A843" s="191"/>
      <c r="B843" s="191"/>
      <c r="C843" s="191"/>
      <c r="D843" s="191"/>
      <c r="E843" s="191"/>
      <c r="F843" s="191"/>
      <c r="G843" s="191"/>
      <c r="H843" s="191"/>
      <c r="I843" s="191"/>
      <c r="J843" s="191"/>
      <c r="K843" s="191"/>
      <c r="L843" s="191"/>
      <c r="M843" s="191"/>
      <c r="N843" s="191"/>
      <c r="O843" s="191"/>
      <c r="P843" s="191"/>
      <c r="Q843" s="191"/>
      <c r="R843" s="191"/>
      <c r="S843" s="191"/>
      <c r="T843" s="191"/>
      <c r="U843" s="191"/>
      <c r="V843" s="191"/>
    </row>
    <row r="844" ht="15.75" customHeight="1">
      <c r="A844" s="191"/>
      <c r="B844" s="191"/>
      <c r="C844" s="191"/>
      <c r="D844" s="191"/>
      <c r="E844" s="191"/>
      <c r="F844" s="191"/>
      <c r="G844" s="191"/>
      <c r="H844" s="191"/>
      <c r="I844" s="191"/>
      <c r="J844" s="191"/>
      <c r="K844" s="191"/>
      <c r="L844" s="191"/>
      <c r="M844" s="191"/>
      <c r="N844" s="191"/>
      <c r="O844" s="191"/>
      <c r="P844" s="191"/>
      <c r="Q844" s="191"/>
      <c r="R844" s="191"/>
      <c r="S844" s="191"/>
      <c r="T844" s="191"/>
      <c r="U844" s="191"/>
      <c r="V844" s="191"/>
    </row>
    <row r="845" ht="15.75" customHeight="1">
      <c r="A845" s="191"/>
      <c r="B845" s="191"/>
      <c r="C845" s="191"/>
      <c r="D845" s="191"/>
      <c r="E845" s="191"/>
      <c r="F845" s="191"/>
      <c r="G845" s="191"/>
      <c r="H845" s="191"/>
      <c r="I845" s="191"/>
      <c r="J845" s="191"/>
      <c r="K845" s="191"/>
      <c r="L845" s="191"/>
      <c r="M845" s="191"/>
      <c r="N845" s="191"/>
      <c r="O845" s="191"/>
      <c r="P845" s="191"/>
      <c r="Q845" s="191"/>
      <c r="R845" s="191"/>
      <c r="S845" s="191"/>
      <c r="T845" s="191"/>
      <c r="U845" s="191"/>
      <c r="V845" s="191"/>
    </row>
    <row r="846" ht="15.75" customHeight="1">
      <c r="A846" s="191"/>
      <c r="B846" s="191"/>
      <c r="C846" s="191"/>
      <c r="D846" s="191"/>
      <c r="E846" s="191"/>
      <c r="F846" s="191"/>
      <c r="G846" s="191"/>
      <c r="H846" s="191"/>
      <c r="I846" s="191"/>
      <c r="J846" s="191"/>
      <c r="K846" s="191"/>
      <c r="L846" s="191"/>
      <c r="M846" s="191"/>
      <c r="N846" s="191"/>
      <c r="O846" s="191"/>
      <c r="P846" s="191"/>
      <c r="Q846" s="191"/>
      <c r="R846" s="191"/>
      <c r="S846" s="191"/>
      <c r="T846" s="191"/>
      <c r="U846" s="191"/>
      <c r="V846" s="191"/>
    </row>
    <row r="847" ht="15.75" customHeight="1">
      <c r="A847" s="191"/>
      <c r="B847" s="191"/>
      <c r="C847" s="191"/>
      <c r="D847" s="191"/>
      <c r="E847" s="191"/>
      <c r="F847" s="191"/>
      <c r="G847" s="191"/>
      <c r="H847" s="191"/>
      <c r="I847" s="191"/>
      <c r="J847" s="191"/>
      <c r="K847" s="191"/>
      <c r="L847" s="191"/>
      <c r="M847" s="191"/>
      <c r="N847" s="191"/>
      <c r="O847" s="191"/>
      <c r="P847" s="191"/>
      <c r="Q847" s="191"/>
      <c r="R847" s="191"/>
      <c r="S847" s="191"/>
      <c r="T847" s="191"/>
      <c r="U847" s="191"/>
      <c r="V847" s="191"/>
    </row>
    <row r="848" ht="15.75" customHeight="1">
      <c r="A848" s="191"/>
      <c r="B848" s="191"/>
      <c r="C848" s="191"/>
      <c r="D848" s="191"/>
      <c r="E848" s="191"/>
      <c r="F848" s="191"/>
      <c r="G848" s="191"/>
      <c r="H848" s="191"/>
      <c r="I848" s="191"/>
      <c r="J848" s="191"/>
      <c r="K848" s="191"/>
      <c r="L848" s="191"/>
      <c r="M848" s="191"/>
      <c r="N848" s="191"/>
      <c r="O848" s="191"/>
      <c r="P848" s="191"/>
      <c r="Q848" s="191"/>
      <c r="R848" s="191"/>
      <c r="S848" s="191"/>
      <c r="T848" s="191"/>
      <c r="U848" s="191"/>
      <c r="V848" s="191"/>
    </row>
    <row r="849" ht="15.75" customHeight="1">
      <c r="A849" s="191"/>
      <c r="B849" s="191"/>
      <c r="C849" s="191"/>
      <c r="D849" s="191"/>
      <c r="E849" s="191"/>
      <c r="F849" s="191"/>
      <c r="G849" s="191"/>
      <c r="H849" s="191"/>
      <c r="I849" s="191"/>
      <c r="J849" s="191"/>
      <c r="K849" s="191"/>
      <c r="L849" s="191"/>
      <c r="M849" s="191"/>
      <c r="N849" s="191"/>
      <c r="O849" s="191"/>
      <c r="P849" s="191"/>
      <c r="Q849" s="191"/>
      <c r="R849" s="191"/>
      <c r="S849" s="191"/>
      <c r="T849" s="191"/>
      <c r="U849" s="191"/>
      <c r="V849" s="191"/>
    </row>
    <row r="850" ht="15.75" customHeight="1">
      <c r="A850" s="191"/>
      <c r="B850" s="191"/>
      <c r="C850" s="191"/>
      <c r="D850" s="191"/>
      <c r="E850" s="191"/>
      <c r="F850" s="191"/>
      <c r="G850" s="191"/>
      <c r="H850" s="191"/>
      <c r="I850" s="191"/>
      <c r="J850" s="191"/>
      <c r="K850" s="191"/>
      <c r="L850" s="191"/>
      <c r="M850" s="191"/>
      <c r="N850" s="191"/>
      <c r="O850" s="191"/>
      <c r="P850" s="191"/>
      <c r="Q850" s="191"/>
      <c r="R850" s="191"/>
      <c r="S850" s="191"/>
      <c r="T850" s="191"/>
      <c r="U850" s="191"/>
      <c r="V850" s="191"/>
    </row>
    <row r="851" ht="15.75" customHeight="1">
      <c r="A851" s="191"/>
      <c r="B851" s="191"/>
      <c r="C851" s="191"/>
      <c r="D851" s="191"/>
      <c r="E851" s="191"/>
      <c r="F851" s="191"/>
      <c r="G851" s="191"/>
      <c r="H851" s="191"/>
      <c r="I851" s="191"/>
      <c r="J851" s="191"/>
      <c r="K851" s="191"/>
      <c r="L851" s="191"/>
      <c r="M851" s="191"/>
      <c r="N851" s="191"/>
      <c r="O851" s="191"/>
      <c r="P851" s="191"/>
      <c r="Q851" s="191"/>
      <c r="R851" s="191"/>
      <c r="S851" s="191"/>
      <c r="T851" s="191"/>
      <c r="U851" s="191"/>
      <c r="V851" s="191"/>
    </row>
    <row r="852" ht="15.75" customHeight="1">
      <c r="A852" s="191"/>
      <c r="B852" s="191"/>
      <c r="C852" s="191"/>
      <c r="D852" s="191"/>
      <c r="E852" s="191"/>
      <c r="F852" s="191"/>
      <c r="G852" s="191"/>
      <c r="H852" s="191"/>
      <c r="I852" s="191"/>
      <c r="J852" s="191"/>
      <c r="K852" s="191"/>
      <c r="L852" s="191"/>
      <c r="M852" s="191"/>
      <c r="N852" s="191"/>
      <c r="O852" s="191"/>
      <c r="P852" s="191"/>
      <c r="Q852" s="191"/>
      <c r="R852" s="191"/>
      <c r="S852" s="191"/>
      <c r="T852" s="191"/>
      <c r="U852" s="191"/>
      <c r="V852" s="191"/>
    </row>
    <row r="853" ht="15.75" customHeight="1">
      <c r="A853" s="191"/>
      <c r="B853" s="191"/>
      <c r="C853" s="191"/>
      <c r="D853" s="191"/>
      <c r="E853" s="191"/>
      <c r="F853" s="191"/>
      <c r="G853" s="191"/>
      <c r="H853" s="191"/>
      <c r="I853" s="191"/>
      <c r="J853" s="191"/>
      <c r="K853" s="191"/>
      <c r="L853" s="191"/>
      <c r="M853" s="191"/>
      <c r="N853" s="191"/>
      <c r="O853" s="191"/>
      <c r="P853" s="191"/>
      <c r="Q853" s="191"/>
      <c r="R853" s="191"/>
      <c r="S853" s="191"/>
      <c r="T853" s="191"/>
      <c r="U853" s="191"/>
      <c r="V853" s="191"/>
    </row>
    <row r="854" ht="15.75" customHeight="1">
      <c r="A854" s="191"/>
      <c r="B854" s="191"/>
      <c r="C854" s="191"/>
      <c r="D854" s="191"/>
      <c r="E854" s="191"/>
      <c r="F854" s="191"/>
      <c r="G854" s="191"/>
      <c r="H854" s="191"/>
      <c r="I854" s="191"/>
      <c r="J854" s="191"/>
      <c r="K854" s="191"/>
      <c r="L854" s="191"/>
      <c r="M854" s="191"/>
      <c r="N854" s="191"/>
      <c r="O854" s="191"/>
      <c r="P854" s="191"/>
      <c r="Q854" s="191"/>
      <c r="R854" s="191"/>
      <c r="S854" s="191"/>
      <c r="T854" s="191"/>
      <c r="U854" s="191"/>
      <c r="V854" s="191"/>
    </row>
    <row r="855" ht="15.75" customHeight="1">
      <c r="A855" s="191"/>
      <c r="B855" s="191"/>
      <c r="C855" s="191"/>
      <c r="D855" s="191"/>
      <c r="E855" s="191"/>
      <c r="F855" s="191"/>
      <c r="G855" s="191"/>
      <c r="H855" s="191"/>
      <c r="I855" s="191"/>
      <c r="J855" s="191"/>
      <c r="K855" s="191"/>
      <c r="L855" s="191"/>
      <c r="M855" s="191"/>
      <c r="N855" s="191"/>
      <c r="O855" s="191"/>
      <c r="P855" s="191"/>
      <c r="Q855" s="191"/>
      <c r="R855" s="191"/>
      <c r="S855" s="191"/>
      <c r="T855" s="191"/>
      <c r="U855" s="191"/>
      <c r="V855" s="191"/>
    </row>
    <row r="856" ht="15.75" customHeight="1">
      <c r="A856" s="191"/>
      <c r="B856" s="191"/>
      <c r="C856" s="191"/>
      <c r="D856" s="191"/>
      <c r="E856" s="191"/>
      <c r="F856" s="191"/>
      <c r="G856" s="191"/>
      <c r="H856" s="191"/>
      <c r="I856" s="191"/>
      <c r="J856" s="191"/>
      <c r="K856" s="191"/>
      <c r="L856" s="191"/>
      <c r="M856" s="191"/>
      <c r="N856" s="191"/>
      <c r="O856" s="191"/>
      <c r="P856" s="191"/>
      <c r="Q856" s="191"/>
      <c r="R856" s="191"/>
      <c r="S856" s="191"/>
      <c r="T856" s="191"/>
      <c r="U856" s="191"/>
      <c r="V856" s="191"/>
    </row>
    <row r="857" ht="15.75" customHeight="1">
      <c r="A857" s="191"/>
      <c r="B857" s="191"/>
      <c r="C857" s="191"/>
      <c r="D857" s="191"/>
      <c r="E857" s="191"/>
      <c r="F857" s="191"/>
      <c r="G857" s="191"/>
      <c r="H857" s="191"/>
      <c r="I857" s="191"/>
      <c r="J857" s="191"/>
      <c r="K857" s="191"/>
      <c r="L857" s="191"/>
      <c r="M857" s="191"/>
      <c r="N857" s="191"/>
      <c r="O857" s="191"/>
      <c r="P857" s="191"/>
      <c r="Q857" s="191"/>
      <c r="R857" s="191"/>
      <c r="S857" s="191"/>
      <c r="T857" s="191"/>
      <c r="U857" s="191"/>
      <c r="V857" s="191"/>
    </row>
    <row r="858" ht="15.75" customHeight="1">
      <c r="A858" s="191"/>
      <c r="B858" s="191"/>
      <c r="C858" s="191"/>
      <c r="D858" s="191"/>
      <c r="E858" s="191"/>
      <c r="F858" s="191"/>
      <c r="G858" s="191"/>
      <c r="H858" s="191"/>
      <c r="I858" s="191"/>
      <c r="J858" s="191"/>
      <c r="K858" s="191"/>
      <c r="L858" s="191"/>
      <c r="M858" s="191"/>
      <c r="N858" s="191"/>
      <c r="O858" s="191"/>
      <c r="P858" s="191"/>
      <c r="Q858" s="191"/>
      <c r="R858" s="191"/>
      <c r="S858" s="191"/>
      <c r="T858" s="191"/>
      <c r="U858" s="191"/>
      <c r="V858" s="191"/>
    </row>
    <row r="859" ht="15.75" customHeight="1">
      <c r="A859" s="191"/>
      <c r="B859" s="191"/>
      <c r="C859" s="191"/>
      <c r="D859" s="191"/>
      <c r="E859" s="191"/>
      <c r="F859" s="191"/>
      <c r="G859" s="191"/>
      <c r="H859" s="191"/>
      <c r="I859" s="191"/>
      <c r="J859" s="191"/>
      <c r="K859" s="191"/>
      <c r="L859" s="191"/>
      <c r="M859" s="191"/>
      <c r="N859" s="191"/>
      <c r="O859" s="191"/>
      <c r="P859" s="191"/>
      <c r="Q859" s="191"/>
      <c r="R859" s="191"/>
      <c r="S859" s="191"/>
      <c r="T859" s="191"/>
      <c r="U859" s="191"/>
      <c r="V859" s="191"/>
    </row>
    <row r="860" ht="15.75" customHeight="1">
      <c r="A860" s="191"/>
      <c r="B860" s="191"/>
      <c r="C860" s="191"/>
      <c r="D860" s="191"/>
      <c r="E860" s="191"/>
      <c r="F860" s="191"/>
      <c r="G860" s="191"/>
      <c r="H860" s="191"/>
      <c r="I860" s="191"/>
      <c r="J860" s="191"/>
      <c r="K860" s="191"/>
      <c r="L860" s="191"/>
      <c r="M860" s="191"/>
      <c r="N860" s="191"/>
      <c r="O860" s="191"/>
      <c r="P860" s="191"/>
      <c r="Q860" s="191"/>
      <c r="R860" s="191"/>
      <c r="S860" s="191"/>
      <c r="T860" s="191"/>
      <c r="U860" s="191"/>
      <c r="V860" s="191"/>
    </row>
    <row r="861" ht="15.75" customHeight="1">
      <c r="A861" s="191"/>
      <c r="B861" s="191"/>
      <c r="C861" s="191"/>
      <c r="D861" s="191"/>
      <c r="E861" s="191"/>
      <c r="F861" s="191"/>
      <c r="G861" s="191"/>
      <c r="H861" s="191"/>
      <c r="I861" s="191"/>
      <c r="J861" s="191"/>
      <c r="K861" s="191"/>
      <c r="L861" s="191"/>
      <c r="M861" s="191"/>
      <c r="N861" s="191"/>
      <c r="O861" s="191"/>
      <c r="P861" s="191"/>
      <c r="Q861" s="191"/>
      <c r="R861" s="191"/>
      <c r="S861" s="191"/>
      <c r="T861" s="191"/>
      <c r="U861" s="191"/>
      <c r="V861" s="191"/>
    </row>
    <row r="862" ht="15.75" customHeight="1">
      <c r="A862" s="191"/>
      <c r="B862" s="191"/>
      <c r="C862" s="191"/>
      <c r="D862" s="191"/>
      <c r="E862" s="191"/>
      <c r="F862" s="191"/>
      <c r="G862" s="191"/>
      <c r="H862" s="191"/>
      <c r="I862" s="191"/>
      <c r="J862" s="191"/>
      <c r="K862" s="191"/>
      <c r="L862" s="191"/>
      <c r="M862" s="191"/>
      <c r="N862" s="191"/>
      <c r="O862" s="191"/>
      <c r="P862" s="191"/>
      <c r="Q862" s="191"/>
      <c r="R862" s="191"/>
      <c r="S862" s="191"/>
      <c r="T862" s="191"/>
      <c r="U862" s="191"/>
      <c r="V862" s="191"/>
    </row>
    <row r="863" ht="15.75" customHeight="1">
      <c r="A863" s="191"/>
      <c r="B863" s="191"/>
      <c r="C863" s="191"/>
      <c r="D863" s="191"/>
      <c r="E863" s="191"/>
      <c r="F863" s="191"/>
      <c r="G863" s="191"/>
      <c r="H863" s="191"/>
      <c r="I863" s="191"/>
      <c r="J863" s="191"/>
      <c r="K863" s="191"/>
      <c r="L863" s="191"/>
      <c r="M863" s="191"/>
      <c r="N863" s="191"/>
      <c r="O863" s="191"/>
      <c r="P863" s="191"/>
      <c r="Q863" s="191"/>
      <c r="R863" s="191"/>
      <c r="S863" s="191"/>
      <c r="T863" s="191"/>
      <c r="U863" s="191"/>
      <c r="V863" s="191"/>
    </row>
    <row r="864" ht="15.75" customHeight="1">
      <c r="A864" s="191"/>
      <c r="B864" s="191"/>
      <c r="C864" s="191"/>
      <c r="D864" s="191"/>
      <c r="E864" s="191"/>
      <c r="F864" s="191"/>
      <c r="G864" s="191"/>
      <c r="H864" s="191"/>
      <c r="I864" s="191"/>
      <c r="J864" s="191"/>
      <c r="K864" s="191"/>
      <c r="L864" s="191"/>
      <c r="M864" s="191"/>
      <c r="N864" s="191"/>
      <c r="O864" s="191"/>
      <c r="P864" s="191"/>
      <c r="Q864" s="191"/>
      <c r="R864" s="191"/>
      <c r="S864" s="191"/>
      <c r="T864" s="191"/>
      <c r="U864" s="191"/>
      <c r="V864" s="191"/>
    </row>
    <row r="865" ht="15.75" customHeight="1">
      <c r="A865" s="191"/>
      <c r="B865" s="191"/>
      <c r="C865" s="191"/>
      <c r="D865" s="191"/>
      <c r="E865" s="191"/>
      <c r="F865" s="191"/>
      <c r="G865" s="191"/>
      <c r="H865" s="191"/>
      <c r="I865" s="191"/>
      <c r="J865" s="191"/>
      <c r="K865" s="191"/>
      <c r="L865" s="191"/>
      <c r="M865" s="191"/>
      <c r="N865" s="191"/>
      <c r="O865" s="191"/>
      <c r="P865" s="191"/>
      <c r="Q865" s="191"/>
      <c r="R865" s="191"/>
      <c r="S865" s="191"/>
      <c r="T865" s="191"/>
      <c r="U865" s="191"/>
      <c r="V865" s="191"/>
    </row>
    <row r="866" ht="15.75" customHeight="1">
      <c r="A866" s="191"/>
      <c r="B866" s="191"/>
      <c r="C866" s="191"/>
      <c r="D866" s="191"/>
      <c r="E866" s="191"/>
      <c r="F866" s="191"/>
      <c r="G866" s="191"/>
      <c r="H866" s="191"/>
      <c r="I866" s="191"/>
      <c r="J866" s="191"/>
      <c r="K866" s="191"/>
      <c r="L866" s="191"/>
      <c r="M866" s="191"/>
      <c r="N866" s="191"/>
      <c r="O866" s="191"/>
      <c r="P866" s="191"/>
      <c r="Q866" s="191"/>
      <c r="R866" s="191"/>
      <c r="S866" s="191"/>
      <c r="T866" s="191"/>
      <c r="U866" s="191"/>
      <c r="V866" s="191"/>
    </row>
    <row r="867" ht="15.75" customHeight="1">
      <c r="A867" s="191"/>
      <c r="B867" s="191"/>
      <c r="C867" s="191"/>
      <c r="D867" s="191"/>
      <c r="E867" s="191"/>
      <c r="F867" s="191"/>
      <c r="G867" s="191"/>
      <c r="H867" s="191"/>
      <c r="I867" s="191"/>
      <c r="J867" s="191"/>
      <c r="K867" s="191"/>
      <c r="L867" s="191"/>
      <c r="M867" s="191"/>
      <c r="N867" s="191"/>
      <c r="O867" s="191"/>
      <c r="P867" s="191"/>
      <c r="Q867" s="191"/>
      <c r="R867" s="191"/>
      <c r="S867" s="191"/>
      <c r="T867" s="191"/>
      <c r="U867" s="191"/>
      <c r="V867" s="191"/>
    </row>
    <row r="868" ht="15.75" customHeight="1">
      <c r="A868" s="191"/>
      <c r="B868" s="191"/>
      <c r="C868" s="191"/>
      <c r="D868" s="191"/>
      <c r="E868" s="191"/>
      <c r="F868" s="191"/>
      <c r="G868" s="191"/>
      <c r="H868" s="191"/>
      <c r="I868" s="191"/>
      <c r="J868" s="191"/>
      <c r="K868" s="191"/>
      <c r="L868" s="191"/>
      <c r="M868" s="191"/>
      <c r="N868" s="191"/>
      <c r="O868" s="191"/>
      <c r="P868" s="191"/>
      <c r="Q868" s="191"/>
      <c r="R868" s="191"/>
      <c r="S868" s="191"/>
      <c r="T868" s="191"/>
      <c r="U868" s="191"/>
      <c r="V868" s="191"/>
    </row>
    <row r="869" ht="15.75" customHeight="1">
      <c r="A869" s="191"/>
      <c r="B869" s="191"/>
      <c r="C869" s="191"/>
      <c r="D869" s="191"/>
      <c r="E869" s="191"/>
      <c r="F869" s="191"/>
      <c r="G869" s="191"/>
      <c r="H869" s="191"/>
      <c r="I869" s="191"/>
      <c r="J869" s="191"/>
      <c r="K869" s="191"/>
      <c r="L869" s="191"/>
      <c r="M869" s="191"/>
      <c r="N869" s="191"/>
      <c r="O869" s="191"/>
      <c r="P869" s="191"/>
      <c r="Q869" s="191"/>
      <c r="R869" s="191"/>
      <c r="S869" s="191"/>
      <c r="T869" s="191"/>
      <c r="U869" s="191"/>
      <c r="V869" s="191"/>
    </row>
    <row r="870" ht="15.75" customHeight="1">
      <c r="A870" s="191"/>
      <c r="B870" s="191"/>
      <c r="C870" s="191"/>
      <c r="D870" s="191"/>
      <c r="E870" s="191"/>
      <c r="F870" s="191"/>
      <c r="G870" s="191"/>
      <c r="H870" s="191"/>
      <c r="I870" s="191"/>
      <c r="J870" s="191"/>
      <c r="K870" s="191"/>
      <c r="L870" s="191"/>
      <c r="M870" s="191"/>
      <c r="N870" s="191"/>
      <c r="O870" s="191"/>
      <c r="P870" s="191"/>
      <c r="Q870" s="191"/>
      <c r="R870" s="191"/>
      <c r="S870" s="191"/>
      <c r="T870" s="191"/>
      <c r="U870" s="191"/>
      <c r="V870" s="191"/>
    </row>
    <row r="871" ht="15.75" customHeight="1">
      <c r="A871" s="191"/>
      <c r="B871" s="191"/>
      <c r="C871" s="191"/>
      <c r="D871" s="191"/>
      <c r="E871" s="191"/>
      <c r="F871" s="191"/>
      <c r="G871" s="191"/>
      <c r="H871" s="191"/>
      <c r="I871" s="191"/>
      <c r="J871" s="191"/>
      <c r="K871" s="191"/>
      <c r="L871" s="191"/>
      <c r="M871" s="191"/>
      <c r="N871" s="191"/>
      <c r="O871" s="191"/>
      <c r="P871" s="191"/>
      <c r="Q871" s="191"/>
      <c r="R871" s="191"/>
      <c r="S871" s="191"/>
      <c r="T871" s="191"/>
      <c r="U871" s="191"/>
      <c r="V871" s="191"/>
    </row>
    <row r="872" ht="15.75" customHeight="1">
      <c r="A872" s="191"/>
      <c r="B872" s="191"/>
      <c r="C872" s="191"/>
      <c r="D872" s="191"/>
      <c r="E872" s="191"/>
      <c r="F872" s="191"/>
      <c r="G872" s="191"/>
      <c r="H872" s="191"/>
      <c r="I872" s="191"/>
      <c r="J872" s="191"/>
      <c r="K872" s="191"/>
      <c r="L872" s="191"/>
      <c r="M872" s="191"/>
      <c r="N872" s="191"/>
      <c r="O872" s="191"/>
      <c r="P872" s="191"/>
      <c r="Q872" s="191"/>
      <c r="R872" s="191"/>
      <c r="S872" s="191"/>
      <c r="T872" s="191"/>
      <c r="U872" s="191"/>
      <c r="V872" s="191"/>
    </row>
    <row r="873" ht="15.75" customHeight="1">
      <c r="A873" s="191"/>
      <c r="B873" s="191"/>
      <c r="C873" s="191"/>
      <c r="D873" s="191"/>
      <c r="E873" s="191"/>
      <c r="F873" s="191"/>
      <c r="G873" s="191"/>
      <c r="H873" s="191"/>
      <c r="I873" s="191"/>
      <c r="J873" s="191"/>
      <c r="K873" s="191"/>
      <c r="L873" s="191"/>
      <c r="M873" s="191"/>
      <c r="N873" s="191"/>
      <c r="O873" s="191"/>
      <c r="P873" s="191"/>
      <c r="Q873" s="191"/>
      <c r="R873" s="191"/>
      <c r="S873" s="191"/>
      <c r="T873" s="191"/>
      <c r="U873" s="191"/>
      <c r="V873" s="191"/>
    </row>
    <row r="874" ht="15.75" customHeight="1">
      <c r="A874" s="191"/>
      <c r="B874" s="191"/>
      <c r="C874" s="191"/>
      <c r="D874" s="191"/>
      <c r="E874" s="191"/>
      <c r="F874" s="191"/>
      <c r="G874" s="191"/>
      <c r="H874" s="191"/>
      <c r="I874" s="191"/>
      <c r="J874" s="191"/>
      <c r="K874" s="191"/>
      <c r="L874" s="191"/>
      <c r="M874" s="191"/>
      <c r="N874" s="191"/>
      <c r="O874" s="191"/>
      <c r="P874" s="191"/>
      <c r="Q874" s="191"/>
      <c r="R874" s="191"/>
      <c r="S874" s="191"/>
      <c r="T874" s="191"/>
      <c r="U874" s="191"/>
      <c r="V874" s="191"/>
    </row>
    <row r="875" ht="15.75" customHeight="1">
      <c r="A875" s="191"/>
      <c r="B875" s="191"/>
      <c r="C875" s="191"/>
      <c r="D875" s="191"/>
      <c r="E875" s="191"/>
      <c r="F875" s="191"/>
      <c r="G875" s="191"/>
      <c r="H875" s="191"/>
      <c r="I875" s="191"/>
      <c r="J875" s="191"/>
      <c r="K875" s="191"/>
      <c r="L875" s="191"/>
      <c r="M875" s="191"/>
      <c r="N875" s="191"/>
      <c r="O875" s="191"/>
      <c r="P875" s="191"/>
      <c r="Q875" s="191"/>
      <c r="R875" s="191"/>
      <c r="S875" s="191"/>
      <c r="T875" s="191"/>
      <c r="U875" s="191"/>
      <c r="V875" s="191"/>
    </row>
    <row r="876" ht="15.75" customHeight="1">
      <c r="A876" s="191"/>
      <c r="B876" s="191"/>
      <c r="C876" s="191"/>
      <c r="D876" s="191"/>
      <c r="E876" s="191"/>
      <c r="F876" s="191"/>
      <c r="G876" s="191"/>
      <c r="H876" s="191"/>
      <c r="I876" s="191"/>
      <c r="J876" s="191"/>
      <c r="K876" s="191"/>
      <c r="L876" s="191"/>
      <c r="M876" s="191"/>
      <c r="N876" s="191"/>
      <c r="O876" s="191"/>
      <c r="P876" s="191"/>
      <c r="Q876" s="191"/>
      <c r="R876" s="191"/>
      <c r="S876" s="191"/>
      <c r="T876" s="191"/>
      <c r="U876" s="191"/>
      <c r="V876" s="191"/>
    </row>
    <row r="877" ht="15.75" customHeight="1">
      <c r="A877" s="191"/>
      <c r="B877" s="191"/>
      <c r="C877" s="191"/>
      <c r="D877" s="191"/>
      <c r="E877" s="191"/>
      <c r="F877" s="191"/>
      <c r="G877" s="191"/>
      <c r="H877" s="191"/>
      <c r="I877" s="191"/>
      <c r="J877" s="191"/>
      <c r="K877" s="191"/>
      <c r="L877" s="191"/>
      <c r="M877" s="191"/>
      <c r="N877" s="191"/>
      <c r="O877" s="191"/>
      <c r="P877" s="191"/>
      <c r="Q877" s="191"/>
      <c r="R877" s="191"/>
      <c r="S877" s="191"/>
      <c r="T877" s="191"/>
      <c r="U877" s="191"/>
      <c r="V877" s="191"/>
    </row>
    <row r="878" ht="15.75" customHeight="1">
      <c r="A878" s="191"/>
      <c r="B878" s="191"/>
      <c r="C878" s="191"/>
      <c r="D878" s="191"/>
      <c r="E878" s="191"/>
      <c r="F878" s="191"/>
      <c r="G878" s="191"/>
      <c r="H878" s="191"/>
      <c r="I878" s="191"/>
      <c r="J878" s="191"/>
      <c r="K878" s="191"/>
      <c r="L878" s="191"/>
      <c r="M878" s="191"/>
      <c r="N878" s="191"/>
      <c r="O878" s="191"/>
      <c r="P878" s="191"/>
      <c r="Q878" s="191"/>
      <c r="R878" s="191"/>
      <c r="S878" s="191"/>
      <c r="T878" s="191"/>
      <c r="U878" s="191"/>
      <c r="V878" s="191"/>
    </row>
    <row r="879" ht="15.75" customHeight="1">
      <c r="A879" s="191"/>
      <c r="B879" s="191"/>
      <c r="C879" s="191"/>
      <c r="D879" s="191"/>
      <c r="E879" s="191"/>
      <c r="F879" s="191"/>
      <c r="G879" s="191"/>
      <c r="H879" s="191"/>
      <c r="I879" s="191"/>
      <c r="J879" s="191"/>
      <c r="K879" s="191"/>
      <c r="L879" s="191"/>
      <c r="M879" s="191"/>
      <c r="N879" s="191"/>
      <c r="O879" s="191"/>
      <c r="P879" s="191"/>
      <c r="Q879" s="191"/>
      <c r="R879" s="191"/>
      <c r="S879" s="191"/>
      <c r="T879" s="191"/>
      <c r="U879" s="191"/>
      <c r="V879" s="191"/>
    </row>
    <row r="880" ht="15.75" customHeight="1">
      <c r="A880" s="191"/>
      <c r="B880" s="191"/>
      <c r="C880" s="191"/>
      <c r="D880" s="191"/>
      <c r="E880" s="191"/>
      <c r="F880" s="191"/>
      <c r="G880" s="191"/>
      <c r="H880" s="191"/>
      <c r="I880" s="191"/>
      <c r="J880" s="191"/>
      <c r="K880" s="191"/>
      <c r="L880" s="191"/>
      <c r="M880" s="191"/>
      <c r="N880" s="191"/>
      <c r="O880" s="191"/>
      <c r="P880" s="191"/>
      <c r="Q880" s="191"/>
      <c r="R880" s="191"/>
      <c r="S880" s="191"/>
      <c r="T880" s="191"/>
      <c r="U880" s="191"/>
      <c r="V880" s="191"/>
    </row>
    <row r="881" ht="15.75" customHeight="1">
      <c r="A881" s="191"/>
      <c r="B881" s="191"/>
      <c r="C881" s="191"/>
      <c r="D881" s="191"/>
      <c r="E881" s="191"/>
      <c r="F881" s="191"/>
      <c r="G881" s="191"/>
      <c r="H881" s="191"/>
      <c r="I881" s="191"/>
      <c r="J881" s="191"/>
      <c r="K881" s="191"/>
      <c r="L881" s="191"/>
      <c r="M881" s="191"/>
      <c r="N881" s="191"/>
      <c r="O881" s="191"/>
      <c r="P881" s="191"/>
      <c r="Q881" s="191"/>
      <c r="R881" s="191"/>
      <c r="S881" s="191"/>
      <c r="T881" s="191"/>
      <c r="U881" s="191"/>
      <c r="V881" s="191"/>
    </row>
    <row r="882" ht="15.75" customHeight="1">
      <c r="A882" s="191"/>
      <c r="B882" s="191"/>
      <c r="C882" s="191"/>
      <c r="D882" s="191"/>
      <c r="E882" s="191"/>
      <c r="F882" s="191"/>
      <c r="G882" s="191"/>
      <c r="H882" s="191"/>
      <c r="I882" s="191"/>
      <c r="J882" s="191"/>
      <c r="K882" s="191"/>
      <c r="L882" s="191"/>
      <c r="M882" s="191"/>
      <c r="N882" s="191"/>
      <c r="O882" s="191"/>
      <c r="P882" s="191"/>
      <c r="Q882" s="191"/>
      <c r="R882" s="191"/>
      <c r="S882" s="191"/>
      <c r="T882" s="191"/>
      <c r="U882" s="191"/>
      <c r="V882" s="191"/>
    </row>
    <row r="883" ht="15.75" customHeight="1">
      <c r="A883" s="191"/>
      <c r="B883" s="191"/>
      <c r="C883" s="191"/>
      <c r="D883" s="191"/>
      <c r="E883" s="191"/>
      <c r="F883" s="191"/>
      <c r="G883" s="191"/>
      <c r="H883" s="191"/>
      <c r="I883" s="191"/>
      <c r="J883" s="191"/>
      <c r="K883" s="191"/>
      <c r="L883" s="191"/>
      <c r="M883" s="191"/>
      <c r="N883" s="191"/>
      <c r="O883" s="191"/>
      <c r="P883" s="191"/>
      <c r="Q883" s="191"/>
      <c r="R883" s="191"/>
      <c r="S883" s="191"/>
      <c r="T883" s="191"/>
      <c r="U883" s="191"/>
      <c r="V883" s="191"/>
    </row>
    <row r="884" ht="15.75" customHeight="1">
      <c r="A884" s="191"/>
      <c r="B884" s="191"/>
      <c r="C884" s="191"/>
      <c r="D884" s="191"/>
      <c r="E884" s="191"/>
      <c r="F884" s="191"/>
      <c r="G884" s="191"/>
      <c r="H884" s="191"/>
      <c r="I884" s="191"/>
      <c r="J884" s="191"/>
      <c r="K884" s="191"/>
      <c r="L884" s="191"/>
      <c r="M884" s="191"/>
      <c r="N884" s="191"/>
      <c r="O884" s="191"/>
      <c r="P884" s="191"/>
      <c r="Q884" s="191"/>
      <c r="R884" s="191"/>
      <c r="S884" s="191"/>
      <c r="T884" s="191"/>
      <c r="U884" s="191"/>
      <c r="V884" s="191"/>
    </row>
    <row r="885" ht="15.75" customHeight="1">
      <c r="A885" s="191"/>
      <c r="B885" s="191"/>
      <c r="C885" s="191"/>
      <c r="D885" s="191"/>
      <c r="E885" s="191"/>
      <c r="F885" s="191"/>
      <c r="G885" s="191"/>
      <c r="H885" s="191"/>
      <c r="I885" s="191"/>
      <c r="J885" s="191"/>
      <c r="K885" s="191"/>
      <c r="L885" s="191"/>
      <c r="M885" s="191"/>
      <c r="N885" s="191"/>
      <c r="O885" s="191"/>
      <c r="P885" s="191"/>
      <c r="Q885" s="191"/>
      <c r="R885" s="191"/>
      <c r="S885" s="191"/>
      <c r="T885" s="191"/>
      <c r="U885" s="191"/>
      <c r="V885" s="191"/>
    </row>
    <row r="886" ht="15.75" customHeight="1">
      <c r="A886" s="191"/>
      <c r="B886" s="191"/>
      <c r="C886" s="191"/>
      <c r="D886" s="191"/>
      <c r="E886" s="191"/>
      <c r="F886" s="191"/>
      <c r="G886" s="191"/>
      <c r="H886" s="191"/>
      <c r="I886" s="191"/>
      <c r="J886" s="191"/>
      <c r="K886" s="191"/>
      <c r="L886" s="191"/>
      <c r="M886" s="191"/>
      <c r="N886" s="191"/>
      <c r="O886" s="191"/>
      <c r="P886" s="191"/>
      <c r="Q886" s="191"/>
      <c r="R886" s="191"/>
      <c r="S886" s="191"/>
      <c r="T886" s="191"/>
      <c r="U886" s="191"/>
      <c r="V886" s="191"/>
    </row>
    <row r="887" ht="15.75" customHeight="1">
      <c r="A887" s="191"/>
      <c r="B887" s="191"/>
      <c r="C887" s="191"/>
      <c r="D887" s="191"/>
      <c r="E887" s="191"/>
      <c r="F887" s="191"/>
      <c r="G887" s="191"/>
      <c r="H887" s="191"/>
      <c r="I887" s="191"/>
      <c r="J887" s="191"/>
      <c r="K887" s="191"/>
      <c r="L887" s="191"/>
      <c r="M887" s="191"/>
      <c r="N887" s="191"/>
      <c r="O887" s="191"/>
      <c r="P887" s="191"/>
      <c r="Q887" s="191"/>
      <c r="R887" s="191"/>
      <c r="S887" s="191"/>
      <c r="T887" s="191"/>
      <c r="U887" s="191"/>
      <c r="V887" s="191"/>
    </row>
    <row r="888" ht="15.75" customHeight="1">
      <c r="A888" s="191"/>
      <c r="B888" s="191"/>
      <c r="C888" s="191"/>
      <c r="D888" s="191"/>
      <c r="E888" s="191"/>
      <c r="F888" s="191"/>
      <c r="G888" s="191"/>
      <c r="H888" s="191"/>
      <c r="I888" s="191"/>
      <c r="J888" s="191"/>
      <c r="K888" s="191"/>
      <c r="L888" s="191"/>
      <c r="M888" s="191"/>
      <c r="N888" s="191"/>
      <c r="O888" s="191"/>
      <c r="P888" s="191"/>
      <c r="Q888" s="191"/>
      <c r="R888" s="191"/>
      <c r="S888" s="191"/>
      <c r="T888" s="191"/>
      <c r="U888" s="191"/>
      <c r="V888" s="191"/>
    </row>
    <row r="889" ht="15.75" customHeight="1">
      <c r="A889" s="191"/>
      <c r="B889" s="191"/>
      <c r="C889" s="191"/>
      <c r="D889" s="191"/>
      <c r="E889" s="191"/>
      <c r="F889" s="191"/>
      <c r="G889" s="191"/>
      <c r="H889" s="191"/>
      <c r="I889" s="191"/>
      <c r="J889" s="191"/>
      <c r="K889" s="191"/>
      <c r="L889" s="191"/>
      <c r="M889" s="191"/>
      <c r="N889" s="191"/>
      <c r="O889" s="191"/>
      <c r="P889" s="191"/>
      <c r="Q889" s="191"/>
      <c r="R889" s="191"/>
      <c r="S889" s="191"/>
      <c r="T889" s="191"/>
      <c r="U889" s="191"/>
      <c r="V889" s="191"/>
    </row>
    <row r="890" ht="15.75" customHeight="1">
      <c r="A890" s="191"/>
      <c r="B890" s="191"/>
      <c r="C890" s="191"/>
      <c r="D890" s="191"/>
      <c r="E890" s="191"/>
      <c r="F890" s="191"/>
      <c r="G890" s="191"/>
      <c r="H890" s="191"/>
      <c r="I890" s="191"/>
      <c r="J890" s="191"/>
      <c r="K890" s="191"/>
      <c r="L890" s="191"/>
      <c r="M890" s="191"/>
      <c r="N890" s="191"/>
      <c r="O890" s="191"/>
      <c r="P890" s="191"/>
      <c r="Q890" s="191"/>
      <c r="R890" s="191"/>
      <c r="S890" s="191"/>
      <c r="T890" s="191"/>
      <c r="U890" s="191"/>
      <c r="V890" s="191"/>
    </row>
    <row r="891" ht="15.75" customHeight="1">
      <c r="A891" s="191"/>
      <c r="B891" s="191"/>
      <c r="C891" s="191"/>
      <c r="D891" s="191"/>
      <c r="E891" s="191"/>
      <c r="F891" s="191"/>
      <c r="G891" s="191"/>
      <c r="H891" s="191"/>
      <c r="I891" s="191"/>
      <c r="J891" s="191"/>
      <c r="K891" s="191"/>
      <c r="L891" s="191"/>
      <c r="M891" s="191"/>
      <c r="N891" s="191"/>
      <c r="O891" s="191"/>
      <c r="P891" s="191"/>
      <c r="Q891" s="191"/>
      <c r="R891" s="191"/>
      <c r="S891" s="191"/>
      <c r="T891" s="191"/>
      <c r="U891" s="191"/>
      <c r="V891" s="191"/>
    </row>
    <row r="892" ht="15.75" customHeight="1">
      <c r="A892" s="191"/>
      <c r="B892" s="191"/>
      <c r="C892" s="191"/>
      <c r="D892" s="191"/>
      <c r="E892" s="191"/>
      <c r="F892" s="191"/>
      <c r="G892" s="191"/>
      <c r="H892" s="191"/>
      <c r="I892" s="191"/>
      <c r="J892" s="191"/>
      <c r="K892" s="191"/>
      <c r="L892" s="191"/>
      <c r="M892" s="191"/>
      <c r="N892" s="191"/>
      <c r="O892" s="191"/>
      <c r="P892" s="191"/>
      <c r="Q892" s="191"/>
      <c r="R892" s="191"/>
      <c r="S892" s="191"/>
      <c r="T892" s="191"/>
      <c r="U892" s="191"/>
      <c r="V892" s="191"/>
    </row>
    <row r="893" ht="15.75" customHeight="1">
      <c r="A893" s="191"/>
      <c r="B893" s="191"/>
      <c r="C893" s="191"/>
      <c r="D893" s="191"/>
      <c r="E893" s="191"/>
      <c r="F893" s="191"/>
      <c r="G893" s="191"/>
      <c r="H893" s="191"/>
      <c r="I893" s="191"/>
      <c r="J893" s="191"/>
      <c r="K893" s="191"/>
      <c r="L893" s="191"/>
      <c r="M893" s="191"/>
      <c r="N893" s="191"/>
      <c r="O893" s="191"/>
      <c r="P893" s="191"/>
      <c r="Q893" s="191"/>
      <c r="R893" s="191"/>
      <c r="S893" s="191"/>
      <c r="T893" s="191"/>
      <c r="U893" s="191"/>
      <c r="V893" s="191"/>
    </row>
    <row r="894" ht="15.75" customHeight="1">
      <c r="A894" s="191"/>
      <c r="B894" s="191"/>
      <c r="C894" s="191"/>
      <c r="D894" s="191"/>
      <c r="E894" s="191"/>
      <c r="F894" s="191"/>
      <c r="G894" s="191"/>
      <c r="H894" s="191"/>
      <c r="I894" s="191"/>
      <c r="J894" s="191"/>
      <c r="K894" s="191"/>
      <c r="L894" s="191"/>
      <c r="M894" s="191"/>
      <c r="N894" s="191"/>
      <c r="O894" s="191"/>
      <c r="P894" s="191"/>
      <c r="Q894" s="191"/>
      <c r="R894" s="191"/>
      <c r="S894" s="191"/>
      <c r="T894" s="191"/>
      <c r="U894" s="191"/>
      <c r="V894" s="191"/>
    </row>
    <row r="895" ht="15.75" customHeight="1">
      <c r="A895" s="191"/>
      <c r="B895" s="191"/>
      <c r="C895" s="191"/>
      <c r="D895" s="191"/>
      <c r="E895" s="191"/>
      <c r="F895" s="191"/>
      <c r="G895" s="191"/>
      <c r="H895" s="191"/>
      <c r="I895" s="191"/>
      <c r="J895" s="191"/>
      <c r="K895" s="191"/>
      <c r="L895" s="191"/>
      <c r="M895" s="191"/>
      <c r="N895" s="191"/>
      <c r="O895" s="191"/>
      <c r="P895" s="191"/>
      <c r="Q895" s="191"/>
      <c r="R895" s="191"/>
      <c r="S895" s="191"/>
      <c r="T895" s="191"/>
      <c r="U895" s="191"/>
      <c r="V895" s="191"/>
    </row>
    <row r="896" ht="15.75" customHeight="1">
      <c r="A896" s="191"/>
      <c r="B896" s="191"/>
      <c r="C896" s="191"/>
      <c r="D896" s="191"/>
      <c r="E896" s="191"/>
      <c r="F896" s="191"/>
      <c r="G896" s="191"/>
      <c r="H896" s="191"/>
      <c r="I896" s="191"/>
      <c r="J896" s="191"/>
      <c r="K896" s="191"/>
      <c r="L896" s="191"/>
      <c r="M896" s="191"/>
      <c r="N896" s="191"/>
      <c r="O896" s="191"/>
      <c r="P896" s="191"/>
      <c r="Q896" s="191"/>
      <c r="R896" s="191"/>
      <c r="S896" s="191"/>
      <c r="T896" s="191"/>
      <c r="U896" s="191"/>
      <c r="V896" s="191"/>
    </row>
    <row r="897" ht="15.75" customHeight="1">
      <c r="A897" s="191"/>
      <c r="B897" s="191"/>
      <c r="C897" s="191"/>
      <c r="D897" s="191"/>
      <c r="E897" s="191"/>
      <c r="F897" s="191"/>
      <c r="G897" s="191"/>
      <c r="H897" s="191"/>
      <c r="I897" s="191"/>
      <c r="J897" s="191"/>
      <c r="K897" s="191"/>
      <c r="L897" s="191"/>
      <c r="M897" s="191"/>
      <c r="N897" s="191"/>
      <c r="O897" s="191"/>
      <c r="P897" s="191"/>
      <c r="Q897" s="191"/>
      <c r="R897" s="191"/>
      <c r="S897" s="191"/>
      <c r="T897" s="191"/>
      <c r="U897" s="191"/>
      <c r="V897" s="191"/>
    </row>
    <row r="898" ht="15.75" customHeight="1">
      <c r="A898" s="191"/>
      <c r="B898" s="191"/>
      <c r="C898" s="191"/>
      <c r="D898" s="191"/>
      <c r="E898" s="191"/>
      <c r="F898" s="191"/>
      <c r="G898" s="191"/>
      <c r="H898" s="191"/>
      <c r="I898" s="191"/>
      <c r="J898" s="191"/>
      <c r="K898" s="191"/>
      <c r="L898" s="191"/>
      <c r="M898" s="191"/>
      <c r="N898" s="191"/>
      <c r="O898" s="191"/>
      <c r="P898" s="191"/>
      <c r="Q898" s="191"/>
      <c r="R898" s="191"/>
      <c r="S898" s="191"/>
      <c r="T898" s="191"/>
      <c r="U898" s="191"/>
      <c r="V898" s="191"/>
    </row>
    <row r="899" ht="15.75" customHeight="1">
      <c r="A899" s="191"/>
      <c r="B899" s="191"/>
      <c r="C899" s="191"/>
      <c r="D899" s="191"/>
      <c r="E899" s="191"/>
      <c r="F899" s="191"/>
      <c r="G899" s="191"/>
      <c r="H899" s="191"/>
      <c r="I899" s="191"/>
      <c r="J899" s="191"/>
      <c r="K899" s="191"/>
      <c r="L899" s="191"/>
      <c r="M899" s="191"/>
      <c r="N899" s="191"/>
      <c r="O899" s="191"/>
      <c r="P899" s="191"/>
      <c r="Q899" s="191"/>
      <c r="R899" s="191"/>
      <c r="S899" s="191"/>
      <c r="T899" s="191"/>
      <c r="U899" s="191"/>
      <c r="V899" s="191"/>
    </row>
    <row r="900" ht="15.75" customHeight="1">
      <c r="A900" s="191"/>
      <c r="B900" s="191"/>
      <c r="C900" s="191"/>
      <c r="D900" s="191"/>
      <c r="E900" s="191"/>
      <c r="F900" s="191"/>
      <c r="G900" s="191"/>
      <c r="H900" s="191"/>
      <c r="I900" s="191"/>
      <c r="J900" s="191"/>
      <c r="K900" s="191"/>
      <c r="L900" s="191"/>
      <c r="M900" s="191"/>
      <c r="N900" s="191"/>
      <c r="O900" s="191"/>
      <c r="P900" s="191"/>
      <c r="Q900" s="191"/>
      <c r="R900" s="191"/>
      <c r="S900" s="191"/>
      <c r="T900" s="191"/>
      <c r="U900" s="191"/>
      <c r="V900" s="191"/>
    </row>
    <row r="901" ht="15.75" customHeight="1">
      <c r="A901" s="191"/>
      <c r="B901" s="191"/>
      <c r="C901" s="191"/>
      <c r="D901" s="191"/>
      <c r="E901" s="191"/>
      <c r="F901" s="191"/>
      <c r="G901" s="191"/>
      <c r="H901" s="191"/>
      <c r="I901" s="191"/>
      <c r="J901" s="191"/>
      <c r="K901" s="191"/>
      <c r="L901" s="191"/>
      <c r="M901" s="191"/>
      <c r="N901" s="191"/>
      <c r="O901" s="191"/>
      <c r="P901" s="191"/>
      <c r="Q901" s="191"/>
      <c r="R901" s="191"/>
      <c r="S901" s="191"/>
      <c r="T901" s="191"/>
      <c r="U901" s="191"/>
      <c r="V901" s="191"/>
    </row>
    <row r="902" ht="15.75" customHeight="1">
      <c r="A902" s="191"/>
      <c r="B902" s="191"/>
      <c r="C902" s="191"/>
      <c r="D902" s="191"/>
      <c r="E902" s="191"/>
      <c r="F902" s="191"/>
      <c r="G902" s="191"/>
      <c r="H902" s="191"/>
      <c r="I902" s="191"/>
      <c r="J902" s="191"/>
      <c r="K902" s="191"/>
      <c r="L902" s="191"/>
      <c r="M902" s="191"/>
      <c r="N902" s="191"/>
      <c r="O902" s="191"/>
      <c r="P902" s="191"/>
      <c r="Q902" s="191"/>
      <c r="R902" s="191"/>
      <c r="S902" s="191"/>
      <c r="T902" s="191"/>
      <c r="U902" s="191"/>
      <c r="V902" s="191"/>
    </row>
    <row r="903" ht="15.75" customHeight="1">
      <c r="A903" s="191"/>
      <c r="B903" s="191"/>
      <c r="C903" s="191"/>
      <c r="D903" s="191"/>
      <c r="E903" s="191"/>
      <c r="F903" s="191"/>
      <c r="G903" s="191"/>
      <c r="H903" s="191"/>
      <c r="I903" s="191"/>
      <c r="J903" s="191"/>
      <c r="K903" s="191"/>
      <c r="L903" s="191"/>
      <c r="M903" s="191"/>
      <c r="N903" s="191"/>
      <c r="O903" s="191"/>
      <c r="P903" s="191"/>
      <c r="Q903" s="191"/>
      <c r="R903" s="191"/>
      <c r="S903" s="191"/>
      <c r="T903" s="191"/>
      <c r="U903" s="191"/>
      <c r="V903" s="191"/>
    </row>
    <row r="904" ht="15.75" customHeight="1">
      <c r="A904" s="191"/>
      <c r="B904" s="191"/>
      <c r="C904" s="191"/>
      <c r="D904" s="191"/>
      <c r="E904" s="191"/>
      <c r="F904" s="191"/>
      <c r="G904" s="191"/>
      <c r="H904" s="191"/>
      <c r="I904" s="191"/>
      <c r="J904" s="191"/>
      <c r="K904" s="191"/>
      <c r="L904" s="191"/>
      <c r="M904" s="191"/>
      <c r="N904" s="191"/>
      <c r="O904" s="191"/>
      <c r="P904" s="191"/>
      <c r="Q904" s="191"/>
      <c r="R904" s="191"/>
      <c r="S904" s="191"/>
      <c r="T904" s="191"/>
      <c r="U904" s="191"/>
      <c r="V904" s="191"/>
    </row>
    <row r="905" ht="15.75" customHeight="1">
      <c r="A905" s="191"/>
      <c r="B905" s="191"/>
      <c r="C905" s="191"/>
      <c r="D905" s="191"/>
      <c r="E905" s="191"/>
      <c r="F905" s="191"/>
      <c r="G905" s="191"/>
      <c r="H905" s="191"/>
      <c r="I905" s="191"/>
      <c r="J905" s="191"/>
      <c r="K905" s="191"/>
      <c r="L905" s="191"/>
      <c r="M905" s="191"/>
      <c r="N905" s="191"/>
      <c r="O905" s="191"/>
      <c r="P905" s="191"/>
      <c r="Q905" s="191"/>
      <c r="R905" s="191"/>
      <c r="S905" s="191"/>
      <c r="T905" s="191"/>
      <c r="U905" s="191"/>
      <c r="V905" s="191"/>
    </row>
    <row r="906" ht="15.75" customHeight="1">
      <c r="A906" s="191"/>
      <c r="B906" s="191"/>
      <c r="C906" s="191"/>
      <c r="D906" s="191"/>
      <c r="E906" s="191"/>
      <c r="F906" s="191"/>
      <c r="G906" s="191"/>
      <c r="H906" s="191"/>
      <c r="I906" s="191"/>
      <c r="J906" s="191"/>
      <c r="K906" s="191"/>
      <c r="L906" s="191"/>
      <c r="M906" s="191"/>
      <c r="N906" s="191"/>
      <c r="O906" s="191"/>
      <c r="P906" s="191"/>
      <c r="Q906" s="191"/>
      <c r="R906" s="191"/>
      <c r="S906" s="191"/>
      <c r="T906" s="191"/>
      <c r="U906" s="191"/>
      <c r="V906" s="191"/>
    </row>
    <row r="907" ht="15.75" customHeight="1">
      <c r="A907" s="191"/>
      <c r="B907" s="191"/>
      <c r="C907" s="191"/>
      <c r="D907" s="191"/>
      <c r="E907" s="191"/>
      <c r="F907" s="191"/>
      <c r="G907" s="191"/>
      <c r="H907" s="191"/>
      <c r="I907" s="191"/>
      <c r="J907" s="191"/>
      <c r="K907" s="191"/>
      <c r="L907" s="191"/>
      <c r="M907" s="191"/>
      <c r="N907" s="191"/>
      <c r="O907" s="191"/>
      <c r="P907" s="191"/>
      <c r="Q907" s="191"/>
      <c r="R907" s="191"/>
      <c r="S907" s="191"/>
      <c r="T907" s="191"/>
      <c r="U907" s="191"/>
      <c r="V907" s="191"/>
    </row>
    <row r="908" ht="15.75" customHeight="1">
      <c r="A908" s="191"/>
      <c r="B908" s="191"/>
      <c r="C908" s="191"/>
      <c r="D908" s="191"/>
      <c r="E908" s="191"/>
      <c r="F908" s="191"/>
      <c r="G908" s="191"/>
      <c r="H908" s="191"/>
      <c r="I908" s="191"/>
      <c r="J908" s="191"/>
      <c r="K908" s="191"/>
      <c r="L908" s="191"/>
      <c r="M908" s="191"/>
      <c r="N908" s="191"/>
      <c r="O908" s="191"/>
      <c r="P908" s="191"/>
      <c r="Q908" s="191"/>
      <c r="R908" s="191"/>
      <c r="S908" s="191"/>
      <c r="T908" s="191"/>
      <c r="U908" s="191"/>
      <c r="V908" s="191"/>
    </row>
    <row r="909" ht="15.75" customHeight="1">
      <c r="A909" s="191"/>
      <c r="B909" s="191"/>
      <c r="C909" s="191"/>
      <c r="D909" s="191"/>
      <c r="E909" s="191"/>
      <c r="F909" s="191"/>
      <c r="G909" s="191"/>
      <c r="H909" s="191"/>
      <c r="I909" s="191"/>
      <c r="J909" s="191"/>
      <c r="K909" s="191"/>
      <c r="L909" s="191"/>
      <c r="M909" s="191"/>
      <c r="N909" s="191"/>
      <c r="O909" s="191"/>
      <c r="P909" s="191"/>
      <c r="Q909" s="191"/>
      <c r="R909" s="191"/>
      <c r="S909" s="191"/>
      <c r="T909" s="191"/>
      <c r="U909" s="191"/>
      <c r="V909" s="191"/>
    </row>
    <row r="910" ht="15.75" customHeight="1">
      <c r="A910" s="191"/>
      <c r="B910" s="191"/>
      <c r="C910" s="191"/>
      <c r="D910" s="191"/>
      <c r="E910" s="191"/>
      <c r="F910" s="191"/>
      <c r="G910" s="191"/>
      <c r="H910" s="191"/>
      <c r="I910" s="191"/>
      <c r="J910" s="191"/>
      <c r="K910" s="191"/>
      <c r="L910" s="191"/>
      <c r="M910" s="191"/>
      <c r="N910" s="191"/>
      <c r="O910" s="191"/>
      <c r="P910" s="191"/>
      <c r="Q910" s="191"/>
      <c r="R910" s="191"/>
      <c r="S910" s="191"/>
      <c r="T910" s="191"/>
      <c r="U910" s="191"/>
      <c r="V910" s="191"/>
    </row>
    <row r="911" ht="15.75" customHeight="1">
      <c r="A911" s="191"/>
      <c r="B911" s="191"/>
      <c r="C911" s="191"/>
      <c r="D911" s="191"/>
      <c r="E911" s="191"/>
      <c r="F911" s="191"/>
      <c r="G911" s="191"/>
      <c r="H911" s="191"/>
      <c r="I911" s="191"/>
      <c r="J911" s="191"/>
      <c r="K911" s="191"/>
      <c r="L911" s="191"/>
      <c r="M911" s="191"/>
      <c r="N911" s="191"/>
      <c r="O911" s="191"/>
      <c r="P911" s="191"/>
      <c r="Q911" s="191"/>
      <c r="R911" s="191"/>
      <c r="S911" s="191"/>
      <c r="T911" s="191"/>
      <c r="U911" s="191"/>
      <c r="V911" s="191"/>
    </row>
    <row r="912" ht="15.75" customHeight="1">
      <c r="A912" s="191"/>
      <c r="B912" s="191"/>
      <c r="C912" s="191"/>
      <c r="D912" s="191"/>
      <c r="E912" s="191"/>
      <c r="F912" s="191"/>
      <c r="G912" s="191"/>
      <c r="H912" s="191"/>
      <c r="I912" s="191"/>
      <c r="J912" s="191"/>
      <c r="K912" s="191"/>
      <c r="L912" s="191"/>
      <c r="M912" s="191"/>
      <c r="N912" s="191"/>
      <c r="O912" s="191"/>
      <c r="P912" s="191"/>
      <c r="Q912" s="191"/>
      <c r="R912" s="191"/>
      <c r="S912" s="191"/>
      <c r="T912" s="191"/>
      <c r="U912" s="191"/>
      <c r="V912" s="191"/>
    </row>
    <row r="913" ht="15.75" customHeight="1">
      <c r="A913" s="191"/>
      <c r="B913" s="191"/>
      <c r="C913" s="191"/>
      <c r="D913" s="191"/>
      <c r="E913" s="191"/>
      <c r="F913" s="191"/>
      <c r="G913" s="191"/>
      <c r="H913" s="191"/>
      <c r="I913" s="191"/>
      <c r="J913" s="191"/>
      <c r="K913" s="191"/>
      <c r="L913" s="191"/>
      <c r="M913" s="191"/>
      <c r="N913" s="191"/>
      <c r="O913" s="191"/>
      <c r="P913" s="191"/>
      <c r="Q913" s="191"/>
      <c r="R913" s="191"/>
      <c r="S913" s="191"/>
      <c r="T913" s="191"/>
      <c r="U913" s="191"/>
      <c r="V913" s="191"/>
    </row>
    <row r="914" ht="15.75" customHeight="1">
      <c r="A914" s="191"/>
      <c r="B914" s="191"/>
      <c r="C914" s="191"/>
      <c r="D914" s="191"/>
      <c r="E914" s="191"/>
      <c r="F914" s="191"/>
      <c r="G914" s="191"/>
      <c r="H914" s="191"/>
      <c r="I914" s="191"/>
      <c r="J914" s="191"/>
      <c r="K914" s="191"/>
      <c r="L914" s="191"/>
      <c r="M914" s="191"/>
      <c r="N914" s="191"/>
      <c r="O914" s="191"/>
      <c r="P914" s="191"/>
      <c r="Q914" s="191"/>
      <c r="R914" s="191"/>
      <c r="S914" s="191"/>
      <c r="T914" s="191"/>
      <c r="U914" s="191"/>
      <c r="V914" s="191"/>
    </row>
    <row r="915" ht="15.75" customHeight="1">
      <c r="A915" s="191"/>
      <c r="B915" s="191"/>
      <c r="C915" s="191"/>
      <c r="D915" s="191"/>
      <c r="E915" s="191"/>
      <c r="F915" s="191"/>
      <c r="G915" s="191"/>
      <c r="H915" s="191"/>
      <c r="I915" s="191"/>
      <c r="J915" s="191"/>
      <c r="K915" s="191"/>
      <c r="L915" s="191"/>
      <c r="M915" s="191"/>
      <c r="N915" s="191"/>
      <c r="O915" s="191"/>
      <c r="P915" s="191"/>
      <c r="Q915" s="191"/>
      <c r="R915" s="191"/>
      <c r="S915" s="191"/>
      <c r="T915" s="191"/>
      <c r="U915" s="191"/>
      <c r="V915" s="191"/>
    </row>
    <row r="916" ht="15.75" customHeight="1">
      <c r="A916" s="191"/>
      <c r="B916" s="191"/>
      <c r="C916" s="191"/>
      <c r="D916" s="191"/>
      <c r="E916" s="191"/>
      <c r="F916" s="191"/>
      <c r="G916" s="191"/>
      <c r="H916" s="191"/>
      <c r="I916" s="191"/>
      <c r="J916" s="191"/>
      <c r="K916" s="191"/>
      <c r="L916" s="191"/>
      <c r="M916" s="191"/>
      <c r="N916" s="191"/>
      <c r="O916" s="191"/>
      <c r="P916" s="191"/>
      <c r="Q916" s="191"/>
      <c r="R916" s="191"/>
      <c r="S916" s="191"/>
      <c r="T916" s="191"/>
      <c r="U916" s="191"/>
      <c r="V916" s="191"/>
    </row>
    <row r="917" ht="15.75" customHeight="1">
      <c r="A917" s="191"/>
      <c r="B917" s="191"/>
      <c r="C917" s="191"/>
      <c r="D917" s="191"/>
      <c r="E917" s="191"/>
      <c r="F917" s="191"/>
      <c r="G917" s="191"/>
      <c r="H917" s="191"/>
      <c r="I917" s="191"/>
      <c r="J917" s="191"/>
      <c r="K917" s="191"/>
      <c r="L917" s="191"/>
      <c r="M917" s="191"/>
      <c r="N917" s="191"/>
      <c r="O917" s="191"/>
      <c r="P917" s="191"/>
      <c r="Q917" s="191"/>
      <c r="R917" s="191"/>
      <c r="S917" s="191"/>
      <c r="T917" s="191"/>
      <c r="U917" s="191"/>
      <c r="V917" s="191"/>
    </row>
    <row r="918" ht="15.75" customHeight="1">
      <c r="A918" s="191"/>
      <c r="B918" s="191"/>
      <c r="C918" s="191"/>
      <c r="D918" s="191"/>
      <c r="E918" s="191"/>
      <c r="F918" s="191"/>
      <c r="G918" s="191"/>
      <c r="H918" s="191"/>
      <c r="I918" s="191"/>
      <c r="J918" s="191"/>
      <c r="K918" s="191"/>
      <c r="L918" s="191"/>
      <c r="M918" s="191"/>
      <c r="N918" s="191"/>
      <c r="O918" s="191"/>
      <c r="P918" s="191"/>
      <c r="Q918" s="191"/>
      <c r="R918" s="191"/>
      <c r="S918" s="191"/>
      <c r="T918" s="191"/>
      <c r="U918" s="191"/>
      <c r="V918" s="191"/>
    </row>
    <row r="919" ht="15.75" customHeight="1">
      <c r="A919" s="191"/>
      <c r="B919" s="191"/>
      <c r="C919" s="191"/>
      <c r="D919" s="191"/>
      <c r="E919" s="191"/>
      <c r="F919" s="191"/>
      <c r="G919" s="191"/>
      <c r="H919" s="191"/>
      <c r="I919" s="191"/>
      <c r="J919" s="191"/>
      <c r="K919" s="191"/>
      <c r="L919" s="191"/>
      <c r="M919" s="191"/>
      <c r="N919" s="191"/>
      <c r="O919" s="191"/>
      <c r="P919" s="191"/>
      <c r="Q919" s="191"/>
      <c r="R919" s="191"/>
      <c r="S919" s="191"/>
      <c r="T919" s="191"/>
      <c r="U919" s="191"/>
      <c r="V919" s="191"/>
    </row>
    <row r="920" ht="15.75" customHeight="1">
      <c r="A920" s="191"/>
      <c r="B920" s="191"/>
      <c r="C920" s="191"/>
      <c r="D920" s="191"/>
      <c r="E920" s="191"/>
      <c r="F920" s="191"/>
      <c r="G920" s="191"/>
      <c r="H920" s="191"/>
      <c r="I920" s="191"/>
      <c r="J920" s="191"/>
      <c r="K920" s="191"/>
      <c r="L920" s="191"/>
      <c r="M920" s="191"/>
      <c r="N920" s="191"/>
      <c r="O920" s="191"/>
      <c r="P920" s="191"/>
      <c r="Q920" s="191"/>
      <c r="R920" s="191"/>
      <c r="S920" s="191"/>
      <c r="T920" s="191"/>
      <c r="U920" s="191"/>
      <c r="V920" s="191"/>
    </row>
    <row r="921" ht="15.75" customHeight="1">
      <c r="A921" s="191"/>
      <c r="B921" s="191"/>
      <c r="C921" s="191"/>
      <c r="D921" s="191"/>
      <c r="E921" s="191"/>
      <c r="F921" s="191"/>
      <c r="G921" s="191"/>
      <c r="H921" s="191"/>
      <c r="I921" s="191"/>
      <c r="J921" s="191"/>
      <c r="K921" s="191"/>
      <c r="L921" s="191"/>
      <c r="M921" s="191"/>
      <c r="N921" s="191"/>
      <c r="O921" s="191"/>
      <c r="P921" s="191"/>
      <c r="Q921" s="191"/>
      <c r="R921" s="191"/>
      <c r="S921" s="191"/>
      <c r="T921" s="191"/>
      <c r="U921" s="191"/>
      <c r="V921" s="191"/>
    </row>
    <row r="922" ht="15.75" customHeight="1">
      <c r="A922" s="191"/>
      <c r="B922" s="191"/>
      <c r="C922" s="191"/>
      <c r="D922" s="191"/>
      <c r="E922" s="191"/>
      <c r="F922" s="191"/>
      <c r="G922" s="191"/>
      <c r="H922" s="191"/>
      <c r="I922" s="191"/>
      <c r="J922" s="191"/>
      <c r="K922" s="191"/>
      <c r="L922" s="191"/>
      <c r="M922" s="191"/>
      <c r="N922" s="191"/>
      <c r="O922" s="191"/>
      <c r="P922" s="191"/>
      <c r="Q922" s="191"/>
      <c r="R922" s="191"/>
      <c r="S922" s="191"/>
      <c r="T922" s="191"/>
      <c r="U922" s="191"/>
      <c r="V922" s="191"/>
    </row>
    <row r="923" ht="15.75" customHeight="1">
      <c r="A923" s="191"/>
      <c r="B923" s="191"/>
      <c r="C923" s="191"/>
      <c r="D923" s="191"/>
      <c r="E923" s="191"/>
      <c r="F923" s="191"/>
      <c r="G923" s="191"/>
      <c r="H923" s="191"/>
      <c r="I923" s="191"/>
      <c r="J923" s="191"/>
      <c r="K923" s="191"/>
      <c r="L923" s="191"/>
      <c r="M923" s="191"/>
      <c r="N923" s="191"/>
      <c r="O923" s="191"/>
      <c r="P923" s="191"/>
      <c r="Q923" s="191"/>
      <c r="R923" s="191"/>
      <c r="S923" s="191"/>
      <c r="T923" s="191"/>
      <c r="U923" s="191"/>
      <c r="V923" s="191"/>
    </row>
    <row r="924" ht="15.75" customHeight="1">
      <c r="A924" s="191"/>
      <c r="B924" s="191"/>
      <c r="C924" s="191"/>
      <c r="D924" s="191"/>
      <c r="E924" s="191"/>
      <c r="F924" s="191"/>
      <c r="G924" s="191"/>
      <c r="H924" s="191"/>
      <c r="I924" s="191"/>
      <c r="J924" s="191"/>
      <c r="K924" s="191"/>
      <c r="L924" s="191"/>
      <c r="M924" s="191"/>
      <c r="N924" s="191"/>
      <c r="O924" s="191"/>
      <c r="P924" s="191"/>
      <c r="Q924" s="191"/>
      <c r="R924" s="191"/>
      <c r="S924" s="191"/>
      <c r="T924" s="191"/>
      <c r="U924" s="191"/>
      <c r="V924" s="191"/>
    </row>
    <row r="925" ht="15.75" customHeight="1">
      <c r="A925" s="191"/>
      <c r="B925" s="191"/>
      <c r="C925" s="191"/>
      <c r="D925" s="191"/>
      <c r="E925" s="191"/>
      <c r="F925" s="191"/>
      <c r="G925" s="191"/>
      <c r="H925" s="191"/>
      <c r="I925" s="191"/>
      <c r="J925" s="191"/>
      <c r="K925" s="191"/>
      <c r="L925" s="191"/>
      <c r="M925" s="191"/>
      <c r="N925" s="191"/>
      <c r="O925" s="191"/>
      <c r="P925" s="191"/>
      <c r="Q925" s="191"/>
      <c r="R925" s="191"/>
      <c r="S925" s="191"/>
      <c r="T925" s="191"/>
      <c r="U925" s="191"/>
      <c r="V925" s="191"/>
    </row>
    <row r="926" ht="15.75" customHeight="1">
      <c r="A926" s="191"/>
      <c r="B926" s="191"/>
      <c r="C926" s="191"/>
      <c r="D926" s="191"/>
      <c r="E926" s="191"/>
      <c r="F926" s="191"/>
      <c r="G926" s="191"/>
      <c r="H926" s="191"/>
      <c r="I926" s="191"/>
      <c r="J926" s="191"/>
      <c r="K926" s="191"/>
      <c r="L926" s="191"/>
      <c r="M926" s="191"/>
      <c r="N926" s="191"/>
      <c r="O926" s="191"/>
      <c r="P926" s="191"/>
      <c r="Q926" s="191"/>
      <c r="R926" s="191"/>
      <c r="S926" s="191"/>
      <c r="T926" s="191"/>
      <c r="U926" s="191"/>
      <c r="V926" s="191"/>
    </row>
    <row r="927" ht="15.75" customHeight="1">
      <c r="A927" s="191"/>
      <c r="B927" s="191"/>
      <c r="C927" s="191"/>
      <c r="D927" s="191"/>
      <c r="E927" s="191"/>
      <c r="F927" s="191"/>
      <c r="G927" s="191"/>
      <c r="H927" s="191"/>
      <c r="I927" s="191"/>
      <c r="J927" s="191"/>
      <c r="K927" s="191"/>
      <c r="L927" s="191"/>
      <c r="M927" s="191"/>
      <c r="N927" s="191"/>
      <c r="O927" s="191"/>
      <c r="P927" s="191"/>
      <c r="Q927" s="191"/>
      <c r="R927" s="191"/>
      <c r="S927" s="191"/>
      <c r="T927" s="191"/>
      <c r="U927" s="191"/>
      <c r="V927" s="191"/>
    </row>
    <row r="928" ht="15.75" customHeight="1">
      <c r="A928" s="191"/>
      <c r="B928" s="191"/>
      <c r="C928" s="191"/>
      <c r="D928" s="191"/>
      <c r="E928" s="191"/>
      <c r="F928" s="191"/>
      <c r="G928" s="191"/>
      <c r="H928" s="191"/>
      <c r="I928" s="191"/>
      <c r="J928" s="191"/>
      <c r="K928" s="191"/>
      <c r="L928" s="191"/>
      <c r="M928" s="191"/>
      <c r="N928" s="191"/>
      <c r="O928" s="191"/>
      <c r="P928" s="191"/>
      <c r="Q928" s="191"/>
      <c r="R928" s="191"/>
      <c r="S928" s="191"/>
      <c r="T928" s="191"/>
      <c r="U928" s="191"/>
      <c r="V928" s="191"/>
    </row>
    <row r="929" ht="15.75" customHeight="1">
      <c r="A929" s="191"/>
      <c r="B929" s="191"/>
      <c r="C929" s="191"/>
      <c r="D929" s="191"/>
      <c r="E929" s="191"/>
      <c r="F929" s="191"/>
      <c r="G929" s="191"/>
      <c r="H929" s="191"/>
      <c r="I929" s="191"/>
      <c r="J929" s="191"/>
      <c r="K929" s="191"/>
      <c r="L929" s="191"/>
      <c r="M929" s="191"/>
      <c r="N929" s="191"/>
      <c r="O929" s="191"/>
      <c r="P929" s="191"/>
      <c r="Q929" s="191"/>
      <c r="R929" s="191"/>
      <c r="S929" s="191"/>
      <c r="T929" s="191"/>
      <c r="U929" s="191"/>
      <c r="V929" s="191"/>
    </row>
    <row r="930" ht="15.75" customHeight="1">
      <c r="A930" s="191"/>
      <c r="B930" s="191"/>
      <c r="C930" s="191"/>
      <c r="D930" s="191"/>
      <c r="E930" s="191"/>
      <c r="F930" s="191"/>
      <c r="G930" s="191"/>
      <c r="H930" s="191"/>
      <c r="I930" s="191"/>
      <c r="J930" s="191"/>
      <c r="K930" s="191"/>
      <c r="L930" s="191"/>
      <c r="M930" s="191"/>
      <c r="N930" s="191"/>
      <c r="O930" s="191"/>
      <c r="P930" s="191"/>
      <c r="Q930" s="191"/>
      <c r="R930" s="191"/>
      <c r="S930" s="191"/>
      <c r="T930" s="191"/>
      <c r="U930" s="191"/>
      <c r="V930" s="191"/>
    </row>
    <row r="931" ht="15.75" customHeight="1">
      <c r="A931" s="191"/>
      <c r="B931" s="191"/>
      <c r="C931" s="191"/>
      <c r="D931" s="191"/>
      <c r="E931" s="191"/>
      <c r="F931" s="191"/>
      <c r="G931" s="191"/>
      <c r="H931" s="191"/>
      <c r="I931" s="191"/>
      <c r="J931" s="191"/>
      <c r="K931" s="191"/>
      <c r="L931" s="191"/>
      <c r="M931" s="191"/>
      <c r="N931" s="191"/>
      <c r="O931" s="191"/>
      <c r="P931" s="191"/>
      <c r="Q931" s="191"/>
      <c r="R931" s="191"/>
      <c r="S931" s="191"/>
      <c r="T931" s="191"/>
      <c r="U931" s="191"/>
      <c r="V931" s="191"/>
    </row>
    <row r="932" ht="15.75" customHeight="1">
      <c r="A932" s="191"/>
      <c r="B932" s="191"/>
      <c r="C932" s="191"/>
      <c r="D932" s="191"/>
      <c r="E932" s="191"/>
      <c r="F932" s="191"/>
      <c r="G932" s="191"/>
      <c r="H932" s="191"/>
      <c r="I932" s="191"/>
      <c r="J932" s="191"/>
      <c r="K932" s="191"/>
      <c r="L932" s="191"/>
      <c r="M932" s="191"/>
      <c r="N932" s="191"/>
      <c r="O932" s="191"/>
      <c r="P932" s="191"/>
      <c r="Q932" s="191"/>
      <c r="R932" s="191"/>
      <c r="S932" s="191"/>
      <c r="T932" s="191"/>
      <c r="U932" s="191"/>
      <c r="V932" s="191"/>
    </row>
    <row r="933" ht="15.75" customHeight="1">
      <c r="A933" s="191"/>
      <c r="B933" s="191"/>
      <c r="C933" s="191"/>
      <c r="D933" s="191"/>
      <c r="E933" s="191"/>
      <c r="F933" s="191"/>
      <c r="G933" s="191"/>
      <c r="H933" s="191"/>
      <c r="I933" s="191"/>
      <c r="J933" s="191"/>
      <c r="K933" s="191"/>
      <c r="L933" s="191"/>
      <c r="M933" s="191"/>
      <c r="N933" s="191"/>
      <c r="O933" s="191"/>
      <c r="P933" s="191"/>
      <c r="Q933" s="191"/>
      <c r="R933" s="191"/>
      <c r="S933" s="191"/>
      <c r="T933" s="191"/>
      <c r="U933" s="191"/>
      <c r="V933" s="191"/>
    </row>
    <row r="934" ht="15.75" customHeight="1">
      <c r="A934" s="191"/>
      <c r="B934" s="191"/>
      <c r="C934" s="191"/>
      <c r="D934" s="191"/>
      <c r="E934" s="191"/>
      <c r="F934" s="191"/>
      <c r="G934" s="191"/>
      <c r="H934" s="191"/>
      <c r="I934" s="191"/>
      <c r="J934" s="191"/>
      <c r="K934" s="191"/>
      <c r="L934" s="191"/>
      <c r="M934" s="191"/>
      <c r="N934" s="191"/>
      <c r="O934" s="191"/>
      <c r="P934" s="191"/>
      <c r="Q934" s="191"/>
      <c r="R934" s="191"/>
      <c r="S934" s="191"/>
      <c r="T934" s="191"/>
      <c r="U934" s="191"/>
      <c r="V934" s="191"/>
    </row>
    <row r="935" ht="15.75" customHeight="1">
      <c r="A935" s="191"/>
      <c r="B935" s="191"/>
      <c r="C935" s="191"/>
      <c r="D935" s="191"/>
      <c r="E935" s="191"/>
      <c r="F935" s="191"/>
      <c r="G935" s="191"/>
      <c r="H935" s="191"/>
      <c r="I935" s="191"/>
      <c r="J935" s="191"/>
      <c r="K935" s="191"/>
      <c r="L935" s="191"/>
      <c r="M935" s="191"/>
      <c r="N935" s="191"/>
      <c r="O935" s="191"/>
      <c r="P935" s="191"/>
      <c r="Q935" s="191"/>
      <c r="R935" s="191"/>
      <c r="S935" s="191"/>
      <c r="T935" s="191"/>
      <c r="U935" s="191"/>
      <c r="V935" s="191"/>
    </row>
    <row r="936" ht="15.75" customHeight="1">
      <c r="A936" s="191"/>
      <c r="B936" s="191"/>
      <c r="C936" s="191"/>
      <c r="D936" s="191"/>
      <c r="E936" s="191"/>
      <c r="F936" s="191"/>
      <c r="G936" s="191"/>
      <c r="H936" s="191"/>
      <c r="I936" s="191"/>
      <c r="J936" s="191"/>
      <c r="K936" s="191"/>
      <c r="L936" s="191"/>
      <c r="M936" s="191"/>
      <c r="N936" s="191"/>
      <c r="O936" s="191"/>
      <c r="P936" s="191"/>
      <c r="Q936" s="191"/>
      <c r="R936" s="191"/>
      <c r="S936" s="191"/>
      <c r="T936" s="191"/>
      <c r="U936" s="191"/>
      <c r="V936" s="191"/>
    </row>
    <row r="937" ht="15.75" customHeight="1">
      <c r="A937" s="191"/>
      <c r="B937" s="191"/>
      <c r="C937" s="191"/>
      <c r="D937" s="191"/>
      <c r="E937" s="191"/>
      <c r="F937" s="191"/>
      <c r="G937" s="191"/>
      <c r="H937" s="191"/>
      <c r="I937" s="191"/>
      <c r="J937" s="191"/>
      <c r="K937" s="191"/>
      <c r="L937" s="191"/>
      <c r="M937" s="191"/>
      <c r="N937" s="191"/>
      <c r="O937" s="191"/>
      <c r="P937" s="191"/>
      <c r="Q937" s="191"/>
      <c r="R937" s="191"/>
      <c r="S937" s="191"/>
      <c r="T937" s="191"/>
      <c r="U937" s="191"/>
      <c r="V937" s="191"/>
    </row>
    <row r="938" ht="15.75" customHeight="1">
      <c r="A938" s="191"/>
      <c r="B938" s="191"/>
      <c r="C938" s="191"/>
      <c r="D938" s="191"/>
      <c r="E938" s="191"/>
      <c r="F938" s="191"/>
      <c r="G938" s="191"/>
      <c r="H938" s="191"/>
      <c r="I938" s="191"/>
      <c r="J938" s="191"/>
      <c r="K938" s="191"/>
      <c r="L938" s="191"/>
      <c r="M938" s="191"/>
      <c r="N938" s="191"/>
      <c r="O938" s="191"/>
      <c r="P938" s="191"/>
      <c r="Q938" s="191"/>
      <c r="R938" s="191"/>
      <c r="S938" s="191"/>
      <c r="T938" s="191"/>
      <c r="U938" s="191"/>
      <c r="V938" s="191"/>
    </row>
    <row r="939" ht="15.75" customHeight="1">
      <c r="A939" s="191"/>
      <c r="B939" s="191"/>
      <c r="C939" s="191"/>
      <c r="D939" s="191"/>
      <c r="E939" s="191"/>
      <c r="F939" s="191"/>
      <c r="G939" s="191"/>
      <c r="H939" s="191"/>
      <c r="I939" s="191"/>
      <c r="J939" s="191"/>
      <c r="K939" s="191"/>
      <c r="L939" s="191"/>
      <c r="M939" s="191"/>
      <c r="N939" s="191"/>
      <c r="O939" s="191"/>
      <c r="P939" s="191"/>
      <c r="Q939" s="191"/>
      <c r="R939" s="191"/>
      <c r="S939" s="191"/>
      <c r="T939" s="191"/>
      <c r="U939" s="191"/>
      <c r="V939" s="191"/>
    </row>
    <row r="940" ht="15.75" customHeight="1">
      <c r="A940" s="191"/>
      <c r="B940" s="191"/>
      <c r="C940" s="191"/>
      <c r="D940" s="191"/>
      <c r="E940" s="191"/>
      <c r="F940" s="191"/>
      <c r="G940" s="191"/>
      <c r="H940" s="191"/>
      <c r="I940" s="191"/>
      <c r="J940" s="191"/>
      <c r="K940" s="191"/>
      <c r="L940" s="191"/>
      <c r="M940" s="191"/>
      <c r="N940" s="191"/>
      <c r="O940" s="191"/>
      <c r="P940" s="191"/>
      <c r="Q940" s="191"/>
      <c r="R940" s="191"/>
      <c r="S940" s="191"/>
      <c r="T940" s="191"/>
      <c r="U940" s="191"/>
      <c r="V940" s="191"/>
    </row>
    <row r="941" ht="15.75" customHeight="1">
      <c r="A941" s="191"/>
      <c r="B941" s="191"/>
      <c r="C941" s="191"/>
      <c r="D941" s="191"/>
      <c r="E941" s="191"/>
      <c r="F941" s="191"/>
      <c r="G941" s="191"/>
      <c r="H941" s="191"/>
      <c r="I941" s="191"/>
      <c r="J941" s="191"/>
      <c r="K941" s="191"/>
      <c r="L941" s="191"/>
      <c r="M941" s="191"/>
      <c r="N941" s="191"/>
      <c r="O941" s="191"/>
      <c r="P941" s="191"/>
      <c r="Q941" s="191"/>
      <c r="R941" s="191"/>
      <c r="S941" s="191"/>
      <c r="T941" s="191"/>
      <c r="U941" s="191"/>
      <c r="V941" s="191"/>
    </row>
    <row r="942" ht="15.75" customHeight="1">
      <c r="A942" s="191"/>
      <c r="B942" s="191"/>
      <c r="C942" s="191"/>
      <c r="D942" s="191"/>
      <c r="E942" s="191"/>
      <c r="F942" s="191"/>
      <c r="G942" s="191"/>
      <c r="H942" s="191"/>
      <c r="I942" s="191"/>
      <c r="J942" s="191"/>
      <c r="K942" s="191"/>
      <c r="L942" s="191"/>
      <c r="M942" s="191"/>
      <c r="N942" s="191"/>
      <c r="O942" s="191"/>
      <c r="P942" s="191"/>
      <c r="Q942" s="191"/>
      <c r="R942" s="191"/>
      <c r="S942" s="191"/>
      <c r="T942" s="191"/>
      <c r="U942" s="191"/>
      <c r="V942" s="191"/>
    </row>
    <row r="943" ht="15.75" customHeight="1">
      <c r="A943" s="191"/>
      <c r="B943" s="191"/>
      <c r="C943" s="191"/>
      <c r="D943" s="191"/>
      <c r="E943" s="191"/>
      <c r="F943" s="191"/>
      <c r="G943" s="191"/>
      <c r="H943" s="191"/>
      <c r="I943" s="191"/>
      <c r="J943" s="191"/>
      <c r="K943" s="191"/>
      <c r="L943" s="191"/>
      <c r="M943" s="191"/>
      <c r="N943" s="191"/>
      <c r="O943" s="191"/>
      <c r="P943" s="191"/>
      <c r="Q943" s="191"/>
      <c r="R943" s="191"/>
      <c r="S943" s="191"/>
      <c r="T943" s="191"/>
      <c r="U943" s="191"/>
      <c r="V943" s="191"/>
    </row>
    <row r="944" ht="15.75" customHeight="1">
      <c r="A944" s="191"/>
      <c r="B944" s="191"/>
      <c r="C944" s="191"/>
      <c r="D944" s="191"/>
      <c r="E944" s="191"/>
      <c r="F944" s="191"/>
      <c r="G944" s="191"/>
      <c r="H944" s="191"/>
      <c r="I944" s="191"/>
      <c r="J944" s="191"/>
      <c r="K944" s="191"/>
      <c r="L944" s="191"/>
      <c r="M944" s="191"/>
      <c r="N944" s="191"/>
      <c r="O944" s="191"/>
      <c r="P944" s="191"/>
      <c r="Q944" s="191"/>
      <c r="R944" s="191"/>
      <c r="S944" s="191"/>
      <c r="T944" s="191"/>
      <c r="U944" s="191"/>
      <c r="V944" s="191"/>
    </row>
    <row r="945" ht="15.75" customHeight="1">
      <c r="A945" s="191"/>
      <c r="B945" s="191"/>
      <c r="C945" s="191"/>
      <c r="D945" s="191"/>
      <c r="E945" s="191"/>
      <c r="F945" s="191"/>
      <c r="G945" s="191"/>
      <c r="H945" s="191"/>
      <c r="I945" s="191"/>
      <c r="J945" s="191"/>
      <c r="K945" s="191"/>
      <c r="L945" s="191"/>
      <c r="M945" s="191"/>
      <c r="N945" s="191"/>
      <c r="O945" s="191"/>
      <c r="P945" s="191"/>
      <c r="Q945" s="191"/>
      <c r="R945" s="191"/>
      <c r="S945" s="191"/>
      <c r="T945" s="191"/>
      <c r="U945" s="191"/>
      <c r="V945" s="191"/>
    </row>
    <row r="946" ht="15.75" customHeight="1">
      <c r="A946" s="191"/>
      <c r="B946" s="191"/>
      <c r="C946" s="191"/>
      <c r="D946" s="191"/>
      <c r="E946" s="191"/>
      <c r="F946" s="191"/>
      <c r="G946" s="191"/>
      <c r="H946" s="191"/>
      <c r="I946" s="191"/>
      <c r="J946" s="191"/>
      <c r="K946" s="191"/>
      <c r="L946" s="191"/>
      <c r="M946" s="191"/>
      <c r="N946" s="191"/>
      <c r="O946" s="191"/>
      <c r="P946" s="191"/>
      <c r="Q946" s="191"/>
      <c r="R946" s="191"/>
      <c r="S946" s="191"/>
      <c r="T946" s="191"/>
      <c r="U946" s="191"/>
      <c r="V946" s="191"/>
    </row>
    <row r="947" ht="15.75" customHeight="1">
      <c r="A947" s="191"/>
      <c r="B947" s="191"/>
      <c r="C947" s="191"/>
      <c r="D947" s="191"/>
      <c r="E947" s="191"/>
      <c r="F947" s="191"/>
      <c r="G947" s="191"/>
      <c r="H947" s="191"/>
      <c r="I947" s="191"/>
      <c r="J947" s="191"/>
      <c r="K947" s="191"/>
      <c r="L947" s="191"/>
      <c r="M947" s="191"/>
      <c r="N947" s="191"/>
      <c r="O947" s="191"/>
      <c r="P947" s="191"/>
      <c r="Q947" s="191"/>
      <c r="R947" s="191"/>
      <c r="S947" s="191"/>
      <c r="T947" s="191"/>
      <c r="U947" s="191"/>
      <c r="V947" s="191"/>
    </row>
    <row r="948" ht="15.75" customHeight="1">
      <c r="A948" s="191"/>
      <c r="B948" s="191"/>
      <c r="C948" s="191"/>
      <c r="D948" s="191"/>
      <c r="E948" s="191"/>
      <c r="F948" s="191"/>
      <c r="G948" s="191"/>
      <c r="H948" s="191"/>
      <c r="I948" s="191"/>
      <c r="J948" s="191"/>
      <c r="K948" s="191"/>
      <c r="L948" s="191"/>
      <c r="M948" s="191"/>
      <c r="N948" s="191"/>
      <c r="O948" s="191"/>
      <c r="P948" s="191"/>
      <c r="Q948" s="191"/>
      <c r="R948" s="191"/>
      <c r="S948" s="191"/>
      <c r="T948" s="191"/>
      <c r="U948" s="191"/>
      <c r="V948" s="191"/>
    </row>
    <row r="949" ht="15.75" customHeight="1">
      <c r="A949" s="191"/>
      <c r="B949" s="191"/>
      <c r="C949" s="191"/>
      <c r="D949" s="191"/>
      <c r="E949" s="191"/>
      <c r="F949" s="191"/>
      <c r="G949" s="191"/>
      <c r="H949" s="191"/>
      <c r="I949" s="191"/>
      <c r="J949" s="191"/>
      <c r="K949" s="191"/>
      <c r="L949" s="191"/>
      <c r="M949" s="191"/>
      <c r="N949" s="191"/>
      <c r="O949" s="191"/>
      <c r="P949" s="191"/>
      <c r="Q949" s="191"/>
      <c r="R949" s="191"/>
      <c r="S949" s="191"/>
      <c r="T949" s="191"/>
      <c r="U949" s="191"/>
      <c r="V949" s="191"/>
    </row>
    <row r="950" ht="15.75" customHeight="1">
      <c r="A950" s="191"/>
      <c r="B950" s="191"/>
      <c r="C950" s="191"/>
      <c r="D950" s="191"/>
      <c r="E950" s="191"/>
      <c r="F950" s="191"/>
      <c r="G950" s="191"/>
      <c r="H950" s="191"/>
      <c r="I950" s="191"/>
      <c r="J950" s="191"/>
      <c r="K950" s="191"/>
      <c r="L950" s="191"/>
      <c r="M950" s="191"/>
      <c r="N950" s="191"/>
      <c r="O950" s="191"/>
      <c r="P950" s="191"/>
      <c r="Q950" s="191"/>
      <c r="R950" s="191"/>
      <c r="S950" s="191"/>
      <c r="T950" s="191"/>
      <c r="U950" s="191"/>
      <c r="V950" s="191"/>
    </row>
    <row r="951" ht="15.75" customHeight="1">
      <c r="A951" s="191"/>
      <c r="B951" s="191"/>
      <c r="C951" s="191"/>
      <c r="D951" s="191"/>
      <c r="E951" s="191"/>
      <c r="F951" s="191"/>
      <c r="G951" s="191"/>
      <c r="H951" s="191"/>
      <c r="I951" s="191"/>
      <c r="J951" s="191"/>
      <c r="K951" s="191"/>
      <c r="L951" s="191"/>
      <c r="M951" s="191"/>
      <c r="N951" s="191"/>
      <c r="O951" s="191"/>
      <c r="P951" s="191"/>
      <c r="Q951" s="191"/>
      <c r="R951" s="191"/>
      <c r="S951" s="191"/>
      <c r="T951" s="191"/>
      <c r="U951" s="191"/>
      <c r="V951" s="191"/>
    </row>
    <row r="952" ht="15.75" customHeight="1">
      <c r="A952" s="191"/>
      <c r="B952" s="191"/>
      <c r="C952" s="191"/>
      <c r="D952" s="191"/>
      <c r="E952" s="191"/>
      <c r="F952" s="191"/>
      <c r="G952" s="191"/>
      <c r="H952" s="191"/>
      <c r="I952" s="191"/>
      <c r="J952" s="191"/>
      <c r="K952" s="191"/>
      <c r="L952" s="191"/>
      <c r="M952" s="191"/>
      <c r="N952" s="191"/>
      <c r="O952" s="191"/>
      <c r="P952" s="191"/>
      <c r="Q952" s="191"/>
      <c r="R952" s="191"/>
      <c r="S952" s="191"/>
      <c r="T952" s="191"/>
      <c r="U952" s="191"/>
      <c r="V952" s="191"/>
    </row>
    <row r="953" ht="15.75" customHeight="1">
      <c r="A953" s="191"/>
      <c r="B953" s="191"/>
      <c r="C953" s="191"/>
      <c r="D953" s="191"/>
      <c r="E953" s="191"/>
      <c r="F953" s="191"/>
      <c r="G953" s="191"/>
      <c r="H953" s="191"/>
      <c r="I953" s="191"/>
      <c r="J953" s="191"/>
      <c r="K953" s="191"/>
      <c r="L953" s="191"/>
      <c r="M953" s="191"/>
      <c r="N953" s="191"/>
      <c r="O953" s="191"/>
      <c r="P953" s="191"/>
      <c r="Q953" s="191"/>
      <c r="R953" s="191"/>
      <c r="S953" s="191"/>
      <c r="T953" s="191"/>
      <c r="U953" s="191"/>
      <c r="V953" s="191"/>
    </row>
    <row r="954" ht="15.75" customHeight="1">
      <c r="A954" s="191"/>
      <c r="B954" s="191"/>
      <c r="C954" s="191"/>
      <c r="D954" s="191"/>
      <c r="E954" s="191"/>
      <c r="F954" s="191"/>
      <c r="G954" s="191"/>
      <c r="H954" s="191"/>
      <c r="I954" s="191"/>
      <c r="J954" s="191"/>
      <c r="K954" s="191"/>
      <c r="L954" s="191"/>
      <c r="M954" s="191"/>
      <c r="N954" s="191"/>
      <c r="O954" s="191"/>
      <c r="P954" s="191"/>
      <c r="Q954" s="191"/>
      <c r="R954" s="191"/>
      <c r="S954" s="191"/>
      <c r="T954" s="191"/>
      <c r="U954" s="191"/>
      <c r="V954" s="191"/>
    </row>
    <row r="955" ht="15.75" customHeight="1">
      <c r="A955" s="191"/>
      <c r="B955" s="191"/>
      <c r="C955" s="191"/>
      <c r="D955" s="191"/>
      <c r="E955" s="191"/>
      <c r="F955" s="191"/>
      <c r="G955" s="191"/>
      <c r="H955" s="191"/>
      <c r="I955" s="191"/>
      <c r="J955" s="191"/>
      <c r="K955" s="191"/>
      <c r="L955" s="191"/>
      <c r="M955" s="191"/>
      <c r="N955" s="191"/>
      <c r="O955" s="191"/>
      <c r="P955" s="191"/>
      <c r="Q955" s="191"/>
      <c r="R955" s="191"/>
      <c r="S955" s="191"/>
      <c r="T955" s="191"/>
      <c r="U955" s="191"/>
      <c r="V955" s="191"/>
    </row>
    <row r="956" ht="15.75" customHeight="1">
      <c r="A956" s="191"/>
      <c r="B956" s="191"/>
      <c r="C956" s="191"/>
      <c r="D956" s="191"/>
      <c r="E956" s="191"/>
      <c r="F956" s="191"/>
      <c r="G956" s="191"/>
      <c r="H956" s="191"/>
      <c r="I956" s="191"/>
      <c r="J956" s="191"/>
      <c r="K956" s="191"/>
      <c r="L956" s="191"/>
      <c r="M956" s="191"/>
      <c r="N956" s="191"/>
      <c r="O956" s="191"/>
      <c r="P956" s="191"/>
      <c r="Q956" s="191"/>
      <c r="R956" s="191"/>
      <c r="S956" s="191"/>
      <c r="T956" s="191"/>
      <c r="U956" s="191"/>
      <c r="V956" s="191"/>
    </row>
    <row r="957" ht="15.75" customHeight="1">
      <c r="A957" s="191"/>
      <c r="B957" s="191"/>
      <c r="C957" s="191"/>
      <c r="D957" s="191"/>
      <c r="E957" s="191"/>
      <c r="F957" s="191"/>
      <c r="G957" s="191"/>
      <c r="H957" s="191"/>
      <c r="I957" s="191"/>
      <c r="J957" s="191"/>
      <c r="K957" s="191"/>
      <c r="L957" s="191"/>
      <c r="M957" s="191"/>
      <c r="N957" s="191"/>
      <c r="O957" s="191"/>
      <c r="P957" s="191"/>
      <c r="Q957" s="191"/>
      <c r="R957" s="191"/>
      <c r="S957" s="191"/>
      <c r="T957" s="191"/>
      <c r="U957" s="191"/>
      <c r="V957" s="191"/>
    </row>
    <row r="958" ht="15.75" customHeight="1">
      <c r="A958" s="191"/>
      <c r="B958" s="191"/>
      <c r="C958" s="191"/>
      <c r="D958" s="191"/>
      <c r="E958" s="191"/>
      <c r="F958" s="191"/>
      <c r="G958" s="191"/>
      <c r="H958" s="191"/>
      <c r="I958" s="191"/>
      <c r="J958" s="191"/>
      <c r="K958" s="191"/>
      <c r="L958" s="191"/>
      <c r="M958" s="191"/>
      <c r="N958" s="191"/>
      <c r="O958" s="191"/>
      <c r="P958" s="191"/>
      <c r="Q958" s="191"/>
      <c r="R958" s="191"/>
      <c r="S958" s="191"/>
      <c r="T958" s="191"/>
      <c r="U958" s="191"/>
      <c r="V958" s="191"/>
    </row>
    <row r="959" ht="15.75" customHeight="1">
      <c r="A959" s="191"/>
      <c r="B959" s="191"/>
      <c r="C959" s="191"/>
      <c r="D959" s="191"/>
      <c r="E959" s="191"/>
      <c r="F959" s="191"/>
      <c r="G959" s="191"/>
      <c r="H959" s="191"/>
      <c r="I959" s="191"/>
      <c r="J959" s="191"/>
      <c r="K959" s="191"/>
      <c r="L959" s="191"/>
      <c r="M959" s="191"/>
      <c r="N959" s="191"/>
      <c r="O959" s="191"/>
      <c r="P959" s="191"/>
      <c r="Q959" s="191"/>
      <c r="R959" s="191"/>
      <c r="S959" s="191"/>
      <c r="T959" s="191"/>
      <c r="U959" s="191"/>
      <c r="V959" s="191"/>
    </row>
    <row r="960" ht="15.75" customHeight="1">
      <c r="A960" s="191"/>
      <c r="B960" s="191"/>
      <c r="C960" s="191"/>
      <c r="D960" s="191"/>
      <c r="E960" s="191"/>
      <c r="F960" s="191"/>
      <c r="G960" s="191"/>
      <c r="H960" s="191"/>
      <c r="I960" s="191"/>
      <c r="J960" s="191"/>
      <c r="K960" s="191"/>
      <c r="L960" s="191"/>
      <c r="M960" s="191"/>
      <c r="N960" s="191"/>
      <c r="O960" s="191"/>
      <c r="P960" s="191"/>
      <c r="Q960" s="191"/>
      <c r="R960" s="191"/>
      <c r="S960" s="191"/>
      <c r="T960" s="191"/>
      <c r="U960" s="191"/>
      <c r="V960" s="191"/>
    </row>
    <row r="961" ht="15.75" customHeight="1">
      <c r="A961" s="191"/>
      <c r="B961" s="191"/>
      <c r="C961" s="191"/>
      <c r="D961" s="191"/>
      <c r="E961" s="191"/>
      <c r="F961" s="191"/>
      <c r="G961" s="191"/>
      <c r="H961" s="191"/>
      <c r="I961" s="191"/>
      <c r="J961" s="191"/>
      <c r="K961" s="191"/>
      <c r="L961" s="191"/>
      <c r="M961" s="191"/>
      <c r="N961" s="191"/>
      <c r="O961" s="191"/>
      <c r="P961" s="191"/>
      <c r="Q961" s="191"/>
      <c r="R961" s="191"/>
      <c r="S961" s="191"/>
      <c r="T961" s="191"/>
      <c r="U961" s="191"/>
      <c r="V961" s="191"/>
    </row>
    <row r="962" ht="15.75" customHeight="1">
      <c r="A962" s="191"/>
      <c r="B962" s="191"/>
      <c r="C962" s="191"/>
      <c r="D962" s="191"/>
      <c r="E962" s="191"/>
      <c r="F962" s="191"/>
      <c r="G962" s="191"/>
      <c r="H962" s="191"/>
      <c r="I962" s="191"/>
      <c r="J962" s="191"/>
      <c r="K962" s="191"/>
      <c r="L962" s="191"/>
      <c r="M962" s="191"/>
      <c r="N962" s="191"/>
      <c r="O962" s="191"/>
      <c r="P962" s="191"/>
      <c r="Q962" s="191"/>
      <c r="R962" s="191"/>
      <c r="S962" s="191"/>
      <c r="T962" s="191"/>
      <c r="U962" s="191"/>
      <c r="V962" s="191"/>
    </row>
    <row r="963" ht="15.75" customHeight="1">
      <c r="A963" s="191"/>
      <c r="B963" s="191"/>
      <c r="C963" s="191"/>
      <c r="D963" s="191"/>
      <c r="E963" s="191"/>
      <c r="F963" s="191"/>
      <c r="G963" s="191"/>
      <c r="H963" s="191"/>
      <c r="I963" s="191"/>
      <c r="J963" s="191"/>
      <c r="K963" s="191"/>
      <c r="L963" s="191"/>
      <c r="M963" s="191"/>
      <c r="N963" s="191"/>
      <c r="O963" s="191"/>
      <c r="P963" s="191"/>
      <c r="Q963" s="191"/>
      <c r="R963" s="191"/>
      <c r="S963" s="191"/>
      <c r="T963" s="191"/>
      <c r="U963" s="191"/>
      <c r="V963" s="191"/>
    </row>
    <row r="964" ht="15.75" customHeight="1">
      <c r="A964" s="191"/>
      <c r="B964" s="191"/>
      <c r="C964" s="191"/>
      <c r="D964" s="191"/>
      <c r="E964" s="191"/>
      <c r="F964" s="191"/>
      <c r="G964" s="191"/>
      <c r="H964" s="191"/>
      <c r="I964" s="191"/>
      <c r="J964" s="191"/>
      <c r="K964" s="191"/>
      <c r="L964" s="191"/>
      <c r="M964" s="191"/>
      <c r="N964" s="191"/>
      <c r="O964" s="191"/>
      <c r="P964" s="191"/>
      <c r="Q964" s="191"/>
      <c r="R964" s="191"/>
      <c r="S964" s="191"/>
      <c r="T964" s="191"/>
      <c r="U964" s="191"/>
      <c r="V964" s="191"/>
    </row>
    <row r="965" ht="15.75" customHeight="1">
      <c r="A965" s="191"/>
      <c r="B965" s="191"/>
      <c r="C965" s="191"/>
      <c r="D965" s="191"/>
      <c r="E965" s="191"/>
      <c r="F965" s="191"/>
      <c r="G965" s="191"/>
      <c r="H965" s="191"/>
      <c r="I965" s="191"/>
      <c r="J965" s="191"/>
      <c r="K965" s="191"/>
      <c r="L965" s="191"/>
      <c r="M965" s="191"/>
      <c r="N965" s="191"/>
      <c r="O965" s="191"/>
      <c r="P965" s="191"/>
      <c r="Q965" s="191"/>
      <c r="R965" s="191"/>
      <c r="S965" s="191"/>
      <c r="T965" s="191"/>
      <c r="U965" s="191"/>
      <c r="V965" s="191"/>
    </row>
    <row r="966" ht="15.75" customHeight="1">
      <c r="A966" s="191"/>
      <c r="B966" s="191"/>
      <c r="C966" s="191"/>
      <c r="D966" s="191"/>
      <c r="E966" s="191"/>
      <c r="F966" s="191"/>
      <c r="G966" s="191"/>
      <c r="H966" s="191"/>
      <c r="I966" s="191"/>
      <c r="J966" s="191"/>
      <c r="K966" s="191"/>
      <c r="L966" s="191"/>
      <c r="M966" s="191"/>
      <c r="N966" s="191"/>
      <c r="O966" s="191"/>
      <c r="P966" s="191"/>
      <c r="Q966" s="191"/>
      <c r="R966" s="191"/>
      <c r="S966" s="191"/>
      <c r="T966" s="191"/>
      <c r="U966" s="191"/>
      <c r="V966" s="191"/>
    </row>
    <row r="967" ht="15.75" customHeight="1">
      <c r="A967" s="191"/>
      <c r="B967" s="191"/>
      <c r="C967" s="191"/>
      <c r="D967" s="191"/>
      <c r="E967" s="191"/>
      <c r="F967" s="191"/>
      <c r="G967" s="191"/>
      <c r="H967" s="191"/>
      <c r="I967" s="191"/>
      <c r="J967" s="191"/>
      <c r="K967" s="191"/>
      <c r="L967" s="191"/>
      <c r="M967" s="191"/>
      <c r="N967" s="191"/>
      <c r="O967" s="191"/>
      <c r="P967" s="191"/>
      <c r="Q967" s="191"/>
      <c r="R967" s="191"/>
      <c r="S967" s="191"/>
      <c r="T967" s="191"/>
      <c r="U967" s="191"/>
      <c r="V967" s="191"/>
    </row>
    <row r="968" ht="15.75" customHeight="1">
      <c r="A968" s="191"/>
      <c r="B968" s="191"/>
      <c r="C968" s="191"/>
      <c r="D968" s="191"/>
      <c r="E968" s="191"/>
      <c r="F968" s="191"/>
      <c r="G968" s="191"/>
      <c r="H968" s="191"/>
      <c r="I968" s="191"/>
      <c r="J968" s="191"/>
      <c r="K968" s="191"/>
      <c r="L968" s="191"/>
      <c r="M968" s="191"/>
      <c r="N968" s="191"/>
      <c r="O968" s="191"/>
      <c r="P968" s="191"/>
      <c r="Q968" s="191"/>
      <c r="R968" s="191"/>
      <c r="S968" s="191"/>
      <c r="T968" s="191"/>
      <c r="U968" s="191"/>
      <c r="V968" s="191"/>
    </row>
    <row r="969" ht="15.75" customHeight="1">
      <c r="A969" s="191"/>
      <c r="B969" s="191"/>
      <c r="C969" s="191"/>
      <c r="D969" s="191"/>
      <c r="E969" s="191"/>
      <c r="F969" s="191"/>
      <c r="G969" s="191"/>
      <c r="H969" s="191"/>
      <c r="I969" s="191"/>
      <c r="J969" s="191"/>
      <c r="K969" s="191"/>
      <c r="L969" s="191"/>
      <c r="M969" s="191"/>
      <c r="N969" s="191"/>
      <c r="O969" s="191"/>
      <c r="P969" s="191"/>
      <c r="Q969" s="191"/>
      <c r="R969" s="191"/>
      <c r="S969" s="191"/>
      <c r="T969" s="191"/>
      <c r="U969" s="191"/>
      <c r="V969" s="191"/>
    </row>
    <row r="970" ht="15.75" customHeight="1">
      <c r="A970" s="191"/>
      <c r="B970" s="191"/>
      <c r="C970" s="191"/>
      <c r="D970" s="191"/>
      <c r="E970" s="191"/>
      <c r="F970" s="191"/>
      <c r="G970" s="191"/>
      <c r="H970" s="191"/>
      <c r="I970" s="191"/>
      <c r="J970" s="191"/>
      <c r="K970" s="191"/>
      <c r="L970" s="191"/>
      <c r="M970" s="191"/>
      <c r="N970" s="191"/>
      <c r="O970" s="191"/>
      <c r="P970" s="191"/>
      <c r="Q970" s="191"/>
      <c r="R970" s="191"/>
      <c r="S970" s="191"/>
      <c r="T970" s="191"/>
      <c r="U970" s="191"/>
      <c r="V970" s="191"/>
    </row>
    <row r="971" ht="15.75" customHeight="1">
      <c r="A971" s="191"/>
      <c r="B971" s="191"/>
      <c r="C971" s="191"/>
      <c r="D971" s="191"/>
      <c r="E971" s="191"/>
      <c r="F971" s="191"/>
      <c r="G971" s="191"/>
      <c r="H971" s="191"/>
      <c r="I971" s="191"/>
      <c r="J971" s="191"/>
      <c r="K971" s="191"/>
      <c r="L971" s="191"/>
      <c r="M971" s="191"/>
      <c r="N971" s="191"/>
      <c r="O971" s="191"/>
      <c r="P971" s="191"/>
      <c r="Q971" s="191"/>
      <c r="R971" s="191"/>
      <c r="S971" s="191"/>
      <c r="T971" s="191"/>
      <c r="U971" s="191"/>
      <c r="V971" s="191"/>
    </row>
    <row r="972" ht="15.75" customHeight="1">
      <c r="A972" s="191"/>
      <c r="B972" s="191"/>
      <c r="C972" s="191"/>
      <c r="D972" s="191"/>
      <c r="E972" s="191"/>
      <c r="F972" s="191"/>
      <c r="G972" s="191"/>
      <c r="H972" s="191"/>
      <c r="I972" s="191"/>
      <c r="J972" s="191"/>
      <c r="K972" s="191"/>
      <c r="L972" s="191"/>
      <c r="M972" s="191"/>
      <c r="N972" s="191"/>
      <c r="O972" s="191"/>
      <c r="P972" s="191"/>
      <c r="Q972" s="191"/>
      <c r="R972" s="191"/>
      <c r="S972" s="191"/>
      <c r="T972" s="191"/>
      <c r="U972" s="191"/>
      <c r="V972" s="191"/>
    </row>
    <row r="973" ht="15.75" customHeight="1">
      <c r="A973" s="191"/>
      <c r="B973" s="191"/>
      <c r="C973" s="191"/>
      <c r="D973" s="191"/>
      <c r="E973" s="191"/>
      <c r="F973" s="191"/>
      <c r="G973" s="191"/>
      <c r="H973" s="191"/>
      <c r="I973" s="191"/>
      <c r="J973" s="191"/>
      <c r="K973" s="191"/>
      <c r="L973" s="191"/>
      <c r="M973" s="191"/>
      <c r="N973" s="191"/>
      <c r="O973" s="191"/>
      <c r="P973" s="191"/>
      <c r="Q973" s="191"/>
      <c r="R973" s="191"/>
      <c r="S973" s="191"/>
      <c r="T973" s="191"/>
      <c r="U973" s="191"/>
      <c r="V973" s="191"/>
    </row>
    <row r="974" ht="15.75" customHeight="1">
      <c r="A974" s="191"/>
      <c r="B974" s="191"/>
      <c r="C974" s="191"/>
      <c r="D974" s="191"/>
      <c r="E974" s="191"/>
      <c r="F974" s="191"/>
      <c r="G974" s="191"/>
      <c r="H974" s="191"/>
      <c r="I974" s="191"/>
      <c r="J974" s="191"/>
      <c r="K974" s="191"/>
      <c r="L974" s="191"/>
      <c r="M974" s="191"/>
      <c r="N974" s="191"/>
      <c r="O974" s="191"/>
      <c r="P974" s="191"/>
      <c r="Q974" s="191"/>
      <c r="R974" s="191"/>
      <c r="S974" s="191"/>
      <c r="T974" s="191"/>
      <c r="U974" s="191"/>
      <c r="V974" s="191"/>
    </row>
    <row r="975" ht="15.75" customHeight="1">
      <c r="A975" s="191"/>
      <c r="B975" s="191"/>
      <c r="C975" s="191"/>
      <c r="D975" s="191"/>
      <c r="E975" s="191"/>
      <c r="F975" s="191"/>
      <c r="G975" s="191"/>
      <c r="H975" s="191"/>
      <c r="I975" s="191"/>
      <c r="J975" s="191"/>
      <c r="K975" s="191"/>
      <c r="L975" s="191"/>
      <c r="M975" s="191"/>
      <c r="N975" s="191"/>
      <c r="O975" s="191"/>
      <c r="P975" s="191"/>
      <c r="Q975" s="191"/>
      <c r="R975" s="191"/>
      <c r="S975" s="191"/>
      <c r="T975" s="191"/>
      <c r="U975" s="191"/>
      <c r="V975" s="191"/>
    </row>
    <row r="976" ht="15.75" customHeight="1">
      <c r="A976" s="191"/>
      <c r="B976" s="191"/>
      <c r="C976" s="191"/>
      <c r="D976" s="191"/>
      <c r="E976" s="191"/>
      <c r="F976" s="191"/>
      <c r="G976" s="191"/>
      <c r="H976" s="191"/>
      <c r="I976" s="191"/>
      <c r="J976" s="191"/>
      <c r="K976" s="191"/>
      <c r="L976" s="191"/>
      <c r="M976" s="191"/>
      <c r="N976" s="191"/>
      <c r="O976" s="191"/>
      <c r="P976" s="191"/>
      <c r="Q976" s="191"/>
      <c r="R976" s="191"/>
      <c r="S976" s="191"/>
      <c r="T976" s="191"/>
      <c r="U976" s="191"/>
      <c r="V976" s="191"/>
    </row>
    <row r="977" ht="15.75" customHeight="1">
      <c r="A977" s="191"/>
      <c r="B977" s="191"/>
      <c r="C977" s="191"/>
      <c r="D977" s="191"/>
      <c r="E977" s="191"/>
      <c r="F977" s="191"/>
      <c r="G977" s="191"/>
      <c r="H977" s="191"/>
      <c r="I977" s="191"/>
      <c r="J977" s="191"/>
      <c r="K977" s="191"/>
      <c r="L977" s="191"/>
      <c r="M977" s="191"/>
      <c r="N977" s="191"/>
      <c r="O977" s="191"/>
      <c r="P977" s="191"/>
      <c r="Q977" s="191"/>
      <c r="R977" s="191"/>
      <c r="S977" s="191"/>
      <c r="T977" s="191"/>
      <c r="U977" s="191"/>
      <c r="V977" s="191"/>
    </row>
    <row r="978" ht="15.75" customHeight="1">
      <c r="A978" s="191"/>
      <c r="B978" s="191"/>
      <c r="C978" s="191"/>
      <c r="D978" s="191"/>
      <c r="E978" s="191"/>
      <c r="F978" s="191"/>
      <c r="G978" s="191"/>
      <c r="H978" s="191"/>
      <c r="I978" s="191"/>
      <c r="J978" s="191"/>
      <c r="K978" s="191"/>
      <c r="L978" s="191"/>
      <c r="M978" s="191"/>
      <c r="N978" s="191"/>
      <c r="O978" s="191"/>
      <c r="P978" s="191"/>
      <c r="Q978" s="191"/>
      <c r="R978" s="191"/>
      <c r="S978" s="191"/>
      <c r="T978" s="191"/>
      <c r="U978" s="191"/>
      <c r="V978" s="191"/>
    </row>
    <row r="979" ht="15.75" customHeight="1">
      <c r="A979" s="191"/>
      <c r="B979" s="191"/>
      <c r="C979" s="191"/>
      <c r="D979" s="191"/>
      <c r="E979" s="191"/>
      <c r="F979" s="191"/>
      <c r="G979" s="191"/>
      <c r="H979" s="191"/>
      <c r="I979" s="191"/>
      <c r="J979" s="191"/>
      <c r="K979" s="191"/>
      <c r="L979" s="191"/>
      <c r="M979" s="191"/>
      <c r="N979" s="191"/>
      <c r="O979" s="191"/>
      <c r="P979" s="191"/>
      <c r="Q979" s="191"/>
      <c r="R979" s="191"/>
      <c r="S979" s="191"/>
      <c r="T979" s="191"/>
      <c r="U979" s="191"/>
      <c r="V979" s="191"/>
    </row>
    <row r="980" ht="15.75" customHeight="1">
      <c r="A980" s="191"/>
      <c r="B980" s="191"/>
      <c r="C980" s="191"/>
      <c r="D980" s="191"/>
      <c r="E980" s="191"/>
      <c r="F980" s="191"/>
      <c r="G980" s="191"/>
      <c r="H980" s="191"/>
      <c r="I980" s="191"/>
      <c r="J980" s="191"/>
      <c r="K980" s="191"/>
      <c r="L980" s="191"/>
      <c r="M980" s="191"/>
      <c r="N980" s="191"/>
      <c r="O980" s="191"/>
      <c r="P980" s="191"/>
      <c r="Q980" s="191"/>
      <c r="R980" s="191"/>
      <c r="S980" s="191"/>
      <c r="T980" s="191"/>
      <c r="U980" s="191"/>
      <c r="V980" s="191"/>
    </row>
    <row r="981" ht="15.75" customHeight="1">
      <c r="A981" s="191"/>
      <c r="B981" s="191"/>
      <c r="C981" s="191"/>
      <c r="D981" s="191"/>
      <c r="E981" s="191"/>
      <c r="F981" s="191"/>
      <c r="G981" s="191"/>
      <c r="H981" s="191"/>
      <c r="I981" s="191"/>
      <c r="J981" s="191"/>
      <c r="K981" s="191"/>
      <c r="L981" s="191"/>
      <c r="M981" s="191"/>
      <c r="N981" s="191"/>
      <c r="O981" s="191"/>
      <c r="P981" s="191"/>
      <c r="Q981" s="191"/>
      <c r="R981" s="191"/>
      <c r="S981" s="191"/>
      <c r="T981" s="191"/>
      <c r="U981" s="191"/>
      <c r="V981" s="191"/>
    </row>
    <row r="982" ht="15.75" customHeight="1">
      <c r="A982" s="191"/>
      <c r="B982" s="191"/>
      <c r="C982" s="191"/>
      <c r="D982" s="191"/>
      <c r="E982" s="191"/>
      <c r="F982" s="191"/>
      <c r="G982" s="191"/>
      <c r="H982" s="191"/>
      <c r="I982" s="191"/>
      <c r="J982" s="191"/>
      <c r="K982" s="191"/>
      <c r="L982" s="191"/>
      <c r="M982" s="191"/>
      <c r="N982" s="191"/>
      <c r="O982" s="191"/>
      <c r="P982" s="191"/>
      <c r="Q982" s="191"/>
      <c r="R982" s="191"/>
      <c r="S982" s="191"/>
      <c r="T982" s="191"/>
      <c r="U982" s="191"/>
      <c r="V982" s="191"/>
    </row>
    <row r="983" ht="15.75" customHeight="1">
      <c r="A983" s="191"/>
      <c r="B983" s="191"/>
      <c r="C983" s="191"/>
      <c r="D983" s="191"/>
      <c r="E983" s="191"/>
      <c r="F983" s="191"/>
      <c r="G983" s="191"/>
      <c r="H983" s="191"/>
      <c r="I983" s="191"/>
      <c r="J983" s="191"/>
      <c r="K983" s="191"/>
      <c r="L983" s="191"/>
      <c r="M983" s="191"/>
      <c r="N983" s="191"/>
      <c r="O983" s="191"/>
      <c r="P983" s="191"/>
      <c r="Q983" s="191"/>
      <c r="R983" s="191"/>
      <c r="S983" s="191"/>
      <c r="T983" s="191"/>
      <c r="U983" s="191"/>
      <c r="V983" s="191"/>
    </row>
    <row r="984" ht="15.75" customHeight="1">
      <c r="A984" s="191"/>
      <c r="B984" s="191"/>
      <c r="C984" s="191"/>
      <c r="D984" s="191"/>
      <c r="E984" s="191"/>
      <c r="F984" s="191"/>
      <c r="G984" s="191"/>
      <c r="H984" s="191"/>
      <c r="I984" s="191"/>
      <c r="J984" s="191"/>
      <c r="K984" s="191"/>
      <c r="L984" s="191"/>
      <c r="M984" s="191"/>
      <c r="N984" s="191"/>
      <c r="O984" s="191"/>
      <c r="P984" s="191"/>
      <c r="Q984" s="191"/>
      <c r="R984" s="191"/>
      <c r="S984" s="191"/>
      <c r="T984" s="191"/>
      <c r="U984" s="191"/>
      <c r="V984" s="191"/>
    </row>
    <row r="985" ht="15.75" customHeight="1">
      <c r="A985" s="191"/>
      <c r="B985" s="191"/>
      <c r="C985" s="191"/>
      <c r="D985" s="191"/>
      <c r="E985" s="191"/>
      <c r="F985" s="191"/>
      <c r="G985" s="191"/>
      <c r="H985" s="191"/>
      <c r="I985" s="191"/>
      <c r="J985" s="191"/>
      <c r="K985" s="191"/>
      <c r="L985" s="191"/>
      <c r="M985" s="191"/>
      <c r="N985" s="191"/>
      <c r="O985" s="191"/>
      <c r="P985" s="191"/>
      <c r="Q985" s="191"/>
      <c r="R985" s="191"/>
      <c r="S985" s="191"/>
      <c r="T985" s="191"/>
      <c r="U985" s="191"/>
      <c r="V985" s="191"/>
    </row>
    <row r="986" ht="15.75" customHeight="1">
      <c r="A986" s="191"/>
      <c r="B986" s="191"/>
      <c r="C986" s="191"/>
      <c r="D986" s="191"/>
      <c r="E986" s="191"/>
      <c r="F986" s="191"/>
      <c r="G986" s="191"/>
      <c r="H986" s="191"/>
      <c r="I986" s="191"/>
      <c r="J986" s="191"/>
      <c r="K986" s="191"/>
      <c r="L986" s="191"/>
      <c r="M986" s="191"/>
      <c r="N986" s="191"/>
      <c r="O986" s="191"/>
      <c r="P986" s="191"/>
      <c r="Q986" s="191"/>
      <c r="R986" s="191"/>
      <c r="S986" s="191"/>
      <c r="T986" s="191"/>
      <c r="U986" s="191"/>
      <c r="V986" s="191"/>
    </row>
    <row r="987" ht="15.75" customHeight="1">
      <c r="A987" s="191"/>
      <c r="B987" s="191"/>
      <c r="C987" s="191"/>
      <c r="D987" s="191"/>
      <c r="E987" s="191"/>
      <c r="F987" s="191"/>
      <c r="G987" s="191"/>
      <c r="H987" s="191"/>
      <c r="I987" s="191"/>
      <c r="J987" s="191"/>
      <c r="K987" s="191"/>
      <c r="L987" s="191"/>
      <c r="M987" s="191"/>
      <c r="N987" s="191"/>
      <c r="O987" s="191"/>
      <c r="P987" s="191"/>
      <c r="Q987" s="191"/>
      <c r="R987" s="191"/>
      <c r="S987" s="191"/>
      <c r="T987" s="191"/>
      <c r="U987" s="191"/>
      <c r="V987" s="191"/>
    </row>
    <row r="988" ht="15.75" customHeight="1">
      <c r="A988" s="191"/>
      <c r="B988" s="191"/>
      <c r="C988" s="191"/>
      <c r="D988" s="191"/>
      <c r="E988" s="191"/>
      <c r="F988" s="191"/>
      <c r="G988" s="191"/>
      <c r="H988" s="191"/>
      <c r="I988" s="191"/>
      <c r="J988" s="191"/>
      <c r="K988" s="191"/>
      <c r="L988" s="191"/>
      <c r="M988" s="191"/>
      <c r="N988" s="191"/>
      <c r="O988" s="191"/>
      <c r="P988" s="191"/>
      <c r="Q988" s="191"/>
      <c r="R988" s="191"/>
      <c r="S988" s="191"/>
      <c r="T988" s="191"/>
      <c r="U988" s="191"/>
      <c r="V988" s="191"/>
    </row>
    <row r="989" ht="15.75" customHeight="1">
      <c r="A989" s="191"/>
      <c r="B989" s="191"/>
      <c r="C989" s="191"/>
      <c r="D989" s="191"/>
      <c r="E989" s="191"/>
      <c r="F989" s="191"/>
      <c r="G989" s="191"/>
      <c r="H989" s="191"/>
      <c r="I989" s="191"/>
      <c r="J989" s="191"/>
      <c r="K989" s="191"/>
      <c r="L989" s="191"/>
      <c r="M989" s="191"/>
      <c r="N989" s="191"/>
      <c r="O989" s="191"/>
      <c r="P989" s="191"/>
      <c r="Q989" s="191"/>
      <c r="R989" s="191"/>
      <c r="S989" s="191"/>
      <c r="T989" s="191"/>
      <c r="U989" s="191"/>
      <c r="V989" s="191"/>
    </row>
    <row r="990" ht="15.75" customHeight="1">
      <c r="A990" s="191"/>
      <c r="B990" s="191"/>
      <c r="C990" s="191"/>
      <c r="D990" s="191"/>
      <c r="E990" s="191"/>
      <c r="F990" s="191"/>
      <c r="G990" s="191"/>
      <c r="H990" s="191"/>
      <c r="I990" s="191"/>
      <c r="J990" s="191"/>
      <c r="K990" s="191"/>
      <c r="L990" s="191"/>
      <c r="M990" s="191"/>
      <c r="N990" s="191"/>
      <c r="O990" s="191"/>
      <c r="P990" s="191"/>
      <c r="Q990" s="191"/>
      <c r="R990" s="191"/>
      <c r="S990" s="191"/>
      <c r="T990" s="191"/>
      <c r="U990" s="191"/>
      <c r="V990" s="191"/>
    </row>
    <row r="991" ht="15.75" customHeight="1">
      <c r="A991" s="191"/>
      <c r="B991" s="191"/>
      <c r="C991" s="191"/>
      <c r="D991" s="191"/>
      <c r="E991" s="191"/>
      <c r="F991" s="191"/>
      <c r="G991" s="191"/>
      <c r="H991" s="191"/>
      <c r="I991" s="191"/>
      <c r="J991" s="191"/>
      <c r="K991" s="191"/>
      <c r="L991" s="191"/>
      <c r="M991" s="191"/>
      <c r="N991" s="191"/>
      <c r="O991" s="191"/>
      <c r="P991" s="191"/>
      <c r="Q991" s="191"/>
      <c r="R991" s="191"/>
      <c r="S991" s="191"/>
      <c r="T991" s="191"/>
      <c r="U991" s="191"/>
      <c r="V991" s="191"/>
    </row>
    <row r="992" ht="15.75" customHeight="1">
      <c r="A992" s="191"/>
      <c r="B992" s="191"/>
      <c r="C992" s="191"/>
      <c r="D992" s="191"/>
      <c r="E992" s="191"/>
      <c r="F992" s="191"/>
      <c r="G992" s="191"/>
      <c r="H992" s="191"/>
      <c r="I992" s="191"/>
      <c r="J992" s="191"/>
      <c r="K992" s="191"/>
      <c r="L992" s="191"/>
      <c r="M992" s="191"/>
      <c r="N992" s="191"/>
      <c r="O992" s="191"/>
      <c r="P992" s="191"/>
      <c r="Q992" s="191"/>
      <c r="R992" s="191"/>
      <c r="S992" s="191"/>
      <c r="T992" s="191"/>
      <c r="U992" s="191"/>
      <c r="V992" s="191"/>
    </row>
    <row r="993" ht="15.75" customHeight="1">
      <c r="A993" s="191"/>
      <c r="B993" s="191"/>
      <c r="C993" s="191"/>
      <c r="D993" s="191"/>
      <c r="E993" s="191"/>
      <c r="F993" s="191"/>
      <c r="G993" s="191"/>
      <c r="H993" s="191"/>
      <c r="I993" s="191"/>
      <c r="J993" s="191"/>
      <c r="K993" s="191"/>
      <c r="L993" s="191"/>
      <c r="M993" s="191"/>
      <c r="N993" s="191"/>
      <c r="O993" s="191"/>
      <c r="P993" s="191"/>
      <c r="Q993" s="191"/>
      <c r="R993" s="191"/>
      <c r="S993" s="191"/>
      <c r="T993" s="191"/>
      <c r="U993" s="191"/>
      <c r="V993" s="191"/>
    </row>
    <row r="994" ht="15.75" customHeight="1">
      <c r="A994" s="191"/>
      <c r="B994" s="191"/>
      <c r="C994" s="191"/>
      <c r="D994" s="191"/>
      <c r="E994" s="191"/>
      <c r="F994" s="191"/>
      <c r="G994" s="191"/>
      <c r="H994" s="191"/>
      <c r="I994" s="191"/>
      <c r="J994" s="191"/>
      <c r="K994" s="191"/>
      <c r="L994" s="191"/>
      <c r="M994" s="191"/>
      <c r="N994" s="191"/>
      <c r="O994" s="191"/>
      <c r="P994" s="191"/>
      <c r="Q994" s="191"/>
      <c r="R994" s="191"/>
      <c r="S994" s="191"/>
      <c r="T994" s="191"/>
      <c r="U994" s="191"/>
      <c r="V994" s="191"/>
    </row>
    <row r="995" ht="15.75" customHeight="1">
      <c r="A995" s="191"/>
      <c r="B995" s="191"/>
      <c r="C995" s="191"/>
      <c r="D995" s="191"/>
      <c r="E995" s="191"/>
      <c r="F995" s="191"/>
      <c r="G995" s="191"/>
      <c r="H995" s="191"/>
      <c r="I995" s="191"/>
      <c r="J995" s="191"/>
      <c r="K995" s="191"/>
      <c r="L995" s="191"/>
      <c r="M995" s="191"/>
      <c r="N995" s="191"/>
      <c r="O995" s="191"/>
      <c r="P995" s="191"/>
      <c r="Q995" s="191"/>
      <c r="R995" s="191"/>
      <c r="S995" s="191"/>
      <c r="T995" s="191"/>
      <c r="U995" s="191"/>
      <c r="V995" s="191"/>
    </row>
    <row r="996" ht="15.75" customHeight="1">
      <c r="A996" s="191"/>
      <c r="B996" s="191"/>
      <c r="C996" s="191"/>
      <c r="D996" s="191"/>
      <c r="E996" s="191"/>
      <c r="F996" s="191"/>
      <c r="G996" s="191"/>
      <c r="H996" s="191"/>
      <c r="I996" s="191"/>
      <c r="J996" s="191"/>
      <c r="K996" s="191"/>
      <c r="L996" s="191"/>
      <c r="M996" s="191"/>
      <c r="N996" s="191"/>
      <c r="O996" s="191"/>
      <c r="P996" s="191"/>
      <c r="Q996" s="191"/>
      <c r="R996" s="191"/>
      <c r="S996" s="191"/>
      <c r="T996" s="191"/>
      <c r="U996" s="191"/>
      <c r="V996" s="191"/>
    </row>
    <row r="997" ht="15.75" customHeight="1">
      <c r="A997" s="191"/>
      <c r="B997" s="191"/>
      <c r="C997" s="191"/>
      <c r="D997" s="191"/>
      <c r="E997" s="191"/>
      <c r="F997" s="191"/>
      <c r="G997" s="191"/>
      <c r="H997" s="191"/>
      <c r="I997" s="191"/>
      <c r="J997" s="191"/>
      <c r="K997" s="191"/>
      <c r="L997" s="191"/>
      <c r="M997" s="191"/>
      <c r="N997" s="191"/>
      <c r="O997" s="191"/>
      <c r="P997" s="191"/>
      <c r="Q997" s="191"/>
      <c r="R997" s="191"/>
      <c r="S997" s="191"/>
      <c r="T997" s="191"/>
      <c r="U997" s="191"/>
      <c r="V997" s="191"/>
    </row>
    <row r="998" ht="15.75" customHeight="1">
      <c r="A998" s="191"/>
      <c r="B998" s="191"/>
      <c r="C998" s="191"/>
      <c r="D998" s="191"/>
      <c r="E998" s="191"/>
      <c r="F998" s="191"/>
      <c r="G998" s="191"/>
      <c r="H998" s="191"/>
      <c r="I998" s="191"/>
      <c r="J998" s="191"/>
      <c r="K998" s="191"/>
      <c r="L998" s="191"/>
      <c r="M998" s="191"/>
      <c r="N998" s="191"/>
      <c r="O998" s="191"/>
      <c r="P998" s="191"/>
      <c r="Q998" s="191"/>
      <c r="R998" s="191"/>
      <c r="S998" s="191"/>
      <c r="T998" s="191"/>
      <c r="U998" s="191"/>
      <c r="V998" s="191"/>
    </row>
    <row r="999" ht="15.75" customHeight="1">
      <c r="A999" s="191"/>
      <c r="B999" s="191"/>
      <c r="C999" s="191"/>
      <c r="D999" s="191"/>
      <c r="E999" s="191"/>
      <c r="F999" s="191"/>
      <c r="G999" s="191"/>
      <c r="H999" s="191"/>
      <c r="I999" s="191"/>
      <c r="J999" s="191"/>
      <c r="K999" s="191"/>
      <c r="L999" s="191"/>
      <c r="M999" s="191"/>
      <c r="N999" s="191"/>
      <c r="O999" s="191"/>
      <c r="P999" s="191"/>
      <c r="Q999" s="191"/>
      <c r="R999" s="191"/>
      <c r="S999" s="191"/>
      <c r="T999" s="191"/>
      <c r="U999" s="191"/>
      <c r="V999" s="191"/>
    </row>
    <row r="1000" ht="15.75" customHeight="1">
      <c r="A1000" s="191"/>
      <c r="B1000" s="191"/>
      <c r="C1000" s="191"/>
      <c r="D1000" s="191"/>
      <c r="E1000" s="191"/>
      <c r="F1000" s="191"/>
      <c r="G1000" s="191"/>
      <c r="H1000" s="191"/>
      <c r="I1000" s="191"/>
      <c r="J1000" s="191"/>
      <c r="K1000" s="191"/>
      <c r="L1000" s="191"/>
      <c r="M1000" s="191"/>
      <c r="N1000" s="191"/>
      <c r="O1000" s="191"/>
      <c r="P1000" s="191"/>
      <c r="Q1000" s="191"/>
      <c r="R1000" s="191"/>
      <c r="S1000" s="191"/>
      <c r="T1000" s="191"/>
      <c r="U1000" s="191"/>
      <c r="V1000" s="191"/>
    </row>
  </sheetData>
  <conditionalFormatting sqref="B16:V22">
    <cfRule type="cellIs" dxfId="1" priority="1" stopIfTrue="1" operator="greaterThan">
      <formula>0</formula>
    </cfRule>
  </conditionalFormatting>
  <conditionalFormatting sqref="B26:V28">
    <cfRule type="cellIs" dxfId="1" priority="2" stopIfTrue="1" operator="greaterThan">
      <formula>0</formula>
    </cfRule>
  </conditionalFormatting>
  <conditionalFormatting sqref="A16:V22">
    <cfRule type="expression" dxfId="2" priority="3">
      <formula>ISEVEN(ROW()-ROW($A$16)+1)</formula>
    </cfRule>
  </conditionalFormatting>
  <conditionalFormatting sqref="A26:V28">
    <cfRule type="expression" dxfId="2" priority="4">
      <formula>ISEVEN(ROW()-ROW($A$26)+1)</formula>
    </cfRule>
  </conditionalFormatting>
  <conditionalFormatting sqref="A1:D1000">
    <cfRule type="expression" dxfId="3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44" width="9.0"/>
  </cols>
  <sheetData>
    <row r="1" ht="21.75" customHeight="1">
      <c r="A1" s="200" t="s">
        <v>49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AH1" s="130" t="s">
        <v>133</v>
      </c>
    </row>
    <row r="2" ht="19.5" customHeight="1">
      <c r="A2" s="192" t="s">
        <v>88</v>
      </c>
      <c r="B2" s="192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AH2" s="131" t="s">
        <v>134</v>
      </c>
      <c r="AI2" s="132" t="s">
        <v>135</v>
      </c>
    </row>
    <row r="3">
      <c r="A3" s="125" t="s">
        <v>126</v>
      </c>
      <c r="B3" s="133">
        <v>4.0</v>
      </c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AH3" s="131" t="s">
        <v>136</v>
      </c>
      <c r="AI3" s="147" t="s">
        <v>137</v>
      </c>
    </row>
    <row r="4">
      <c r="A4" s="193"/>
      <c r="B4" s="195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</row>
    <row r="5">
      <c r="A5" s="193"/>
      <c r="B5" s="195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AH5" s="134" t="s">
        <v>138</v>
      </c>
      <c r="AI5" s="134" t="s">
        <v>139</v>
      </c>
      <c r="AJ5" s="134" t="s">
        <v>140</v>
      </c>
      <c r="AK5" s="134" t="s">
        <v>141</v>
      </c>
      <c r="AL5" s="134" t="s">
        <v>142</v>
      </c>
      <c r="AM5" s="134" t="s">
        <v>143</v>
      </c>
      <c r="AN5" s="134" t="s">
        <v>144</v>
      </c>
      <c r="AO5" s="134" t="s">
        <v>145</v>
      </c>
      <c r="AP5" s="134" t="s">
        <v>146</v>
      </c>
      <c r="AQ5" s="134" t="s">
        <v>147</v>
      </c>
      <c r="AR5" s="134" t="s">
        <v>148</v>
      </c>
    </row>
    <row r="6">
      <c r="A6" s="193"/>
      <c r="B6" s="195"/>
      <c r="C6" s="191"/>
      <c r="D6" s="191"/>
      <c r="E6" s="191"/>
      <c r="F6" s="191"/>
      <c r="G6" s="191"/>
      <c r="H6" s="191"/>
      <c r="I6" s="191"/>
      <c r="J6" s="191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AH6" s="135">
        <f>IF(1&lt;=$B$3,1,"")</f>
        <v>1</v>
      </c>
      <c r="AI6" s="136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4</v>
      </c>
      <c r="AJ6" s="137" t="str">
        <f t="array" ref="AJ6">IF($AH6="","",IF(AI6=0,"{}",LET(m,AI6,s,MMULT(SEQUENCE(1,m,1,0),N($E$16:$Y$45)),"{"&amp;TEXTJOIN(", ",TRUE,IF(s&gt;0,$E$15:$Y$15&amp;": "&amp;ROUND(s,2),""))&amp;"}")))</f>
        <v>{Coins: 10, Red: 1, Chuck: 1, Unlimited Lives: 15}</v>
      </c>
      <c r="AK6" s="136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8</v>
      </c>
      <c r="AL6" s="137" t="str">
        <f t="array" ref="AL6">IF($AH6="","",IF(AK6=0,"{}",LET(m,AK6,s,MMULT(SEQUENCE(1,m,1,0),N($E$16:$Y$45)),"{"&amp;TEXTJOIN(", ",TRUE,IF(s&gt;0,$E$15:$Y$15&amp;": "&amp;ROUND(s,2),""))&amp;"}")))</f>
        <v>{Coins: 10, Red: 2, Chuck: 3, Bomb: 1, Slingshot: 1, Unlimited Lives: 15}</v>
      </c>
      <c r="AM6" s="136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10</v>
      </c>
      <c r="AN6" s="137" t="str">
        <f t="array" ref="AN6">IF($AH6="","",IF(AM6=0,"{}",LET(m,AM6,s,MMULT(SEQUENCE(1,m,1,0),N($E$16:$Y$45)),"{"&amp;TEXTJOIN(", ",TRUE,IF(s&gt;0,$E$15:$Y$15&amp;": "&amp;ROUND(s,2),""))&amp;"}")))</f>
        <v>{Coins: 30, Red: 2, Chuck: 3, Bomb: 1, Slingshot: 2, Unlimited Lives: 45}</v>
      </c>
      <c r="AO6" s="136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137" t="str">
        <f t="array" ref="AP6">IF($AH6="","",IF(AO6=0,"{}",LET(m,AO6,s,MMULT(SEQUENCE(1,m,1,0),N($E$16:$Y$45)),"{"&amp;TEXTJOIN(", ",TRUE,IF(s&gt;0,$E$15:$Y$15&amp;": "&amp;ROUND(s,2),""))&amp;"}")))</f>
        <v>{Coins: 65, Red: 2, Chuck: 3, Bomb: 1, Slingshot: 3, Shuffle: 1, Unlimited Lives: 45, Unlimited Red: 10}</v>
      </c>
      <c r="AQ6" s="136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16</v>
      </c>
      <c r="AR6" s="137" t="str">
        <f t="array" ref="AR6">IF($AH6="","",IF(AQ6=0,"{}",LET(m,AQ6,s,MMULT(SEQUENCE(1,m,1,0),N($E$16:$Y$45)),"{"&amp;TEXTJOIN(", ",TRUE,IF(s&gt;0,$E$15:$Y$15&amp;": "&amp;ROUND(s,2),""))&amp;"}")))</f>
        <v>{Coins: 65, Red: 4, Chuck: 4, Bomb: 2, Slingshot: 3, Shuffle: 1, Comet: 1, Unlimited Lives: 45, Unlimited Red: 10}</v>
      </c>
    </row>
    <row r="7">
      <c r="A7" s="193"/>
      <c r="B7" s="195"/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AH7" s="135">
        <f>IF(2&lt;=$B$3,2,"")</f>
        <v>2</v>
      </c>
      <c r="AI7" s="136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6</v>
      </c>
      <c r="AJ7" s="137" t="str">
        <f t="array" ref="AJ7">IF($AH7="","",IF(AI7=0,"{}",LET(m,AI7,s,MMULT(SEQUENCE(1,m,1,0),N($E$16:$Y$45)),"{"&amp;TEXTJOIN(", ",TRUE,IF(s&gt;0,$E$15:$Y$15&amp;": "&amp;ROUND(s,2),""))&amp;"}")))</f>
        <v>{Coins: 10, Red: 1, Chuck: 2, Bomb: 1, Slingshot: 1, Unlimited Lives: 15}</v>
      </c>
      <c r="AK7" s="136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11</v>
      </c>
      <c r="AL7" s="137" t="str">
        <f t="array" ref="AL7">IF($AH7="","",IF(AK7=0,"{}",LET(m,AK7,s,MMULT(SEQUENCE(1,m,1,0),N($E$16:$Y$45)),"{"&amp;TEXTJOIN(", ",TRUE,IF(s&gt;0,$E$15:$Y$15&amp;": "&amp;ROUND(s,2),""))&amp;"}")))</f>
        <v>{Coins: 30, Red: 2, Chuck: 3, Bomb: 1, Slingshot: 3, Unlimited Lives: 45}</v>
      </c>
      <c r="AM7" s="136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13</v>
      </c>
      <c r="AN7" s="137" t="str">
        <f t="array" ref="AN7">IF($AH7="","",IF(AM7=0,"{}",LET(m,AM7,s,MMULT(SEQUENCE(1,m,1,0),N($E$16:$Y$45)),"{"&amp;TEXTJOIN(", ",TRUE,IF(s&gt;0,$E$15:$Y$15&amp;": "&amp;ROUND(s,2),""))&amp;"}")))</f>
        <v>{Coins: 65, Red: 2, Chuck: 3, Bomb: 1, Slingshot: 3, Shuffle: 1, Unlimited Lives: 45, Unlimited Red: 10}</v>
      </c>
      <c r="AO7" s="136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17</v>
      </c>
      <c r="AP7" s="137" t="str">
        <f t="array" ref="AP7">IF($AH7="","",IF(AO7=0,"{}",LET(m,AO7,s,MMULT(SEQUENCE(1,m,1,0),N($E$16:$Y$45)),"{"&amp;TEXTJOIN(", ",TRUE,IF(s&gt;0,$E$15:$Y$15&amp;": "&amp;ROUND(s,2),""))&amp;"}")))</f>
        <v>{Coins: 65, Red: 4, Chuck: 4, Bomb: 2, Slingshot: 5, Shuffle: 1, Comet: 1, Unlimited Lives: 45, Unlimited Red: 10}</v>
      </c>
      <c r="AQ7" s="136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20</v>
      </c>
      <c r="AR7" s="137" t="str">
        <f t="array" ref="AR7">IF($AH7="","",IF(AQ7=0,"{}",LET(m,AQ7,s,MMULT(SEQUENCE(1,m,1,0),N($E$16:$Y$45)),"{"&amp;TEXTJOIN(", ",TRUE,IF(s&gt;0,$E$15:$Y$15&amp;": "&amp;ROUND(s,2),""))&amp;"}")))</f>
        <v>{Coins: 115, Red: 6, Chuck: 4, Bomb: 2, Slingshot: 5, Shuffle: 3, Comet: 1, Unlimited Lives: 105, Unlimited Red: 10}</v>
      </c>
    </row>
    <row r="8">
      <c r="A8" s="193"/>
      <c r="B8" s="195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AH8" s="135">
        <f>IF(3&lt;=$B$3,3,"")</f>
        <v>3</v>
      </c>
      <c r="AI8" s="136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8</v>
      </c>
      <c r="AJ8" s="137" t="str">
        <f t="array" ref="AJ8">IF($AH8="","",IF(AI8=0,"{}",LET(m,AI8,s,MMULT(SEQUENCE(1,m,1,0),N($E$16:$Y$45)),"{"&amp;TEXTJOIN(", ",TRUE,IF(s&gt;0,$E$15:$Y$15&amp;": "&amp;ROUND(s,2),""))&amp;"}")))</f>
        <v>{Coins: 10, Red: 2, Chuck: 3, Bomb: 1, Slingshot: 1, Unlimited Lives: 15}</v>
      </c>
      <c r="AK8" s="136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137" t="str">
        <f t="array" ref="AL8">IF($AH8="","",IF(AK8=0,"{}",LET(m,AK8,s,MMULT(SEQUENCE(1,m,1,0),N($E$16:$Y$45)),"{"&amp;TEXTJOIN(", ",TRUE,IF(s&gt;0,$E$15:$Y$15&amp;": "&amp;ROUND(s,2),""))&amp;"}")))</f>
        <v>{Coins: 30, Red: 2, Chuck: 3, Bomb: 1, Slingshot: 3, Unlimited Lives: 45}</v>
      </c>
      <c r="AM8" s="136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137" t="str">
        <f t="array" ref="AN8">IF($AH8="","",IF(AM8=0,"{}",LET(m,AM8,s,MMULT(SEQUENCE(1,m,1,0),N($E$16:$Y$45)),"{"&amp;TEXTJOIN(", ",TRUE,IF(s&gt;0,$E$15:$Y$15&amp;": "&amp;ROUND(s,2),""))&amp;"}")))</f>
        <v>{Coins: 65, Red: 4, Chuck: 3, Bomb: 1, Slingshot: 3, Shuffle: 1, Unlimited Lives: 45, Unlimited Red: 10}</v>
      </c>
      <c r="AO8" s="136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19</v>
      </c>
      <c r="AP8" s="137" t="str">
        <f t="array" ref="AP8">IF($AH8="","",IF(AO8=0,"{}",LET(m,AO8,s,MMULT(SEQUENCE(1,m,1,0),N($E$16:$Y$45)),"{"&amp;TEXTJOIN(", ",TRUE,IF(s&gt;0,$E$15:$Y$15&amp;": "&amp;ROUND(s,2),""))&amp;"}")))</f>
        <v>{Coins: 115, Red: 4, Chuck: 4, Bomb: 2, Slingshot: 5, Shuffle: 3, Comet: 1, Unlimited Lives: 105, Unlimited Red: 10}</v>
      </c>
      <c r="AQ8" s="136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23</v>
      </c>
      <c r="AR8" s="137" t="str">
        <f t="array" ref="AR8">IF($AH8="","",IF(AQ8=0,"{}",LET(m,AQ8,s,MMULT(SEQUENCE(1,m,1,0),N($E$16:$Y$45)),"{"&amp;TEXTJOIN(", ",TRUE,IF(s&gt;0,$E$15:$Y$15&amp;": "&amp;ROUND(s,2),""))&amp;"}")))</f>
        <v>{Coins: 115, Red: 6, Chuck: 6, Bomb: 2, Slingshot: 7, Shuffle: 3, Comet: 3, Unlimited Lives: 105, Unlimited Red: 10, Unlimited Chuck: 10}</v>
      </c>
    </row>
    <row r="9">
      <c r="A9" s="193"/>
      <c r="B9" s="195"/>
      <c r="C9" s="191"/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AH9" s="135">
        <f>IF(4&lt;=$B$3,4,"")</f>
        <v>4</v>
      </c>
      <c r="AI9" s="136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8</v>
      </c>
      <c r="AJ9" s="137" t="str">
        <f t="array" ref="AJ9">IF($AH9="","",IF(AI9=0,"{}",LET(m,AI9,s,MMULT(SEQUENCE(1,m,1,0),N($E$16:$Y$45)),"{"&amp;TEXTJOIN(", ",TRUE,IF(s&gt;0,$E$15:$Y$15&amp;": "&amp;ROUND(s,2),""))&amp;"}")))</f>
        <v>{Coins: 10, Red: 2, Chuck: 3, Bomb: 1, Slingshot: 1, Unlimited Lives: 15}</v>
      </c>
      <c r="AK9" s="136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13</v>
      </c>
      <c r="AL9" s="137" t="str">
        <f t="array" ref="AL9">IF($AH9="","",IF(AK9=0,"{}",LET(m,AK9,s,MMULT(SEQUENCE(1,m,1,0),N($E$16:$Y$45)),"{"&amp;TEXTJOIN(", ",TRUE,IF(s&gt;0,$E$15:$Y$15&amp;": "&amp;ROUND(s,2),""))&amp;"}")))</f>
        <v>{Coins: 65, Red: 2, Chuck: 3, Bomb: 1, Slingshot: 3, Shuffle: 1, Unlimited Lives: 45, Unlimited Red: 10}</v>
      </c>
      <c r="AM9" s="136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16</v>
      </c>
      <c r="AN9" s="137" t="str">
        <f t="array" ref="AN9">IF($AH9="","",IF(AM9=0,"{}",LET(m,AM9,s,MMULT(SEQUENCE(1,m,1,0),N($E$16:$Y$45)),"{"&amp;TEXTJOIN(", ",TRUE,IF(s&gt;0,$E$15:$Y$15&amp;": "&amp;ROUND(s,2),""))&amp;"}")))</f>
        <v>{Coins: 65, Red: 4, Chuck: 4, Bomb: 2, Slingshot: 3, Shuffle: 1, Comet: 1, Unlimited Lives: 45, Unlimited Red: 10}</v>
      </c>
      <c r="AO9" s="136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137" t="str">
        <f t="array" ref="AP9">IF($AH9="","",IF(AO9=0,"{}",LET(m,AO9,s,MMULT(SEQUENCE(1,m,1,0),N($E$16:$Y$45)),"{"&amp;TEXTJOIN(", ",TRUE,IF(s&gt;0,$E$15:$Y$15&amp;": "&amp;ROUND(s,2),""))&amp;"}")))</f>
        <v>{Coins: 115, Red: 6, Chuck: 4, Bomb: 2, Slingshot: 5, Shuffle: 3, Comet: 1, Unlimited Lives: 105, Unlimited Red: 10}</v>
      </c>
      <c r="AQ9" s="136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25</v>
      </c>
      <c r="AR9" s="137" t="str">
        <f t="array" ref="AR9">IF($AH9="","",IF(AQ9=0,"{}",LET(m,AQ9,s,MMULT(SEQUENCE(1,m,1,0),N($E$16:$Y$45)),"{"&amp;TEXTJOIN(", ",TRUE,IF(s&gt;0,$E$15:$Y$15&amp;": "&amp;ROUND(s,2),""))&amp;"}")))</f>
        <v>{Coins: 215, Red: 6, Chuck: 6, Bomb: 2, Slingshot: 9, Shuffle: 5, Comet: 5, Unlimited Lives: 165, Unlimited Red: 10, Unlimited Chuck: 10}</v>
      </c>
    </row>
    <row r="10">
      <c r="A10" s="193"/>
      <c r="B10" s="195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AH10" s="135" t="str">
        <f>IF(5&lt;=$B$3,5,"")</f>
        <v/>
      </c>
      <c r="AI10" s="136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137" t="str">
        <f t="array" ref="AJ10">IF($AH10="","",IF(AI10=0,"{}",LET(m,AI10,s,MMULT(SEQUENCE(1,m,1,0),$E$16:$Y$45),"{"&amp;TEXTJOIN(", ",TRUE,IF(s&gt;0,$E$15:$Y$15&amp;": "&amp;ROUND(s,2),""))&amp;"}")))</f>
        <v/>
      </c>
      <c r="AK10" s="136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137" t="str">
        <f t="array" ref="AL10">IF($AH10="","",IF(AK10=0,"{}",LET(m,AK10,s,MMULT(SEQUENCE(1,m,1,0),$E$16:$Y$45),"{"&amp;TEXTJOIN(", ",TRUE,IF(s&gt;0,$E$15:$Y$15&amp;": "&amp;ROUND(s,2),""))&amp;"}")))</f>
        <v/>
      </c>
      <c r="AM10" s="136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137" t="str">
        <f t="array" ref="AN10">IF($AH10="","",IF(AM10=0,"{}",LET(m,AM10,s,MMULT(SEQUENCE(1,m,1,0),$E$16:$Y$45),"{"&amp;TEXTJOIN(", ",TRUE,IF(s&gt;0,$E$15:$Y$15&amp;": "&amp;ROUND(s,2),""))&amp;"}")))</f>
        <v/>
      </c>
      <c r="AO10" s="136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137" t="str">
        <f t="array" ref="AP10">IF($AH10="","",IF(AO10=0,"{}",LET(m,AO10,s,MMULT(SEQUENCE(1,m,1,0),$E$16:$Y$45),"{"&amp;TEXTJOIN(", ",TRUE,IF(s&gt;0,$E$15:$Y$15&amp;": "&amp;ROUND(s,2),""))&amp;"}")))</f>
        <v/>
      </c>
      <c r="AQ10" s="136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137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193"/>
      <c r="B11" s="195"/>
      <c r="C11" s="191"/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AH11" s="135" t="str">
        <f>IF(6&lt;=$B$3,6,"")</f>
        <v/>
      </c>
      <c r="AI11" s="136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137" t="str">
        <f t="array" ref="AJ11">IF($AH11="","",IF(AI11=0,"{}",LET(m,AI11,s,MMULT(SEQUENCE(1,m,1,0),$E$16:$Y$45),"{"&amp;TEXTJOIN(", ",TRUE,IF(s&gt;0,$E$15:$Y$15&amp;": "&amp;ROUND(s,2),""))&amp;"}")))</f>
        <v/>
      </c>
      <c r="AK11" s="136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137" t="str">
        <f t="array" ref="AL11">IF($AH11="","",IF(AK11=0,"{}",LET(m,AK11,s,MMULT(SEQUENCE(1,m,1,0),$E$16:$Y$45),"{"&amp;TEXTJOIN(", ",TRUE,IF(s&gt;0,$E$15:$Y$15&amp;": "&amp;ROUND(s,2),""))&amp;"}")))</f>
        <v/>
      </c>
      <c r="AM11" s="136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137" t="str">
        <f t="array" ref="AN11">IF($AH11="","",IF(AM11=0,"{}",LET(m,AM11,s,MMULT(SEQUENCE(1,m,1,0),$E$16:$Y$45),"{"&amp;TEXTJOIN(", ",TRUE,IF(s&gt;0,$E$15:$Y$15&amp;": "&amp;ROUND(s,2),""))&amp;"}")))</f>
        <v/>
      </c>
      <c r="AO11" s="136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137" t="str">
        <f t="array" ref="AP11">IF($AH11="","",IF(AO11=0,"{}",LET(m,AO11,s,MMULT(SEQUENCE(1,m,1,0),$E$16:$Y$45),"{"&amp;TEXTJOIN(", ",TRUE,IF(s&gt;0,$E$15:$Y$15&amp;": "&amp;ROUND(s,2),""))&amp;"}")))</f>
        <v/>
      </c>
      <c r="AQ11" s="136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137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193"/>
      <c r="B12" s="195"/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AH12" s="135" t="str">
        <f>IF(7&lt;=$B$3,7,"")</f>
        <v/>
      </c>
      <c r="AI12" s="136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137" t="str">
        <f t="array" ref="AJ12">IF($AH12="","",IF(AI12=0,"{}",LET(m,AI12,s,MMULT(SEQUENCE(1,m,1,0),$E$16:$Y$45),"{"&amp;TEXTJOIN(", ",TRUE,IF(s&gt;0,$E$15:$Y$15&amp;": "&amp;ROUND(s,2),""))&amp;"}")))</f>
        <v/>
      </c>
      <c r="AK12" s="136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137" t="str">
        <f t="array" ref="AL12">IF($AH12="","",IF(AK12=0,"{}",LET(m,AK12,s,MMULT(SEQUENCE(1,m,1,0),$E$16:$Y$45),"{"&amp;TEXTJOIN(", ",TRUE,IF(s&gt;0,$E$15:$Y$15&amp;": "&amp;ROUND(s,2),""))&amp;"}")))</f>
        <v/>
      </c>
      <c r="AM12" s="136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137" t="str">
        <f t="array" ref="AN12">IF($AH12="","",IF(AM12=0,"{}",LET(m,AM12,s,MMULT(SEQUENCE(1,m,1,0),$E$16:$Y$45),"{"&amp;TEXTJOIN(", ",TRUE,IF(s&gt;0,$E$15:$Y$15&amp;": "&amp;ROUND(s,2),""))&amp;"}")))</f>
        <v/>
      </c>
      <c r="AO12" s="136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137" t="str">
        <f t="array" ref="AP12">IF($AH12="","",IF(AO12=0,"{}",LET(m,AO12,s,MMULT(SEQUENCE(1,m,1,0),$E$16:$Y$45),"{"&amp;TEXTJOIN(", ",TRUE,IF(s&gt;0,$E$15:$Y$15&amp;": "&amp;ROUND(s,2),""))&amp;"}")))</f>
        <v/>
      </c>
      <c r="AQ12" s="136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137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191"/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</row>
    <row r="14" ht="19.5" customHeight="1">
      <c r="A14" s="201" t="s">
        <v>313</v>
      </c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</row>
    <row r="15" ht="75.0" customHeight="1">
      <c r="A15" s="196" t="s">
        <v>131</v>
      </c>
      <c r="B15" s="97" t="s">
        <v>314</v>
      </c>
      <c r="C15" s="97" t="s">
        <v>315</v>
      </c>
      <c r="D15" s="97" t="s">
        <v>316</v>
      </c>
      <c r="E15" s="197" t="s">
        <v>19</v>
      </c>
      <c r="F15" s="154" t="s">
        <v>5</v>
      </c>
      <c r="G15" s="154" t="s">
        <v>77</v>
      </c>
      <c r="H15" s="154" t="s">
        <v>6</v>
      </c>
      <c r="I15" s="154" t="s">
        <v>7</v>
      </c>
      <c r="J15" s="154" t="s">
        <v>8</v>
      </c>
      <c r="K15" s="154" t="s">
        <v>9</v>
      </c>
      <c r="L15" s="154" t="s">
        <v>10</v>
      </c>
      <c r="M15" s="154" t="s">
        <v>11</v>
      </c>
      <c r="N15" s="154" t="s">
        <v>12</v>
      </c>
      <c r="O15" s="154" t="s">
        <v>13</v>
      </c>
      <c r="P15" s="154" t="s">
        <v>14</v>
      </c>
      <c r="Q15" s="154" t="s">
        <v>15</v>
      </c>
      <c r="R15" s="154" t="s">
        <v>92</v>
      </c>
      <c r="S15" s="154" t="s">
        <v>78</v>
      </c>
      <c r="T15" s="154" t="s">
        <v>79</v>
      </c>
      <c r="U15" s="154" t="s">
        <v>80</v>
      </c>
      <c r="V15" s="154" t="s">
        <v>81</v>
      </c>
      <c r="W15" s="154" t="s">
        <v>82</v>
      </c>
      <c r="X15" s="154" t="s">
        <v>83</v>
      </c>
      <c r="Y15" s="154" t="s">
        <v>84</v>
      </c>
    </row>
    <row r="16" ht="15.75" customHeight="1">
      <c r="A16" s="184">
        <v>1.0</v>
      </c>
      <c r="B16" s="184">
        <v>160.0</v>
      </c>
      <c r="C16" s="184">
        <v>160.0</v>
      </c>
      <c r="D16" s="184" t="b">
        <v>0</v>
      </c>
      <c r="E16" s="199"/>
      <c r="F16" s="152"/>
      <c r="G16" s="152"/>
      <c r="H16" s="152">
        <v>1.0</v>
      </c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</row>
    <row r="17" ht="15.75" customHeight="1">
      <c r="A17" s="184">
        <v>2.0</v>
      </c>
      <c r="B17" s="184">
        <v>300.0</v>
      </c>
      <c r="C17" s="184">
        <v>460.0</v>
      </c>
      <c r="D17" s="184" t="b">
        <v>0</v>
      </c>
      <c r="E17" s="199">
        <v>10.0</v>
      </c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</row>
    <row r="18" ht="15.75" customHeight="1">
      <c r="A18" s="184">
        <v>3.0</v>
      </c>
      <c r="B18" s="184">
        <v>1000.0</v>
      </c>
      <c r="C18" s="184">
        <v>1460.0</v>
      </c>
      <c r="D18" s="184" t="b">
        <v>0</v>
      </c>
      <c r="E18" s="199"/>
      <c r="F18" s="152"/>
      <c r="G18" s="152"/>
      <c r="H18" s="152"/>
      <c r="I18" s="152">
        <v>1.0</v>
      </c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</row>
    <row r="19" ht="15.75" customHeight="1">
      <c r="A19" s="184">
        <v>4.0</v>
      </c>
      <c r="B19" s="184">
        <v>250.0</v>
      </c>
      <c r="C19" s="184">
        <v>1710.0</v>
      </c>
      <c r="D19" s="184" t="b">
        <v>0</v>
      </c>
      <c r="E19" s="199"/>
      <c r="F19" s="152"/>
      <c r="G19" s="152"/>
      <c r="H19" s="152"/>
      <c r="I19" s="152"/>
      <c r="J19" s="152"/>
      <c r="K19" s="152"/>
      <c r="L19" s="152"/>
      <c r="M19" s="152"/>
      <c r="N19" s="152">
        <v>15.0</v>
      </c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</row>
    <row r="20" ht="15.75" customHeight="1">
      <c r="A20" s="184">
        <v>5.0</v>
      </c>
      <c r="B20" s="184">
        <v>500.0</v>
      </c>
      <c r="C20" s="184">
        <v>2210.0</v>
      </c>
      <c r="D20" s="184" t="b">
        <v>0</v>
      </c>
      <c r="E20" s="199"/>
      <c r="F20" s="152"/>
      <c r="G20" s="152"/>
      <c r="H20" s="152"/>
      <c r="I20" s="152"/>
      <c r="J20" s="152">
        <v>1.0</v>
      </c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</row>
    <row r="21" ht="15.75" customHeight="1">
      <c r="A21" s="184">
        <v>6.0</v>
      </c>
      <c r="B21" s="184">
        <v>1600.0</v>
      </c>
      <c r="C21" s="184">
        <v>3810.0</v>
      </c>
      <c r="D21" s="184" t="b">
        <v>1</v>
      </c>
      <c r="E21" s="199"/>
      <c r="F21" s="152"/>
      <c r="G21" s="152"/>
      <c r="H21" s="152"/>
      <c r="I21" s="152">
        <v>1.0</v>
      </c>
      <c r="J21" s="152"/>
      <c r="K21" s="152">
        <v>1.0</v>
      </c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</row>
    <row r="22" ht="15.75" customHeight="1">
      <c r="A22" s="184">
        <v>7.0</v>
      </c>
      <c r="B22" s="184">
        <v>500.0</v>
      </c>
      <c r="C22" s="184">
        <v>4310.0</v>
      </c>
      <c r="D22" s="184" t="b">
        <v>0</v>
      </c>
      <c r="E22" s="199"/>
      <c r="F22" s="152"/>
      <c r="G22" s="152"/>
      <c r="H22" s="152">
        <v>1.0</v>
      </c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</row>
    <row r="23" ht="15.75" customHeight="1">
      <c r="A23" s="184">
        <v>8.0</v>
      </c>
      <c r="B23" s="184">
        <v>1000.0</v>
      </c>
      <c r="C23" s="184">
        <v>5310.0</v>
      </c>
      <c r="D23" s="184" t="b">
        <v>0</v>
      </c>
      <c r="E23" s="199"/>
      <c r="F23" s="152"/>
      <c r="G23" s="152"/>
      <c r="H23" s="152"/>
      <c r="I23" s="152">
        <v>1.0</v>
      </c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</row>
    <row r="24" ht="15.75" customHeight="1">
      <c r="A24" s="184">
        <v>9.0</v>
      </c>
      <c r="B24" s="184">
        <v>3300.0</v>
      </c>
      <c r="C24" s="184">
        <v>8610.0</v>
      </c>
      <c r="D24" s="184" t="b">
        <v>1</v>
      </c>
      <c r="E24" s="199">
        <v>20.0</v>
      </c>
      <c r="F24" s="152"/>
      <c r="G24" s="152"/>
      <c r="H24" s="152"/>
      <c r="I24" s="152"/>
      <c r="J24" s="152"/>
      <c r="K24" s="152">
        <v>1.0</v>
      </c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</row>
    <row r="25" ht="15.75" customHeight="1">
      <c r="A25" s="184">
        <v>10.0</v>
      </c>
      <c r="B25" s="184">
        <v>1100.0</v>
      </c>
      <c r="C25" s="184">
        <v>9710.0</v>
      </c>
      <c r="D25" s="184" t="b">
        <v>0</v>
      </c>
      <c r="E25" s="199"/>
      <c r="F25" s="152"/>
      <c r="G25" s="152"/>
      <c r="H25" s="152"/>
      <c r="I25" s="152"/>
      <c r="J25" s="152"/>
      <c r="K25" s="152"/>
      <c r="L25" s="152"/>
      <c r="M25" s="152"/>
      <c r="N25" s="152">
        <v>30.0</v>
      </c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</row>
    <row r="26" ht="15.75" customHeight="1">
      <c r="A26" s="184">
        <v>11.0</v>
      </c>
      <c r="B26" s="184">
        <v>2200.0</v>
      </c>
      <c r="C26" s="184">
        <v>11910.0</v>
      </c>
      <c r="D26" s="184" t="b">
        <v>0</v>
      </c>
      <c r="E26" s="199"/>
      <c r="F26" s="152"/>
      <c r="G26" s="152"/>
      <c r="H26" s="152"/>
      <c r="I26" s="152"/>
      <c r="J26" s="152"/>
      <c r="K26" s="152">
        <v>1.0</v>
      </c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</row>
    <row r="27" ht="15.75" customHeight="1">
      <c r="A27" s="184">
        <v>12.0</v>
      </c>
      <c r="B27" s="184">
        <v>6500.0</v>
      </c>
      <c r="C27" s="184">
        <v>18410.0</v>
      </c>
      <c r="D27" s="184" t="b">
        <v>1</v>
      </c>
      <c r="E27" s="199">
        <v>35.0</v>
      </c>
      <c r="F27" s="152"/>
      <c r="G27" s="152"/>
      <c r="H27" s="152"/>
      <c r="I27" s="152"/>
      <c r="J27" s="152"/>
      <c r="K27" s="152"/>
      <c r="L27" s="152">
        <v>1.0</v>
      </c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</row>
    <row r="28" ht="15.75" customHeight="1">
      <c r="A28" s="184">
        <v>13.0</v>
      </c>
      <c r="B28" s="184">
        <v>2200.0</v>
      </c>
      <c r="C28" s="184">
        <v>20610.0</v>
      </c>
      <c r="D28" s="184" t="b">
        <v>0</v>
      </c>
      <c r="E28" s="199"/>
      <c r="F28" s="152"/>
      <c r="G28" s="152"/>
      <c r="H28" s="152"/>
      <c r="I28" s="152"/>
      <c r="J28" s="152"/>
      <c r="K28" s="152"/>
      <c r="L28" s="152"/>
      <c r="M28" s="152"/>
      <c r="N28" s="152"/>
      <c r="O28" s="152">
        <v>10.0</v>
      </c>
      <c r="P28" s="152"/>
      <c r="Q28" s="152"/>
      <c r="R28" s="152"/>
      <c r="S28" s="152"/>
      <c r="T28" s="152"/>
      <c r="U28" s="152"/>
      <c r="V28" s="152"/>
      <c r="W28" s="152"/>
      <c r="X28" s="152"/>
      <c r="Y28" s="152"/>
    </row>
    <row r="29" ht="15.75" customHeight="1">
      <c r="A29" s="184">
        <v>14.0</v>
      </c>
      <c r="B29" s="184">
        <v>4400.0</v>
      </c>
      <c r="C29" s="184">
        <v>25010.0</v>
      </c>
      <c r="D29" s="184" t="b">
        <v>0</v>
      </c>
      <c r="E29" s="199"/>
      <c r="F29" s="152"/>
      <c r="G29" s="152"/>
      <c r="H29" s="152">
        <v>2.0</v>
      </c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</row>
    <row r="30" ht="15.75" customHeight="1">
      <c r="A30" s="184">
        <v>15.0</v>
      </c>
      <c r="B30" s="184">
        <v>13250.0</v>
      </c>
      <c r="C30" s="184">
        <v>38260.0</v>
      </c>
      <c r="D30" s="184" t="b">
        <v>1</v>
      </c>
      <c r="E30" s="199"/>
      <c r="F30" s="152"/>
      <c r="G30" s="152"/>
      <c r="H30" s="152"/>
      <c r="I30" s="152">
        <v>1.0</v>
      </c>
      <c r="J30" s="152"/>
      <c r="K30" s="152"/>
      <c r="L30" s="152"/>
      <c r="M30" s="152">
        <v>1.0</v>
      </c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</row>
    <row r="31" ht="15.75" customHeight="1">
      <c r="A31" s="184">
        <v>16.0</v>
      </c>
      <c r="B31" s="184">
        <v>3300.0</v>
      </c>
      <c r="C31" s="184">
        <v>41560.0</v>
      </c>
      <c r="D31" s="184" t="b">
        <v>0</v>
      </c>
      <c r="E31" s="199"/>
      <c r="F31" s="152"/>
      <c r="G31" s="152"/>
      <c r="H31" s="152"/>
      <c r="I31" s="152"/>
      <c r="J31" s="152">
        <v>1.0</v>
      </c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</row>
    <row r="32" ht="15.75" customHeight="1">
      <c r="A32" s="184">
        <v>17.0</v>
      </c>
      <c r="B32" s="184">
        <v>6500.0</v>
      </c>
      <c r="C32" s="184">
        <v>48060.0</v>
      </c>
      <c r="D32" s="184" t="b">
        <v>0</v>
      </c>
      <c r="E32" s="199"/>
      <c r="F32" s="152"/>
      <c r="G32" s="152"/>
      <c r="H32" s="152"/>
      <c r="I32" s="152"/>
      <c r="J32" s="152"/>
      <c r="K32" s="152">
        <v>2.0</v>
      </c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</row>
    <row r="33" ht="15.75" customHeight="1">
      <c r="A33" s="184">
        <v>18.0</v>
      </c>
      <c r="B33" s="184">
        <v>19750.0</v>
      </c>
      <c r="C33" s="184">
        <v>67810.0</v>
      </c>
      <c r="D33" s="184" t="b">
        <v>1</v>
      </c>
      <c r="E33" s="199">
        <v>50.0</v>
      </c>
      <c r="F33" s="152"/>
      <c r="G33" s="152"/>
      <c r="H33" s="152"/>
      <c r="I33" s="152"/>
      <c r="J33" s="152"/>
      <c r="K33" s="152"/>
      <c r="L33" s="152">
        <v>2.0</v>
      </c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</row>
    <row r="34" ht="15.75" customHeight="1">
      <c r="A34" s="184">
        <v>19.0</v>
      </c>
      <c r="B34" s="184">
        <v>4200.0</v>
      </c>
      <c r="C34" s="184">
        <v>72010.0</v>
      </c>
      <c r="D34" s="184" t="b">
        <v>0</v>
      </c>
      <c r="E34" s="199"/>
      <c r="F34" s="152"/>
      <c r="G34" s="152"/>
      <c r="H34" s="152"/>
      <c r="I34" s="152"/>
      <c r="J34" s="152"/>
      <c r="K34" s="152"/>
      <c r="L34" s="152"/>
      <c r="M34" s="152"/>
      <c r="N34" s="152">
        <v>60.0</v>
      </c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</row>
    <row r="35" ht="15.75" customHeight="1">
      <c r="A35" s="184">
        <v>20.0</v>
      </c>
      <c r="B35" s="184">
        <v>8250.0</v>
      </c>
      <c r="C35" s="184">
        <v>80260.0</v>
      </c>
      <c r="D35" s="184" t="b">
        <v>0</v>
      </c>
      <c r="E35" s="199"/>
      <c r="F35" s="152"/>
      <c r="G35" s="152"/>
      <c r="H35" s="152">
        <v>2.0</v>
      </c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</row>
    <row r="36" ht="15.75" customHeight="1">
      <c r="A36" s="184">
        <v>21.0</v>
      </c>
      <c r="B36" s="184">
        <v>22000.0</v>
      </c>
      <c r="C36" s="184">
        <v>102260.0</v>
      </c>
      <c r="D36" s="184" t="b">
        <v>1</v>
      </c>
      <c r="E36" s="199"/>
      <c r="F36" s="152"/>
      <c r="G36" s="152"/>
      <c r="H36" s="152"/>
      <c r="I36" s="152"/>
      <c r="J36" s="152"/>
      <c r="K36" s="152">
        <v>2.0</v>
      </c>
      <c r="L36" s="152"/>
      <c r="M36" s="152">
        <v>2.0</v>
      </c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</row>
    <row r="37" ht="15.75" customHeight="1">
      <c r="A37" s="184">
        <v>22.0</v>
      </c>
      <c r="B37" s="184">
        <v>6000.0</v>
      </c>
      <c r="C37" s="184">
        <v>108260.0</v>
      </c>
      <c r="D37" s="184" t="b">
        <v>0</v>
      </c>
      <c r="E37" s="199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>
        <v>10.0</v>
      </c>
      <c r="Q37" s="152"/>
      <c r="R37" s="152"/>
      <c r="S37" s="152"/>
      <c r="T37" s="152"/>
      <c r="U37" s="152"/>
      <c r="V37" s="152"/>
      <c r="W37" s="152"/>
      <c r="X37" s="152"/>
      <c r="Y37" s="152"/>
    </row>
    <row r="38" ht="15.75" customHeight="1">
      <c r="A38" s="184">
        <v>23.0</v>
      </c>
      <c r="B38" s="184">
        <v>10500.0</v>
      </c>
      <c r="C38" s="184">
        <v>118760.0</v>
      </c>
      <c r="D38" s="184" t="b">
        <v>0</v>
      </c>
      <c r="E38" s="199"/>
      <c r="F38" s="152"/>
      <c r="G38" s="152"/>
      <c r="H38" s="152"/>
      <c r="I38" s="152">
        <v>2.0</v>
      </c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</row>
    <row r="39" ht="15.75" customHeight="1">
      <c r="A39" s="184">
        <v>24.0</v>
      </c>
      <c r="B39" s="184">
        <v>33000.0</v>
      </c>
      <c r="C39" s="184">
        <v>151760.0</v>
      </c>
      <c r="D39" s="184" t="b">
        <v>1</v>
      </c>
      <c r="E39" s="199">
        <v>100.0</v>
      </c>
      <c r="F39" s="152"/>
      <c r="G39" s="152"/>
      <c r="H39" s="152"/>
      <c r="I39" s="152"/>
      <c r="J39" s="152"/>
      <c r="K39" s="152">
        <v>2.0</v>
      </c>
      <c r="L39" s="152">
        <v>2.0</v>
      </c>
      <c r="M39" s="152">
        <v>2.0</v>
      </c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</row>
    <row r="40" ht="15.75" customHeight="1">
      <c r="A40" s="184">
        <v>25.0</v>
      </c>
      <c r="B40" s="184">
        <v>8750.0</v>
      </c>
      <c r="C40" s="184">
        <v>160510.0</v>
      </c>
      <c r="D40" s="184" t="b">
        <v>0</v>
      </c>
      <c r="E40" s="199"/>
      <c r="F40" s="152"/>
      <c r="G40" s="152"/>
      <c r="H40" s="152"/>
      <c r="I40" s="152"/>
      <c r="J40" s="152"/>
      <c r="K40" s="152"/>
      <c r="L40" s="152"/>
      <c r="M40" s="152"/>
      <c r="N40" s="152">
        <v>60.0</v>
      </c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</row>
    <row r="41" ht="15.75" customHeight="1">
      <c r="A41" s="184">
        <v>26.0</v>
      </c>
      <c r="B41" s="184">
        <v>14250.0</v>
      </c>
      <c r="C41" s="184">
        <v>174760.0</v>
      </c>
      <c r="D41" s="184" t="b">
        <v>0</v>
      </c>
      <c r="E41" s="199"/>
      <c r="F41" s="152"/>
      <c r="G41" s="152"/>
      <c r="H41" s="152"/>
      <c r="I41" s="152"/>
      <c r="J41" s="152">
        <v>2.0</v>
      </c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</row>
    <row r="42" ht="15.75" customHeight="1">
      <c r="A42" s="184">
        <v>27.0</v>
      </c>
      <c r="B42" s="184">
        <v>44000.0</v>
      </c>
      <c r="C42" s="184">
        <v>218760.0</v>
      </c>
      <c r="D42" s="184" t="b">
        <v>1</v>
      </c>
      <c r="E42" s="199">
        <v>250.0</v>
      </c>
      <c r="F42" s="152"/>
      <c r="G42" s="152"/>
      <c r="H42" s="152"/>
      <c r="I42" s="152"/>
      <c r="J42" s="152"/>
      <c r="K42" s="152">
        <v>3.0</v>
      </c>
      <c r="L42" s="152">
        <v>3.0</v>
      </c>
      <c r="M42" s="152">
        <v>3.0</v>
      </c>
      <c r="N42" s="152"/>
      <c r="O42" s="152"/>
      <c r="P42" s="152"/>
      <c r="Q42" s="152">
        <v>20.0</v>
      </c>
      <c r="R42" s="152"/>
      <c r="S42" s="152"/>
      <c r="T42" s="152"/>
      <c r="U42" s="152"/>
      <c r="V42" s="152"/>
      <c r="W42" s="152"/>
      <c r="X42" s="152"/>
      <c r="Y42" s="152"/>
    </row>
    <row r="43" ht="15.75" customHeight="1">
      <c r="A43" s="184">
        <v>28.0</v>
      </c>
      <c r="B43" s="184">
        <v>16500.0</v>
      </c>
      <c r="C43" s="184">
        <v>235260.0</v>
      </c>
      <c r="D43" s="184" t="b">
        <v>0</v>
      </c>
      <c r="E43" s="199"/>
      <c r="F43" s="152"/>
      <c r="G43" s="152"/>
      <c r="H43" s="152"/>
      <c r="I43" s="152"/>
      <c r="J43" s="152"/>
      <c r="K43" s="152"/>
      <c r="L43" s="152"/>
      <c r="M43" s="152"/>
      <c r="N43" s="152">
        <v>60.0</v>
      </c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</row>
    <row r="44" ht="15.75" customHeight="1">
      <c r="A44" s="184">
        <v>29.0</v>
      </c>
      <c r="B44" s="184">
        <v>34000.0</v>
      </c>
      <c r="C44" s="184">
        <v>269260.0</v>
      </c>
      <c r="D44" s="184" t="b">
        <v>0</v>
      </c>
      <c r="E44" s="199"/>
      <c r="F44" s="152"/>
      <c r="G44" s="152"/>
      <c r="H44" s="152"/>
      <c r="I44" s="152"/>
      <c r="J44" s="152">
        <v>3.0</v>
      </c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</row>
    <row r="45" ht="15.75" customHeight="1">
      <c r="A45" s="184">
        <v>30.0</v>
      </c>
      <c r="B45" s="184">
        <v>83000.0</v>
      </c>
      <c r="C45" s="184">
        <v>352260.0</v>
      </c>
      <c r="D45" s="184" t="b">
        <v>1</v>
      </c>
      <c r="E45" s="199">
        <v>1000.0</v>
      </c>
      <c r="F45" s="152"/>
      <c r="G45" s="152"/>
      <c r="H45" s="152"/>
      <c r="I45" s="152"/>
      <c r="J45" s="152"/>
      <c r="K45" s="152">
        <v>4.0</v>
      </c>
      <c r="L45" s="152">
        <v>4.0</v>
      </c>
      <c r="M45" s="152">
        <v>4.0</v>
      </c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</row>
    <row r="46" ht="15.75" customHeight="1">
      <c r="A46" s="191"/>
      <c r="B46" s="191"/>
      <c r="C46" s="191"/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</row>
    <row r="47" ht="15.75" customHeight="1">
      <c r="A47" s="191"/>
      <c r="B47" s="191"/>
      <c r="C47" s="191"/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</row>
    <row r="48" ht="15.75" customHeight="1">
      <c r="A48" s="191"/>
      <c r="B48" s="191"/>
      <c r="C48" s="191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</row>
    <row r="49" ht="15.75" customHeight="1">
      <c r="A49" s="191"/>
      <c r="B49" s="191"/>
      <c r="C49" s="191"/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</row>
    <row r="50" ht="15.75" customHeight="1">
      <c r="A50" s="191"/>
      <c r="B50" s="191"/>
      <c r="C50" s="191"/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</row>
  </sheetData>
  <conditionalFormatting sqref="E16:Y16">
    <cfRule type="expression" dxfId="2" priority="1">
      <formula>ISEVEN(ROW()-ROW($A$16)+1)</formula>
    </cfRule>
  </conditionalFormatting>
  <conditionalFormatting sqref="A16:D45">
    <cfRule type="expression" dxfId="2" priority="2">
      <formula>ISEVEN(ROW()-10+1)</formula>
    </cfRule>
  </conditionalFormatting>
  <conditionalFormatting sqref="E16:Y45">
    <cfRule type="cellIs" dxfId="1" priority="3" stopIfTrue="1" operator="greaterThan">
      <formula>0</formula>
    </cfRule>
  </conditionalFormatting>
  <conditionalFormatting sqref="E16:Y45">
    <cfRule type="expression" dxfId="2" priority="4">
      <formula>ISEVEN(ROW()-ROW(#REF!)+1)</formula>
    </cfRule>
  </conditionalFormatting>
  <conditionalFormatting sqref="A1:B2 C1:D15 A4:B15 E14:G45 H14:Y14 A22:D50">
    <cfRule type="expression" dxfId="3" priority="5">
      <formula>ISFORMULA(A1)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2">
      <c r="B2" s="202"/>
      <c r="C2" s="202"/>
      <c r="D2" s="203" t="s">
        <v>317</v>
      </c>
      <c r="E2" s="204"/>
      <c r="F2" s="205"/>
      <c r="G2" s="202"/>
      <c r="H2" s="202"/>
      <c r="I2" s="202"/>
      <c r="J2" s="202"/>
      <c r="K2" s="203" t="s">
        <v>317</v>
      </c>
      <c r="L2" s="204"/>
      <c r="M2" s="205"/>
      <c r="N2" s="202"/>
      <c r="O2" s="202"/>
      <c r="P2" s="202"/>
      <c r="Q2" s="202"/>
      <c r="R2" s="203" t="s">
        <v>317</v>
      </c>
      <c r="S2" s="204"/>
      <c r="T2" s="205"/>
      <c r="U2" s="202"/>
      <c r="V2" s="202"/>
      <c r="W2" s="202"/>
      <c r="X2" s="202"/>
      <c r="Y2" s="203" t="s">
        <v>317</v>
      </c>
      <c r="Z2" s="204"/>
      <c r="AA2" s="205"/>
      <c r="AB2" s="202"/>
      <c r="AC2" s="202"/>
      <c r="AD2" s="202"/>
      <c r="AE2" s="202"/>
      <c r="AF2" s="203" t="s">
        <v>317</v>
      </c>
      <c r="AG2" s="204"/>
      <c r="AH2" s="205"/>
    </row>
    <row r="3">
      <c r="B3" s="206" t="s">
        <v>318</v>
      </c>
      <c r="C3" s="206" t="s">
        <v>319</v>
      </c>
      <c r="D3" s="206" t="s">
        <v>320</v>
      </c>
      <c r="E3" s="206" t="s">
        <v>321</v>
      </c>
      <c r="F3" s="206" t="s">
        <v>322</v>
      </c>
      <c r="G3" s="206" t="s">
        <v>323</v>
      </c>
      <c r="H3" s="206" t="s">
        <v>324</v>
      </c>
      <c r="I3" s="206" t="s">
        <v>318</v>
      </c>
      <c r="J3" s="206" t="s">
        <v>319</v>
      </c>
      <c r="K3" s="206" t="s">
        <v>320</v>
      </c>
      <c r="L3" s="206" t="s">
        <v>321</v>
      </c>
      <c r="M3" s="206" t="s">
        <v>322</v>
      </c>
      <c r="N3" s="206" t="s">
        <v>323</v>
      </c>
      <c r="O3" s="206" t="s">
        <v>324</v>
      </c>
      <c r="P3" s="206" t="s">
        <v>318</v>
      </c>
      <c r="Q3" s="206" t="s">
        <v>319</v>
      </c>
      <c r="R3" s="206" t="s">
        <v>320</v>
      </c>
      <c r="S3" s="206" t="s">
        <v>321</v>
      </c>
      <c r="T3" s="206" t="s">
        <v>322</v>
      </c>
      <c r="U3" s="206" t="s">
        <v>323</v>
      </c>
      <c r="V3" s="206" t="s">
        <v>324</v>
      </c>
      <c r="W3" s="206" t="s">
        <v>318</v>
      </c>
      <c r="X3" s="206" t="s">
        <v>319</v>
      </c>
      <c r="Y3" s="206" t="s">
        <v>320</v>
      </c>
      <c r="Z3" s="206" t="s">
        <v>321</v>
      </c>
      <c r="AA3" s="206" t="s">
        <v>322</v>
      </c>
      <c r="AB3" s="206" t="s">
        <v>323</v>
      </c>
      <c r="AC3" s="206" t="s">
        <v>324</v>
      </c>
      <c r="AD3" s="206" t="s">
        <v>318</v>
      </c>
      <c r="AE3" s="206" t="s">
        <v>325</v>
      </c>
      <c r="AF3" s="206" t="s">
        <v>320</v>
      </c>
      <c r="AG3" s="206" t="s">
        <v>321</v>
      </c>
      <c r="AH3" s="206" t="s">
        <v>322</v>
      </c>
    </row>
    <row r="4">
      <c r="B4" s="207">
        <v>1.0</v>
      </c>
      <c r="C4" s="207">
        <v>2.0</v>
      </c>
      <c r="D4" s="207">
        <v>3.0</v>
      </c>
      <c r="E4" s="207">
        <v>4.0</v>
      </c>
      <c r="F4" s="207">
        <v>5.0</v>
      </c>
      <c r="G4" s="207">
        <v>6.0</v>
      </c>
      <c r="H4" s="207">
        <v>7.0</v>
      </c>
      <c r="I4" s="207">
        <v>8.0</v>
      </c>
      <c r="J4" s="207">
        <v>9.0</v>
      </c>
      <c r="K4" s="207">
        <v>10.0</v>
      </c>
      <c r="L4" s="207">
        <v>11.0</v>
      </c>
      <c r="M4" s="207">
        <v>12.0</v>
      </c>
      <c r="N4" s="207">
        <v>13.0</v>
      </c>
      <c r="O4" s="207">
        <v>14.0</v>
      </c>
      <c r="P4" s="207">
        <v>15.0</v>
      </c>
      <c r="Q4" s="207">
        <v>16.0</v>
      </c>
      <c r="R4" s="207">
        <v>17.0</v>
      </c>
      <c r="S4" s="207">
        <v>18.0</v>
      </c>
      <c r="T4" s="207">
        <v>19.0</v>
      </c>
      <c r="U4" s="207">
        <v>20.0</v>
      </c>
      <c r="V4" s="207">
        <v>21.0</v>
      </c>
      <c r="W4" s="207">
        <v>22.0</v>
      </c>
      <c r="X4" s="207">
        <v>23.0</v>
      </c>
      <c r="Y4" s="207">
        <v>24.0</v>
      </c>
      <c r="Z4" s="207">
        <v>25.0</v>
      </c>
      <c r="AA4" s="207">
        <v>26.0</v>
      </c>
      <c r="AB4" s="207">
        <v>27.0</v>
      </c>
      <c r="AC4" s="207">
        <v>28.0</v>
      </c>
      <c r="AD4" s="207">
        <v>29.0</v>
      </c>
      <c r="AE4" s="207">
        <v>30.0</v>
      </c>
      <c r="AF4" s="207">
        <v>1.0</v>
      </c>
      <c r="AG4" s="207">
        <v>2.0</v>
      </c>
      <c r="AH4" s="207">
        <v>3.0</v>
      </c>
    </row>
    <row r="5">
      <c r="B5" s="208" t="s">
        <v>34</v>
      </c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5"/>
      <c r="AF5" s="208" t="s">
        <v>34</v>
      </c>
      <c r="AG5" s="204"/>
      <c r="AH5" s="205"/>
    </row>
    <row r="6">
      <c r="B6" s="202"/>
      <c r="C6" s="202"/>
      <c r="D6" s="208" t="s">
        <v>37</v>
      </c>
      <c r="E6" s="204"/>
      <c r="F6" s="205"/>
      <c r="G6" s="202"/>
      <c r="H6" s="202"/>
      <c r="I6" s="202"/>
      <c r="J6" s="202"/>
      <c r="K6" s="208" t="s">
        <v>37</v>
      </c>
      <c r="L6" s="204"/>
      <c r="M6" s="205"/>
      <c r="N6" s="202"/>
      <c r="O6" s="202"/>
      <c r="P6" s="202"/>
      <c r="Q6" s="202"/>
      <c r="R6" s="208" t="s">
        <v>37</v>
      </c>
      <c r="S6" s="204"/>
      <c r="T6" s="205"/>
      <c r="U6" s="202"/>
      <c r="V6" s="202"/>
      <c r="W6" s="202"/>
      <c r="X6" s="202"/>
      <c r="Y6" s="208" t="s">
        <v>37</v>
      </c>
      <c r="Z6" s="204"/>
      <c r="AA6" s="205"/>
      <c r="AB6" s="202"/>
      <c r="AC6" s="202"/>
      <c r="AD6" s="202"/>
      <c r="AE6" s="202"/>
      <c r="AF6" s="208" t="s">
        <v>37</v>
      </c>
      <c r="AG6" s="204"/>
      <c r="AH6" s="205"/>
    </row>
    <row r="7">
      <c r="B7" s="208" t="s">
        <v>35</v>
      </c>
      <c r="C7" s="205"/>
      <c r="D7" s="202"/>
      <c r="E7" s="202"/>
      <c r="F7" s="202"/>
      <c r="G7" s="208" t="s">
        <v>35</v>
      </c>
      <c r="H7" s="204"/>
      <c r="I7" s="204"/>
      <c r="J7" s="205"/>
      <c r="K7" s="202"/>
      <c r="L7" s="202"/>
      <c r="M7" s="202"/>
      <c r="N7" s="208" t="s">
        <v>35</v>
      </c>
      <c r="O7" s="204"/>
      <c r="P7" s="204"/>
      <c r="Q7" s="205"/>
      <c r="R7" s="202"/>
      <c r="S7" s="202"/>
      <c r="T7" s="202"/>
      <c r="U7" s="208" t="s">
        <v>35</v>
      </c>
      <c r="V7" s="204"/>
      <c r="W7" s="204"/>
      <c r="X7" s="205"/>
      <c r="Y7" s="202"/>
      <c r="Z7" s="202"/>
      <c r="AA7" s="202"/>
      <c r="AB7" s="208" t="s">
        <v>35</v>
      </c>
      <c r="AC7" s="204"/>
      <c r="AD7" s="204"/>
      <c r="AE7" s="205"/>
      <c r="AF7" s="202"/>
      <c r="AG7" s="202"/>
      <c r="AH7" s="202"/>
    </row>
    <row r="8">
      <c r="B8" s="208" t="s">
        <v>36</v>
      </c>
      <c r="C8" s="204"/>
      <c r="D8" s="204"/>
      <c r="E8" s="204"/>
      <c r="F8" s="205"/>
      <c r="G8" s="208" t="s">
        <v>36</v>
      </c>
      <c r="H8" s="204"/>
      <c r="I8" s="204"/>
      <c r="J8" s="204"/>
      <c r="K8" s="204"/>
      <c r="L8" s="204"/>
      <c r="M8" s="205"/>
      <c r="N8" s="208" t="s">
        <v>36</v>
      </c>
      <c r="O8" s="204"/>
      <c r="P8" s="204"/>
      <c r="Q8" s="204"/>
      <c r="R8" s="204"/>
      <c r="S8" s="204"/>
      <c r="T8" s="205"/>
      <c r="U8" s="208" t="s">
        <v>36</v>
      </c>
      <c r="V8" s="204"/>
      <c r="W8" s="204"/>
      <c r="X8" s="204"/>
      <c r="Y8" s="204"/>
      <c r="Z8" s="204"/>
      <c r="AA8" s="205"/>
      <c r="AB8" s="208" t="s">
        <v>36</v>
      </c>
      <c r="AC8" s="204"/>
      <c r="AD8" s="204"/>
      <c r="AE8" s="204"/>
      <c r="AF8" s="204"/>
      <c r="AG8" s="204"/>
      <c r="AH8" s="205"/>
    </row>
    <row r="9" ht="33.75" customHeight="1">
      <c r="B9" s="209" t="s">
        <v>326</v>
      </c>
      <c r="C9" s="202"/>
      <c r="D9" s="209" t="s">
        <v>326</v>
      </c>
      <c r="E9" s="202"/>
      <c r="F9" s="209" t="s">
        <v>326</v>
      </c>
      <c r="G9" s="202"/>
      <c r="H9" s="202"/>
      <c r="I9" s="209" t="s">
        <v>326</v>
      </c>
      <c r="J9" s="202"/>
      <c r="K9" s="209" t="s">
        <v>326</v>
      </c>
      <c r="L9" s="202"/>
      <c r="M9" s="209" t="s">
        <v>326</v>
      </c>
      <c r="N9" s="202"/>
      <c r="O9" s="202"/>
      <c r="P9" s="209" t="s">
        <v>326</v>
      </c>
      <c r="Q9" s="202"/>
      <c r="R9" s="210" t="s">
        <v>326</v>
      </c>
      <c r="S9" s="211"/>
      <c r="T9" s="210" t="s">
        <v>326</v>
      </c>
      <c r="U9" s="211"/>
      <c r="V9" s="211"/>
      <c r="W9" s="210" t="s">
        <v>326</v>
      </c>
      <c r="X9" s="211"/>
      <c r="Y9" s="210" t="s">
        <v>326</v>
      </c>
      <c r="Z9" s="211"/>
      <c r="AA9" s="210" t="s">
        <v>326</v>
      </c>
      <c r="AB9" s="211"/>
      <c r="AC9" s="211"/>
      <c r="AD9" s="210" t="s">
        <v>326</v>
      </c>
      <c r="AE9" s="211"/>
      <c r="AF9" s="210" t="s">
        <v>326</v>
      </c>
      <c r="AG9" s="211"/>
      <c r="AH9" s="210" t="s">
        <v>326</v>
      </c>
    </row>
    <row r="10" ht="33.75" customHeight="1">
      <c r="B10" s="202"/>
      <c r="C10" s="209" t="s">
        <v>42</v>
      </c>
      <c r="D10" s="202"/>
      <c r="E10" s="202"/>
      <c r="F10" s="202"/>
      <c r="G10" s="202"/>
      <c r="H10" s="202"/>
      <c r="I10" s="202"/>
      <c r="J10" s="209" t="s">
        <v>42</v>
      </c>
      <c r="K10" s="202"/>
      <c r="L10" s="202"/>
      <c r="M10" s="202"/>
      <c r="N10" s="202"/>
      <c r="O10" s="202"/>
      <c r="P10" s="202"/>
      <c r="Q10" s="209" t="s">
        <v>42</v>
      </c>
      <c r="R10" s="202"/>
      <c r="S10" s="202"/>
      <c r="T10" s="202"/>
      <c r="U10" s="202"/>
      <c r="V10" s="202"/>
      <c r="W10" s="202"/>
      <c r="X10" s="209" t="s">
        <v>42</v>
      </c>
      <c r="Y10" s="202"/>
      <c r="Z10" s="202"/>
      <c r="AA10" s="202"/>
      <c r="AB10" s="202"/>
      <c r="AC10" s="202"/>
      <c r="AD10" s="202"/>
      <c r="AE10" s="209" t="s">
        <v>42</v>
      </c>
      <c r="AF10" s="202"/>
      <c r="AG10" s="202"/>
      <c r="AH10" s="202"/>
    </row>
    <row r="11" ht="33.75" customHeight="1">
      <c r="B11" s="202"/>
      <c r="C11" s="202"/>
      <c r="E11" s="212" t="s">
        <v>43</v>
      </c>
      <c r="F11" s="202"/>
      <c r="G11" s="202"/>
      <c r="H11" s="202"/>
      <c r="I11" s="202"/>
      <c r="J11" s="202"/>
      <c r="K11" s="202"/>
      <c r="L11" s="202"/>
      <c r="M11" s="202"/>
      <c r="N11" s="212" t="s">
        <v>43</v>
      </c>
      <c r="O11" s="202"/>
      <c r="P11" s="202"/>
      <c r="Q11" s="202"/>
      <c r="R11" s="202"/>
      <c r="S11" s="202"/>
      <c r="T11" s="202"/>
      <c r="U11" s="212" t="s">
        <v>43</v>
      </c>
      <c r="V11" s="202"/>
      <c r="W11" s="202"/>
      <c r="X11" s="202"/>
      <c r="Y11" s="202"/>
      <c r="Z11" s="202"/>
      <c r="AA11" s="202"/>
      <c r="AB11" s="212" t="s">
        <v>43</v>
      </c>
      <c r="AC11" s="202"/>
      <c r="AD11" s="202"/>
      <c r="AE11" s="202"/>
      <c r="AF11" s="202"/>
      <c r="AG11" s="202"/>
      <c r="AH11" s="202"/>
    </row>
    <row r="12" ht="33.75" customHeight="1">
      <c r="B12" s="202"/>
      <c r="C12" s="213" t="s">
        <v>44</v>
      </c>
      <c r="D12" s="202"/>
      <c r="E12" s="213" t="s">
        <v>44</v>
      </c>
      <c r="F12" s="202"/>
      <c r="G12" s="213" t="s">
        <v>44</v>
      </c>
      <c r="H12" s="213" t="s">
        <v>44</v>
      </c>
      <c r="I12" s="202"/>
      <c r="J12" s="213" t="s">
        <v>44</v>
      </c>
      <c r="K12" s="202"/>
      <c r="L12" s="213" t="s">
        <v>44</v>
      </c>
      <c r="M12" s="202"/>
      <c r="N12" s="213" t="s">
        <v>44</v>
      </c>
      <c r="O12" s="213" t="s">
        <v>44</v>
      </c>
      <c r="P12" s="202"/>
      <c r="Q12" s="213" t="s">
        <v>44</v>
      </c>
      <c r="R12" s="202"/>
      <c r="S12" s="213" t="s">
        <v>44</v>
      </c>
      <c r="T12" s="202"/>
      <c r="U12" s="213" t="s">
        <v>44</v>
      </c>
      <c r="V12" s="213" t="s">
        <v>44</v>
      </c>
      <c r="W12" s="202"/>
      <c r="X12" s="213" t="s">
        <v>44</v>
      </c>
      <c r="Y12" s="202"/>
      <c r="Z12" s="213" t="s">
        <v>44</v>
      </c>
      <c r="AA12" s="202"/>
      <c r="AB12" s="213" t="s">
        <v>44</v>
      </c>
      <c r="AC12" s="213" t="s">
        <v>44</v>
      </c>
      <c r="AD12" s="202"/>
      <c r="AE12" s="213" t="s">
        <v>44</v>
      </c>
      <c r="AF12" s="202"/>
      <c r="AG12" s="213" t="s">
        <v>44</v>
      </c>
      <c r="AH12" s="202"/>
    </row>
    <row r="13" ht="33.75" customHeight="1">
      <c r="B13" s="202"/>
      <c r="C13" s="202"/>
      <c r="D13" s="202"/>
      <c r="E13" s="212" t="s">
        <v>45</v>
      </c>
      <c r="F13" s="202"/>
      <c r="G13" s="202"/>
      <c r="H13" s="202"/>
      <c r="I13" s="202"/>
      <c r="J13" s="202"/>
      <c r="K13" s="202"/>
      <c r="L13" s="202"/>
      <c r="M13" s="202"/>
      <c r="N13" s="212" t="s">
        <v>45</v>
      </c>
      <c r="O13" s="202"/>
      <c r="P13" s="202"/>
      <c r="Q13" s="202"/>
      <c r="R13" s="202"/>
      <c r="S13" s="202"/>
      <c r="T13" s="202"/>
      <c r="U13" s="212" t="s">
        <v>45</v>
      </c>
      <c r="V13" s="202"/>
      <c r="W13" s="202"/>
      <c r="X13" s="202"/>
      <c r="Y13" s="202"/>
      <c r="Z13" s="202"/>
      <c r="AA13" s="202"/>
      <c r="AB13" s="212" t="s">
        <v>45</v>
      </c>
      <c r="AC13" s="202"/>
      <c r="AD13" s="202"/>
      <c r="AE13" s="202"/>
      <c r="AF13" s="202"/>
      <c r="AG13" s="202"/>
      <c r="AH13" s="202"/>
    </row>
    <row r="14" ht="33.75" customHeight="1">
      <c r="B14" s="202"/>
      <c r="C14" s="202"/>
      <c r="D14" s="202"/>
      <c r="E14" s="202"/>
      <c r="F14" s="212" t="s">
        <v>46</v>
      </c>
      <c r="G14" s="202"/>
      <c r="H14" s="202"/>
      <c r="I14" s="202"/>
      <c r="J14" s="202"/>
      <c r="K14" s="202"/>
      <c r="L14" s="202"/>
      <c r="M14" s="202"/>
      <c r="N14" s="202"/>
      <c r="O14" s="212" t="s">
        <v>46</v>
      </c>
      <c r="P14" s="202"/>
      <c r="Q14" s="202"/>
      <c r="R14" s="202"/>
      <c r="S14" s="202"/>
      <c r="T14" s="202"/>
      <c r="U14" s="202"/>
      <c r="V14" s="212" t="s">
        <v>46</v>
      </c>
      <c r="W14" s="202"/>
      <c r="X14" s="202"/>
      <c r="Y14" s="202"/>
      <c r="Z14" s="202"/>
      <c r="AA14" s="202"/>
      <c r="AB14" s="202"/>
      <c r="AC14" s="212" t="s">
        <v>46</v>
      </c>
      <c r="AD14" s="202"/>
      <c r="AE14" s="202"/>
      <c r="AF14" s="202"/>
      <c r="AG14" s="202"/>
      <c r="AH14" s="202"/>
    </row>
    <row r="15" ht="33.75" customHeight="1">
      <c r="B15" s="202"/>
      <c r="C15" s="202"/>
      <c r="D15" s="212" t="s">
        <v>38</v>
      </c>
      <c r="E15" s="204"/>
      <c r="F15" s="204"/>
      <c r="G15" s="204"/>
      <c r="H15" s="204"/>
      <c r="I15" s="204"/>
      <c r="J15" s="205"/>
      <c r="K15" s="202"/>
      <c r="L15" s="202"/>
      <c r="M15" s="202"/>
      <c r="N15" s="202"/>
      <c r="O15" s="202"/>
      <c r="P15" s="202"/>
      <c r="Q15" s="202"/>
      <c r="R15" s="212" t="s">
        <v>38</v>
      </c>
      <c r="S15" s="204"/>
      <c r="T15" s="204"/>
      <c r="U15" s="204"/>
      <c r="V15" s="204"/>
      <c r="W15" s="204"/>
      <c r="X15" s="205"/>
      <c r="Y15" s="202"/>
      <c r="Z15" s="202"/>
      <c r="AA15" s="202"/>
      <c r="AB15" s="202"/>
      <c r="AC15" s="202"/>
      <c r="AD15" s="202"/>
      <c r="AE15" s="202"/>
      <c r="AF15" s="212" t="s">
        <v>38</v>
      </c>
      <c r="AG15" s="204"/>
      <c r="AH15" s="204"/>
    </row>
    <row r="16" ht="33.75" customHeight="1">
      <c r="B16" s="208" t="s">
        <v>28</v>
      </c>
      <c r="C16" s="204"/>
      <c r="D16" s="204"/>
      <c r="E16" s="204"/>
      <c r="F16" s="205"/>
      <c r="G16" s="208" t="s">
        <v>28</v>
      </c>
      <c r="H16" s="204"/>
      <c r="I16" s="204"/>
      <c r="J16" s="204"/>
      <c r="K16" s="204"/>
      <c r="L16" s="204"/>
      <c r="M16" s="205"/>
      <c r="N16" s="208" t="s">
        <v>28</v>
      </c>
      <c r="O16" s="204"/>
      <c r="P16" s="204"/>
      <c r="Q16" s="204"/>
      <c r="R16" s="204"/>
      <c r="S16" s="204"/>
      <c r="T16" s="205"/>
      <c r="U16" s="208" t="s">
        <v>28</v>
      </c>
      <c r="V16" s="204"/>
      <c r="W16" s="204"/>
      <c r="X16" s="204"/>
      <c r="Y16" s="204"/>
      <c r="Z16" s="204"/>
      <c r="AA16" s="205"/>
      <c r="AB16" s="208" t="s">
        <v>28</v>
      </c>
      <c r="AC16" s="204"/>
      <c r="AD16" s="204"/>
      <c r="AE16" s="204"/>
      <c r="AF16" s="204"/>
      <c r="AG16" s="204"/>
      <c r="AH16" s="205"/>
    </row>
    <row r="17" ht="33.75" customHeight="1">
      <c r="B17" s="212" t="s">
        <v>29</v>
      </c>
      <c r="C17" s="204"/>
      <c r="D17" s="205"/>
      <c r="E17" s="202"/>
      <c r="F17" s="202"/>
      <c r="G17" s="202"/>
      <c r="H17" s="212" t="s">
        <v>30</v>
      </c>
      <c r="I17" s="204"/>
      <c r="J17" s="204"/>
      <c r="K17" s="205"/>
      <c r="L17" s="202"/>
      <c r="M17" s="202"/>
      <c r="N17" s="202"/>
      <c r="O17" s="212" t="s">
        <v>29</v>
      </c>
      <c r="P17" s="204"/>
      <c r="Q17" s="204"/>
      <c r="R17" s="205"/>
      <c r="S17" s="202"/>
      <c r="T17" s="202"/>
      <c r="U17" s="202"/>
      <c r="V17" s="212" t="s">
        <v>31</v>
      </c>
      <c r="W17" s="204"/>
      <c r="X17" s="204"/>
      <c r="Y17" s="205"/>
      <c r="Z17" s="202"/>
      <c r="AA17" s="202"/>
      <c r="AB17" s="202"/>
      <c r="AC17" s="212" t="s">
        <v>29</v>
      </c>
      <c r="AD17" s="204"/>
      <c r="AE17" s="204"/>
      <c r="AF17" s="205"/>
      <c r="AG17" s="202"/>
      <c r="AH17" s="202"/>
    </row>
    <row r="18" ht="33.75" customHeight="1">
      <c r="B18" s="202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</row>
    <row r="19" ht="33.75" customHeight="1">
      <c r="B19" s="214" t="s">
        <v>27</v>
      </c>
      <c r="C19" s="205"/>
      <c r="D19" s="202"/>
      <c r="E19" s="202"/>
      <c r="F19" s="202"/>
      <c r="G19" s="202"/>
      <c r="H19" s="202"/>
      <c r="I19" s="202"/>
      <c r="J19" s="202"/>
      <c r="K19" s="214" t="s">
        <v>27</v>
      </c>
      <c r="L19" s="204"/>
      <c r="M19" s="204"/>
      <c r="N19" s="204"/>
      <c r="O19" s="204"/>
      <c r="P19" s="204"/>
      <c r="Q19" s="205"/>
      <c r="R19" s="202"/>
      <c r="S19" s="202"/>
      <c r="T19" s="202"/>
      <c r="U19" s="202"/>
      <c r="V19" s="202"/>
      <c r="W19" s="202"/>
      <c r="X19" s="202"/>
      <c r="Y19" s="214" t="s">
        <v>27</v>
      </c>
      <c r="Z19" s="204"/>
      <c r="AA19" s="204"/>
      <c r="AB19" s="204"/>
      <c r="AC19" s="204"/>
      <c r="AD19" s="204"/>
      <c r="AE19" s="205"/>
      <c r="AF19" s="202"/>
      <c r="AG19" s="202"/>
      <c r="AH19" s="202"/>
    </row>
    <row r="20" ht="33.75" customHeight="1">
      <c r="B20" s="202"/>
      <c r="C20" s="202"/>
      <c r="D20" s="202"/>
      <c r="E20" s="212" t="s">
        <v>39</v>
      </c>
      <c r="F20" s="204"/>
      <c r="G20" s="204"/>
      <c r="H20" s="202"/>
      <c r="I20" s="202"/>
      <c r="J20" s="202"/>
      <c r="K20" s="202"/>
      <c r="L20" s="212" t="s">
        <v>39</v>
      </c>
      <c r="M20" s="204"/>
      <c r="N20" s="204"/>
      <c r="O20" s="202"/>
      <c r="P20" s="202"/>
      <c r="Q20" s="202"/>
      <c r="R20" s="202"/>
      <c r="S20" s="212" t="s">
        <v>39</v>
      </c>
      <c r="T20" s="204"/>
      <c r="U20" s="204"/>
      <c r="V20" s="202"/>
      <c r="W20" s="202"/>
      <c r="X20" s="202"/>
      <c r="Y20" s="202"/>
      <c r="Z20" s="212" t="s">
        <v>39</v>
      </c>
      <c r="AA20" s="204"/>
      <c r="AB20" s="204"/>
      <c r="AC20" s="202"/>
      <c r="AD20" s="202"/>
      <c r="AE20" s="202"/>
      <c r="AF20" s="202"/>
      <c r="AG20" s="212" t="s">
        <v>39</v>
      </c>
      <c r="AH20" s="204"/>
    </row>
    <row r="21" ht="33.75" customHeight="1">
      <c r="B21" s="213" t="s">
        <v>47</v>
      </c>
      <c r="C21" s="213" t="s">
        <v>47</v>
      </c>
      <c r="D21" s="213" t="s">
        <v>47</v>
      </c>
      <c r="E21" s="213" t="s">
        <v>47</v>
      </c>
      <c r="F21" s="213" t="s">
        <v>47</v>
      </c>
      <c r="G21" s="213" t="s">
        <v>47</v>
      </c>
      <c r="H21" s="213" t="s">
        <v>47</v>
      </c>
      <c r="I21" s="213" t="s">
        <v>47</v>
      </c>
      <c r="J21" s="213" t="s">
        <v>47</v>
      </c>
      <c r="K21" s="213" t="s">
        <v>47</v>
      </c>
      <c r="L21" s="213" t="s">
        <v>47</v>
      </c>
      <c r="M21" s="213" t="s">
        <v>47</v>
      </c>
      <c r="N21" s="213" t="s">
        <v>47</v>
      </c>
      <c r="O21" s="213" t="s">
        <v>47</v>
      </c>
      <c r="P21" s="213" t="s">
        <v>47</v>
      </c>
      <c r="Q21" s="213" t="s">
        <v>47</v>
      </c>
      <c r="R21" s="213" t="s">
        <v>47</v>
      </c>
      <c r="S21" s="213" t="s">
        <v>47</v>
      </c>
      <c r="T21" s="213" t="s">
        <v>47</v>
      </c>
      <c r="U21" s="213" t="s">
        <v>47</v>
      </c>
      <c r="V21" s="213" t="s">
        <v>47</v>
      </c>
      <c r="W21" s="213" t="s">
        <v>47</v>
      </c>
      <c r="X21" s="213" t="s">
        <v>47</v>
      </c>
      <c r="Y21" s="213" t="s">
        <v>47</v>
      </c>
      <c r="Z21" s="213" t="s">
        <v>47</v>
      </c>
      <c r="AA21" s="213" t="s">
        <v>47</v>
      </c>
      <c r="AB21" s="213" t="s">
        <v>47</v>
      </c>
      <c r="AC21" s="213" t="s">
        <v>47</v>
      </c>
      <c r="AD21" s="213" t="s">
        <v>47</v>
      </c>
      <c r="AE21" s="213" t="s">
        <v>47</v>
      </c>
      <c r="AF21" s="213" t="s">
        <v>47</v>
      </c>
      <c r="AG21" s="213" t="s">
        <v>47</v>
      </c>
      <c r="AH21" s="213" t="s">
        <v>47</v>
      </c>
    </row>
    <row r="22">
      <c r="B22" s="202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</row>
    <row r="23">
      <c r="B23" s="215" t="s">
        <v>33</v>
      </c>
      <c r="C23" s="204"/>
      <c r="D23" s="204"/>
      <c r="E23" s="204"/>
      <c r="F23" s="205"/>
      <c r="G23" s="215" t="s">
        <v>33</v>
      </c>
      <c r="H23" s="204"/>
      <c r="I23" s="204"/>
      <c r="J23" s="204"/>
      <c r="K23" s="204"/>
      <c r="L23" s="204"/>
      <c r="M23" s="205"/>
      <c r="N23" s="215" t="s">
        <v>33</v>
      </c>
      <c r="O23" s="204"/>
      <c r="P23" s="204"/>
      <c r="Q23" s="204"/>
      <c r="R23" s="204"/>
      <c r="S23" s="204"/>
      <c r="T23" s="205"/>
      <c r="U23" s="215" t="s">
        <v>33</v>
      </c>
      <c r="V23" s="204"/>
      <c r="W23" s="204"/>
      <c r="X23" s="204"/>
      <c r="Y23" s="204"/>
      <c r="Z23" s="204"/>
      <c r="AA23" s="205"/>
      <c r="AB23" s="215" t="s">
        <v>33</v>
      </c>
      <c r="AC23" s="204"/>
      <c r="AD23" s="204"/>
      <c r="AE23" s="204"/>
      <c r="AF23" s="204"/>
      <c r="AG23" s="204"/>
      <c r="AH23" s="205"/>
    </row>
    <row r="24">
      <c r="B24" s="202"/>
      <c r="C24" s="202"/>
      <c r="D24" s="215" t="s">
        <v>32</v>
      </c>
      <c r="E24" s="204"/>
      <c r="F24" s="205"/>
      <c r="G24" s="202"/>
      <c r="H24" s="202"/>
      <c r="I24" s="202"/>
      <c r="J24" s="202"/>
      <c r="K24" s="215" t="s">
        <v>32</v>
      </c>
      <c r="L24" s="204"/>
      <c r="M24" s="205"/>
      <c r="N24" s="202"/>
      <c r="O24" s="202"/>
      <c r="P24" s="202"/>
      <c r="Q24" s="202"/>
      <c r="R24" s="215" t="s">
        <v>32</v>
      </c>
      <c r="S24" s="204"/>
      <c r="T24" s="205"/>
      <c r="U24" s="202"/>
      <c r="V24" s="202"/>
      <c r="W24" s="202"/>
      <c r="X24" s="202"/>
      <c r="Y24" s="215" t="s">
        <v>32</v>
      </c>
      <c r="Z24" s="204"/>
      <c r="AA24" s="205"/>
      <c r="AB24" s="202"/>
      <c r="AC24" s="202"/>
      <c r="AD24" s="202"/>
      <c r="AE24" s="202"/>
      <c r="AF24" s="215" t="s">
        <v>32</v>
      </c>
      <c r="AG24" s="204"/>
      <c r="AH24" s="205"/>
    </row>
    <row r="25">
      <c r="B25" s="202"/>
      <c r="C25" s="202"/>
      <c r="D25" s="202"/>
      <c r="E25" s="215" t="s">
        <v>40</v>
      </c>
      <c r="F25" s="205"/>
      <c r="G25" s="202"/>
      <c r="H25" s="202"/>
      <c r="I25" s="202"/>
      <c r="J25" s="202"/>
      <c r="K25" s="202"/>
      <c r="L25" s="215" t="s">
        <v>40</v>
      </c>
      <c r="M25" s="205"/>
      <c r="N25" s="202"/>
      <c r="O25" s="202"/>
      <c r="P25" s="202"/>
      <c r="Q25" s="202"/>
      <c r="R25" s="202"/>
      <c r="S25" s="215" t="s">
        <v>40</v>
      </c>
      <c r="T25" s="205"/>
      <c r="U25" s="202"/>
      <c r="V25" s="202"/>
      <c r="W25" s="202"/>
      <c r="X25" s="202"/>
      <c r="Y25" s="202"/>
      <c r="Z25" s="215" t="s">
        <v>40</v>
      </c>
      <c r="AA25" s="205"/>
      <c r="AB25" s="202"/>
      <c r="AC25" s="202"/>
      <c r="AD25" s="202"/>
      <c r="AE25" s="202"/>
      <c r="AF25" s="202"/>
      <c r="AG25" s="215" t="s">
        <v>40</v>
      </c>
      <c r="AH25" s="205"/>
    </row>
    <row r="29"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</row>
  </sheetData>
  <mergeCells count="58">
    <mergeCell ref="K19:Q19"/>
    <mergeCell ref="Y19:AE19"/>
    <mergeCell ref="G16:M16"/>
    <mergeCell ref="N16:T16"/>
    <mergeCell ref="B17:D17"/>
    <mergeCell ref="H17:K17"/>
    <mergeCell ref="O17:R17"/>
    <mergeCell ref="V17:Y17"/>
    <mergeCell ref="B19:C19"/>
    <mergeCell ref="R24:T24"/>
    <mergeCell ref="Y24:AA24"/>
    <mergeCell ref="B23:F23"/>
    <mergeCell ref="G23:M23"/>
    <mergeCell ref="N23:T23"/>
    <mergeCell ref="U23:AA23"/>
    <mergeCell ref="AB23:AH23"/>
    <mergeCell ref="K24:M24"/>
    <mergeCell ref="AF24:AH24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U16:AA16"/>
    <mergeCell ref="AB16:AH16"/>
    <mergeCell ref="AC17:AF17"/>
    <mergeCell ref="B7:C7"/>
    <mergeCell ref="B8:F8"/>
    <mergeCell ref="G8:M8"/>
    <mergeCell ref="D15:J15"/>
    <mergeCell ref="R15:X15"/>
    <mergeCell ref="AF15:AH15"/>
    <mergeCell ref="B16:F16"/>
    <mergeCell ref="E20:G20"/>
    <mergeCell ref="L20:N20"/>
    <mergeCell ref="S20:U20"/>
    <mergeCell ref="Z20:AB20"/>
    <mergeCell ref="AG20:AH20"/>
    <mergeCell ref="D24:F24"/>
    <mergeCell ref="E25:F25"/>
    <mergeCell ref="L25:M25"/>
    <mergeCell ref="S25:T25"/>
    <mergeCell ref="Z25:AA25"/>
    <mergeCell ref="AG25:AH25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7.0"/>
    <col customWidth="1" min="35" max="35" width="8.0"/>
  </cols>
  <sheetData>
    <row r="2">
      <c r="B2" s="202"/>
      <c r="C2" s="202"/>
      <c r="D2" s="203" t="s">
        <v>317</v>
      </c>
      <c r="E2" s="204"/>
      <c r="F2" s="205"/>
      <c r="G2" s="202"/>
      <c r="H2" s="202"/>
      <c r="I2" s="202"/>
      <c r="J2" s="202"/>
      <c r="K2" s="203" t="s">
        <v>317</v>
      </c>
      <c r="L2" s="204"/>
      <c r="M2" s="205"/>
      <c r="N2" s="202"/>
      <c r="O2" s="202"/>
      <c r="P2" s="202"/>
      <c r="Q2" s="202"/>
      <c r="R2" s="203" t="s">
        <v>317</v>
      </c>
      <c r="S2" s="204"/>
      <c r="T2" s="205"/>
      <c r="U2" s="202"/>
      <c r="V2" s="202"/>
      <c r="W2" s="202"/>
      <c r="X2" s="202"/>
      <c r="Y2" s="203" t="s">
        <v>317</v>
      </c>
      <c r="Z2" s="204"/>
      <c r="AA2" s="205"/>
      <c r="AB2" s="202"/>
      <c r="AC2" s="202"/>
      <c r="AD2" s="202"/>
      <c r="AE2" s="202"/>
      <c r="AF2" s="203" t="s">
        <v>317</v>
      </c>
      <c r="AG2" s="204"/>
      <c r="AH2" s="205"/>
    </row>
    <row r="3">
      <c r="B3" s="206" t="s">
        <v>318</v>
      </c>
      <c r="C3" s="206" t="s">
        <v>319</v>
      </c>
      <c r="D3" s="206" t="s">
        <v>320</v>
      </c>
      <c r="E3" s="206" t="s">
        <v>321</v>
      </c>
      <c r="F3" s="206" t="s">
        <v>322</v>
      </c>
      <c r="G3" s="206" t="s">
        <v>323</v>
      </c>
      <c r="H3" s="206" t="s">
        <v>324</v>
      </c>
      <c r="I3" s="206" t="s">
        <v>318</v>
      </c>
      <c r="J3" s="206" t="s">
        <v>319</v>
      </c>
      <c r="K3" s="206" t="s">
        <v>320</v>
      </c>
      <c r="L3" s="206" t="s">
        <v>321</v>
      </c>
      <c r="M3" s="206" t="s">
        <v>322</v>
      </c>
      <c r="N3" s="206" t="s">
        <v>323</v>
      </c>
      <c r="O3" s="206" t="s">
        <v>324</v>
      </c>
      <c r="P3" s="206" t="s">
        <v>318</v>
      </c>
      <c r="Q3" s="206" t="s">
        <v>319</v>
      </c>
      <c r="R3" s="206" t="s">
        <v>320</v>
      </c>
      <c r="S3" s="206" t="s">
        <v>321</v>
      </c>
      <c r="T3" s="206" t="s">
        <v>322</v>
      </c>
      <c r="U3" s="206" t="s">
        <v>323</v>
      </c>
      <c r="V3" s="206" t="s">
        <v>324</v>
      </c>
      <c r="W3" s="206" t="s">
        <v>318</v>
      </c>
      <c r="X3" s="206" t="s">
        <v>319</v>
      </c>
      <c r="Y3" s="206" t="s">
        <v>320</v>
      </c>
      <c r="Z3" s="206" t="s">
        <v>321</v>
      </c>
      <c r="AA3" s="206" t="s">
        <v>322</v>
      </c>
      <c r="AB3" s="206" t="s">
        <v>323</v>
      </c>
      <c r="AC3" s="206" t="s">
        <v>324</v>
      </c>
      <c r="AD3" s="206" t="s">
        <v>318</v>
      </c>
      <c r="AE3" s="206" t="s">
        <v>325</v>
      </c>
      <c r="AF3" s="206" t="s">
        <v>320</v>
      </c>
      <c r="AG3" s="206" t="s">
        <v>321</v>
      </c>
      <c r="AH3" s="206" t="s">
        <v>322</v>
      </c>
    </row>
    <row r="4">
      <c r="B4" s="207">
        <v>1.0</v>
      </c>
      <c r="C4" s="207">
        <v>2.0</v>
      </c>
      <c r="D4" s="207">
        <v>3.0</v>
      </c>
      <c r="E4" s="207">
        <v>4.0</v>
      </c>
      <c r="F4" s="207">
        <v>5.0</v>
      </c>
      <c r="G4" s="207">
        <v>6.0</v>
      </c>
      <c r="H4" s="207">
        <v>7.0</v>
      </c>
      <c r="I4" s="207">
        <v>8.0</v>
      </c>
      <c r="J4" s="207">
        <v>9.0</v>
      </c>
      <c r="K4" s="207">
        <v>10.0</v>
      </c>
      <c r="L4" s="207">
        <v>11.0</v>
      </c>
      <c r="M4" s="207">
        <v>12.0</v>
      </c>
      <c r="N4" s="207">
        <v>13.0</v>
      </c>
      <c r="O4" s="207">
        <v>14.0</v>
      </c>
      <c r="P4" s="207">
        <v>15.0</v>
      </c>
      <c r="Q4" s="207">
        <v>16.0</v>
      </c>
      <c r="R4" s="207">
        <v>17.0</v>
      </c>
      <c r="S4" s="207">
        <v>18.0</v>
      </c>
      <c r="T4" s="207">
        <v>19.0</v>
      </c>
      <c r="U4" s="207">
        <v>20.0</v>
      </c>
      <c r="V4" s="207">
        <v>21.0</v>
      </c>
      <c r="W4" s="207">
        <v>22.0</v>
      </c>
      <c r="X4" s="207">
        <v>23.0</v>
      </c>
      <c r="Y4" s="207">
        <v>24.0</v>
      </c>
      <c r="Z4" s="207">
        <v>25.0</v>
      </c>
      <c r="AA4" s="207">
        <v>26.0</v>
      </c>
      <c r="AB4" s="207">
        <v>27.0</v>
      </c>
      <c r="AC4" s="207">
        <v>28.0</v>
      </c>
      <c r="AD4" s="207">
        <v>29.0</v>
      </c>
      <c r="AE4" s="207">
        <v>30.0</v>
      </c>
      <c r="AF4" s="207">
        <v>1.0</v>
      </c>
      <c r="AG4" s="207">
        <v>2.0</v>
      </c>
      <c r="AH4" s="207">
        <v>3.0</v>
      </c>
    </row>
    <row r="5">
      <c r="B5" s="208" t="s">
        <v>34</v>
      </c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5"/>
      <c r="AF5" s="208" t="s">
        <v>34</v>
      </c>
      <c r="AG5" s="204"/>
      <c r="AH5" s="205"/>
    </row>
    <row r="6">
      <c r="B6" s="202"/>
      <c r="C6" s="202"/>
      <c r="D6" s="208" t="s">
        <v>37</v>
      </c>
      <c r="E6" s="204"/>
      <c r="F6" s="205"/>
      <c r="G6" s="202"/>
      <c r="H6" s="202"/>
      <c r="I6" s="202"/>
      <c r="J6" s="202"/>
      <c r="K6" s="208" t="s">
        <v>37</v>
      </c>
      <c r="L6" s="204"/>
      <c r="M6" s="205"/>
      <c r="N6" s="202"/>
      <c r="O6" s="202"/>
      <c r="P6" s="202"/>
      <c r="Q6" s="202"/>
      <c r="R6" s="208" t="s">
        <v>37</v>
      </c>
      <c r="S6" s="204"/>
      <c r="T6" s="205"/>
      <c r="U6" s="202"/>
      <c r="V6" s="202"/>
      <c r="W6" s="202"/>
      <c r="X6" s="202"/>
      <c r="Y6" s="208" t="s">
        <v>37</v>
      </c>
      <c r="Z6" s="204"/>
      <c r="AA6" s="205"/>
      <c r="AB6" s="202"/>
      <c r="AC6" s="202"/>
      <c r="AD6" s="202"/>
      <c r="AE6" s="202"/>
      <c r="AF6" s="208" t="s">
        <v>37</v>
      </c>
      <c r="AG6" s="204"/>
      <c r="AH6" s="205"/>
    </row>
    <row r="7">
      <c r="B7" s="208" t="s">
        <v>35</v>
      </c>
      <c r="C7" s="205"/>
      <c r="D7" s="202"/>
      <c r="E7" s="202"/>
      <c r="F7" s="202"/>
      <c r="G7" s="208" t="s">
        <v>35</v>
      </c>
      <c r="H7" s="204"/>
      <c r="I7" s="204"/>
      <c r="J7" s="205"/>
      <c r="K7" s="202"/>
      <c r="L7" s="202"/>
      <c r="M7" s="202"/>
      <c r="N7" s="208" t="s">
        <v>35</v>
      </c>
      <c r="O7" s="204"/>
      <c r="P7" s="204"/>
      <c r="Q7" s="205"/>
      <c r="R7" s="202"/>
      <c r="S7" s="202"/>
      <c r="T7" s="202"/>
      <c r="U7" s="208" t="s">
        <v>35</v>
      </c>
      <c r="V7" s="204"/>
      <c r="W7" s="204"/>
      <c r="X7" s="205"/>
      <c r="Y7" s="202"/>
      <c r="Z7" s="202"/>
      <c r="AA7" s="202"/>
      <c r="AB7" s="208" t="s">
        <v>35</v>
      </c>
      <c r="AC7" s="204"/>
      <c r="AD7" s="204"/>
      <c r="AE7" s="205"/>
      <c r="AF7" s="202"/>
      <c r="AG7" s="202"/>
      <c r="AH7" s="202"/>
    </row>
    <row r="8">
      <c r="B8" s="208" t="s">
        <v>36</v>
      </c>
      <c r="C8" s="204"/>
      <c r="D8" s="204"/>
      <c r="E8" s="204"/>
      <c r="F8" s="205"/>
      <c r="G8" s="208" t="s">
        <v>36</v>
      </c>
      <c r="H8" s="204"/>
      <c r="I8" s="204"/>
      <c r="J8" s="204"/>
      <c r="K8" s="204"/>
      <c r="L8" s="204"/>
      <c r="M8" s="205"/>
      <c r="N8" s="208" t="s">
        <v>36</v>
      </c>
      <c r="O8" s="204"/>
      <c r="P8" s="204"/>
      <c r="Q8" s="204"/>
      <c r="R8" s="204"/>
      <c r="S8" s="204"/>
      <c r="T8" s="205"/>
      <c r="U8" s="208" t="s">
        <v>36</v>
      </c>
      <c r="V8" s="204"/>
      <c r="W8" s="204"/>
      <c r="X8" s="204"/>
      <c r="Y8" s="204"/>
      <c r="Z8" s="204"/>
      <c r="AA8" s="205"/>
      <c r="AB8" s="208" t="s">
        <v>36</v>
      </c>
      <c r="AC8" s="204"/>
      <c r="AD8" s="204"/>
      <c r="AE8" s="204"/>
      <c r="AF8" s="204"/>
      <c r="AG8" s="204"/>
      <c r="AH8" s="205"/>
    </row>
    <row r="9" ht="36.0" customHeight="1">
      <c r="B9" s="202"/>
      <c r="C9" s="202"/>
      <c r="D9" s="209" t="s">
        <v>326</v>
      </c>
      <c r="E9" s="209" t="s">
        <v>326</v>
      </c>
      <c r="F9" s="209" t="s">
        <v>326</v>
      </c>
      <c r="G9" s="202"/>
      <c r="H9" s="202"/>
      <c r="I9" s="202"/>
      <c r="J9" s="202"/>
      <c r="K9" s="209" t="s">
        <v>326</v>
      </c>
      <c r="L9" s="209" t="s">
        <v>326</v>
      </c>
      <c r="M9" s="209" t="s">
        <v>326</v>
      </c>
      <c r="N9" s="202"/>
      <c r="O9" s="202"/>
      <c r="P9" s="202"/>
      <c r="Q9" s="202"/>
      <c r="R9" s="209" t="s">
        <v>326</v>
      </c>
      <c r="S9" s="209" t="s">
        <v>326</v>
      </c>
      <c r="T9" s="209" t="s">
        <v>326</v>
      </c>
      <c r="U9" s="202"/>
      <c r="V9" s="202"/>
      <c r="W9" s="202"/>
      <c r="X9" s="202"/>
      <c r="Y9" s="209" t="s">
        <v>326</v>
      </c>
      <c r="Z9" s="209" t="s">
        <v>326</v>
      </c>
      <c r="AA9" s="209" t="s">
        <v>326</v>
      </c>
      <c r="AB9" s="202"/>
      <c r="AC9" s="202"/>
      <c r="AD9" s="202"/>
      <c r="AE9" s="202"/>
      <c r="AF9" s="209" t="s">
        <v>326</v>
      </c>
      <c r="AG9" s="209" t="s">
        <v>326</v>
      </c>
      <c r="AH9" s="209" t="s">
        <v>326</v>
      </c>
    </row>
    <row r="10" ht="36.0" customHeight="1">
      <c r="B10" s="202"/>
      <c r="C10" s="202"/>
      <c r="D10" s="202"/>
      <c r="E10" s="202"/>
      <c r="F10" s="202"/>
      <c r="G10" s="212" t="s">
        <v>42</v>
      </c>
      <c r="H10" s="205"/>
      <c r="I10" s="212" t="s">
        <v>42</v>
      </c>
      <c r="J10" s="205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2"/>
    </row>
    <row r="11" ht="36.0" customHeight="1">
      <c r="B11" s="202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12" t="s">
        <v>43</v>
      </c>
      <c r="O11" s="205"/>
      <c r="P11" s="212" t="s">
        <v>43</v>
      </c>
      <c r="Q11" s="205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2"/>
    </row>
    <row r="12" ht="36.0" customHeight="1">
      <c r="B12" s="213" t="s">
        <v>44</v>
      </c>
      <c r="C12" s="213" t="s">
        <v>44</v>
      </c>
      <c r="D12" s="202"/>
      <c r="E12" s="202"/>
      <c r="F12" s="202"/>
      <c r="G12" s="213" t="s">
        <v>44</v>
      </c>
      <c r="H12" s="213" t="s">
        <v>44</v>
      </c>
      <c r="I12" s="213" t="s">
        <v>44</v>
      </c>
      <c r="J12" s="213" t="s">
        <v>44</v>
      </c>
      <c r="K12" s="202"/>
      <c r="L12" s="202"/>
      <c r="M12" s="202"/>
      <c r="N12" s="213" t="s">
        <v>44</v>
      </c>
      <c r="O12" s="213" t="s">
        <v>44</v>
      </c>
      <c r="P12" s="213" t="s">
        <v>44</v>
      </c>
      <c r="Q12" s="213" t="s">
        <v>44</v>
      </c>
      <c r="R12" s="202"/>
      <c r="S12" s="202"/>
      <c r="T12" s="202"/>
      <c r="U12" s="213" t="s">
        <v>44</v>
      </c>
      <c r="V12" s="213" t="s">
        <v>44</v>
      </c>
      <c r="W12" s="213" t="s">
        <v>44</v>
      </c>
      <c r="X12" s="213" t="s">
        <v>44</v>
      </c>
      <c r="Y12" s="202"/>
      <c r="Z12" s="202"/>
      <c r="AA12" s="202"/>
      <c r="AB12" s="213" t="s">
        <v>44</v>
      </c>
      <c r="AC12" s="213" t="s">
        <v>44</v>
      </c>
      <c r="AD12" s="213" t="s">
        <v>44</v>
      </c>
      <c r="AE12" s="213" t="s">
        <v>44</v>
      </c>
      <c r="AF12" s="202"/>
      <c r="AG12" s="202"/>
      <c r="AH12" s="202"/>
    </row>
    <row r="13" ht="36.0" customHeight="1">
      <c r="B13" s="202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12" t="s">
        <v>45</v>
      </c>
      <c r="V13" s="205"/>
      <c r="W13" s="212" t="s">
        <v>45</v>
      </c>
      <c r="X13" s="205"/>
      <c r="Y13" s="202"/>
      <c r="Z13" s="202"/>
      <c r="AA13" s="202"/>
      <c r="AB13" s="202"/>
      <c r="AC13" s="202"/>
      <c r="AD13" s="202"/>
      <c r="AE13" s="202"/>
      <c r="AF13" s="202"/>
      <c r="AG13" s="202"/>
      <c r="AH13" s="202"/>
    </row>
    <row r="14" ht="36.0" customHeight="1">
      <c r="B14" s="212" t="s">
        <v>46</v>
      </c>
      <c r="C14" s="205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12" t="s">
        <v>46</v>
      </c>
      <c r="AC14" s="205"/>
      <c r="AD14" s="212" t="s">
        <v>46</v>
      </c>
      <c r="AE14" s="205"/>
      <c r="AF14" s="202"/>
      <c r="AG14" s="202"/>
      <c r="AH14" s="202"/>
    </row>
    <row r="15" ht="36.0" customHeight="1">
      <c r="B15" s="202"/>
      <c r="C15" s="202"/>
      <c r="D15" s="212" t="s">
        <v>38</v>
      </c>
      <c r="E15" s="204"/>
      <c r="F15" s="205"/>
      <c r="G15" s="202"/>
      <c r="H15" s="202"/>
      <c r="I15" s="202"/>
      <c r="J15" s="202"/>
      <c r="K15" s="212" t="s">
        <v>38</v>
      </c>
      <c r="L15" s="204"/>
      <c r="M15" s="205"/>
      <c r="N15" s="202"/>
      <c r="O15" s="202"/>
      <c r="P15" s="202"/>
      <c r="Q15" s="202"/>
      <c r="R15" s="212" t="s">
        <v>38</v>
      </c>
      <c r="S15" s="204"/>
      <c r="T15" s="205"/>
      <c r="U15" s="202"/>
      <c r="V15" s="202"/>
      <c r="W15" s="202"/>
      <c r="X15" s="202"/>
      <c r="Y15" s="212" t="s">
        <v>38</v>
      </c>
      <c r="Z15" s="204"/>
      <c r="AA15" s="205"/>
      <c r="AB15" s="202"/>
      <c r="AC15" s="202"/>
      <c r="AD15" s="202"/>
      <c r="AE15" s="202"/>
      <c r="AF15" s="212" t="s">
        <v>38</v>
      </c>
      <c r="AG15" s="204"/>
      <c r="AH15" s="205"/>
    </row>
    <row r="16" ht="36.0" customHeight="1">
      <c r="B16" s="208" t="s">
        <v>28</v>
      </c>
      <c r="C16" s="204"/>
      <c r="D16" s="204"/>
      <c r="E16" s="204"/>
      <c r="F16" s="205"/>
      <c r="G16" s="208" t="s">
        <v>28</v>
      </c>
      <c r="H16" s="204"/>
      <c r="I16" s="204"/>
      <c r="J16" s="204"/>
      <c r="K16" s="204"/>
      <c r="L16" s="204"/>
      <c r="M16" s="205"/>
      <c r="N16" s="208" t="s">
        <v>28</v>
      </c>
      <c r="O16" s="204"/>
      <c r="P16" s="204"/>
      <c r="Q16" s="204"/>
      <c r="R16" s="204"/>
      <c r="S16" s="204"/>
      <c r="T16" s="205"/>
      <c r="U16" s="208" t="s">
        <v>28</v>
      </c>
      <c r="V16" s="204"/>
      <c r="W16" s="204"/>
      <c r="X16" s="204"/>
      <c r="Y16" s="204"/>
      <c r="Z16" s="204"/>
      <c r="AA16" s="205"/>
      <c r="AB16" s="208" t="s">
        <v>28</v>
      </c>
      <c r="AC16" s="204"/>
      <c r="AD16" s="204"/>
      <c r="AE16" s="204"/>
      <c r="AF16" s="204"/>
      <c r="AG16" s="204"/>
      <c r="AH16" s="205"/>
    </row>
    <row r="17" ht="36.0" customHeight="1">
      <c r="B17" s="202"/>
      <c r="C17" s="202"/>
      <c r="D17" s="212" t="s">
        <v>327</v>
      </c>
      <c r="E17" s="204"/>
      <c r="F17" s="205"/>
      <c r="G17" s="202"/>
      <c r="H17" s="202"/>
      <c r="I17" s="202"/>
      <c r="J17" s="202"/>
      <c r="K17" s="212" t="s">
        <v>31</v>
      </c>
      <c r="L17" s="204"/>
      <c r="M17" s="205"/>
      <c r="N17" s="202"/>
      <c r="O17" s="202"/>
      <c r="P17" s="202"/>
      <c r="Q17" s="202"/>
      <c r="R17" s="212" t="s">
        <v>29</v>
      </c>
      <c r="S17" s="204"/>
      <c r="T17" s="205"/>
      <c r="U17" s="202"/>
      <c r="V17" s="202"/>
      <c r="W17" s="202"/>
      <c r="X17" s="202"/>
      <c r="Y17" s="212" t="s">
        <v>30</v>
      </c>
      <c r="Z17" s="204"/>
      <c r="AA17" s="205"/>
      <c r="AB17" s="202"/>
      <c r="AC17" s="202"/>
      <c r="AD17" s="202"/>
      <c r="AE17" s="202"/>
      <c r="AF17" s="212" t="s">
        <v>327</v>
      </c>
      <c r="AG17" s="204"/>
      <c r="AH17" s="205"/>
    </row>
    <row r="18" ht="36.0" customHeight="1">
      <c r="B18" s="214" t="s">
        <v>49</v>
      </c>
      <c r="C18" s="205"/>
      <c r="D18" s="202"/>
      <c r="E18" s="202"/>
      <c r="F18" s="202"/>
      <c r="G18" s="214" t="s">
        <v>49</v>
      </c>
      <c r="H18" s="204"/>
      <c r="I18" s="204"/>
      <c r="J18" s="205"/>
      <c r="K18" s="202"/>
      <c r="L18" s="202"/>
      <c r="M18" s="202"/>
      <c r="N18" s="214" t="s">
        <v>49</v>
      </c>
      <c r="O18" s="204"/>
      <c r="P18" s="204"/>
      <c r="Q18" s="205"/>
      <c r="R18" s="202"/>
      <c r="S18" s="202"/>
      <c r="T18" s="202"/>
      <c r="U18" s="214" t="s">
        <v>49</v>
      </c>
      <c r="V18" s="204"/>
      <c r="W18" s="204"/>
      <c r="X18" s="205"/>
      <c r="Y18" s="202"/>
      <c r="Z18" s="202"/>
      <c r="AA18" s="202"/>
      <c r="AB18" s="214" t="s">
        <v>49</v>
      </c>
      <c r="AC18" s="204"/>
      <c r="AD18" s="204"/>
      <c r="AE18" s="205"/>
      <c r="AF18" s="202"/>
      <c r="AG18" s="202"/>
      <c r="AH18" s="202"/>
    </row>
    <row r="19" ht="36.0" customHeight="1">
      <c r="B19" s="202"/>
      <c r="C19" s="202"/>
      <c r="D19" s="216" t="s">
        <v>27</v>
      </c>
      <c r="E19" s="216" t="s">
        <v>27</v>
      </c>
      <c r="F19" s="216" t="s">
        <v>27</v>
      </c>
      <c r="G19" s="202"/>
      <c r="H19" s="202"/>
      <c r="I19" s="202"/>
      <c r="J19" s="202"/>
      <c r="K19" s="216" t="s">
        <v>27</v>
      </c>
      <c r="L19" s="216" t="s">
        <v>27</v>
      </c>
      <c r="M19" s="216" t="s">
        <v>27</v>
      </c>
      <c r="N19" s="202"/>
      <c r="O19" s="202"/>
      <c r="P19" s="202"/>
      <c r="Q19" s="202"/>
      <c r="R19" s="216" t="s">
        <v>27</v>
      </c>
      <c r="S19" s="216" t="s">
        <v>27</v>
      </c>
      <c r="T19" s="216" t="s">
        <v>27</v>
      </c>
      <c r="U19" s="202"/>
      <c r="V19" s="202"/>
      <c r="W19" s="202"/>
      <c r="X19" s="202"/>
      <c r="Y19" s="216" t="s">
        <v>27</v>
      </c>
      <c r="Z19" s="216" t="s">
        <v>27</v>
      </c>
      <c r="AA19" s="216" t="s">
        <v>27</v>
      </c>
      <c r="AB19" s="202"/>
      <c r="AC19" s="202"/>
      <c r="AD19" s="202"/>
      <c r="AE19" s="202"/>
      <c r="AF19" s="216" t="s">
        <v>27</v>
      </c>
      <c r="AG19" s="216" t="s">
        <v>27</v>
      </c>
      <c r="AH19" s="216" t="s">
        <v>27</v>
      </c>
    </row>
    <row r="20" ht="36.0" customHeight="1">
      <c r="B20" s="212" t="s">
        <v>39</v>
      </c>
      <c r="C20" s="205"/>
      <c r="D20" s="217"/>
      <c r="E20" s="204"/>
      <c r="F20" s="205"/>
      <c r="G20" s="212" t="s">
        <v>39</v>
      </c>
      <c r="H20" s="204"/>
      <c r="I20" s="204"/>
      <c r="J20" s="205"/>
      <c r="K20" s="217"/>
      <c r="L20" s="204"/>
      <c r="M20" s="205"/>
      <c r="N20" s="212" t="s">
        <v>39</v>
      </c>
      <c r="O20" s="204"/>
      <c r="P20" s="204"/>
      <c r="Q20" s="205"/>
      <c r="R20" s="217"/>
      <c r="S20" s="204"/>
      <c r="T20" s="205"/>
      <c r="U20" s="212" t="s">
        <v>39</v>
      </c>
      <c r="V20" s="204"/>
      <c r="W20" s="204"/>
      <c r="X20" s="205"/>
      <c r="Y20" s="217"/>
      <c r="Z20" s="204"/>
      <c r="AA20" s="205"/>
      <c r="AB20" s="212" t="s">
        <v>39</v>
      </c>
      <c r="AC20" s="204"/>
      <c r="AD20" s="204"/>
      <c r="AE20" s="205"/>
      <c r="AF20" s="217"/>
      <c r="AG20" s="204"/>
      <c r="AH20" s="205"/>
    </row>
    <row r="21" ht="36.0" customHeight="1">
      <c r="B21" s="213" t="s">
        <v>47</v>
      </c>
      <c r="C21" s="213" t="s">
        <v>47</v>
      </c>
      <c r="D21" s="218" t="s">
        <v>47</v>
      </c>
      <c r="E21" s="218" t="s">
        <v>47</v>
      </c>
      <c r="F21" s="218" t="s">
        <v>47</v>
      </c>
      <c r="G21" s="213" t="s">
        <v>47</v>
      </c>
      <c r="H21" s="213" t="s">
        <v>47</v>
      </c>
      <c r="I21" s="213" t="s">
        <v>47</v>
      </c>
      <c r="J21" s="213" t="s">
        <v>47</v>
      </c>
      <c r="K21" s="218" t="s">
        <v>47</v>
      </c>
      <c r="L21" s="218" t="s">
        <v>47</v>
      </c>
      <c r="M21" s="218" t="s">
        <v>47</v>
      </c>
      <c r="N21" s="213" t="s">
        <v>47</v>
      </c>
      <c r="O21" s="213" t="s">
        <v>47</v>
      </c>
      <c r="P21" s="213" t="s">
        <v>47</v>
      </c>
      <c r="Q21" s="213" t="s">
        <v>47</v>
      </c>
      <c r="R21" s="218" t="s">
        <v>47</v>
      </c>
      <c r="S21" s="218" t="s">
        <v>47</v>
      </c>
      <c r="T21" s="218" t="s">
        <v>47</v>
      </c>
      <c r="U21" s="213" t="s">
        <v>47</v>
      </c>
      <c r="V21" s="213" t="s">
        <v>47</v>
      </c>
      <c r="W21" s="213" t="s">
        <v>47</v>
      </c>
      <c r="X21" s="213" t="s">
        <v>47</v>
      </c>
      <c r="Y21" s="218" t="s">
        <v>47</v>
      </c>
      <c r="Z21" s="218" t="s">
        <v>47</v>
      </c>
      <c r="AA21" s="218" t="s">
        <v>47</v>
      </c>
      <c r="AB21" s="213" t="s">
        <v>47</v>
      </c>
      <c r="AC21" s="213" t="s">
        <v>47</v>
      </c>
      <c r="AD21" s="213" t="s">
        <v>47</v>
      </c>
      <c r="AE21" s="213" t="s">
        <v>47</v>
      </c>
      <c r="AF21" s="218" t="s">
        <v>47</v>
      </c>
      <c r="AG21" s="218" t="s">
        <v>47</v>
      </c>
      <c r="AH21" s="218" t="s">
        <v>47</v>
      </c>
    </row>
    <row r="22">
      <c r="B22" s="202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</row>
    <row r="23">
      <c r="B23" s="215" t="s">
        <v>33</v>
      </c>
      <c r="C23" s="204"/>
      <c r="D23" s="204"/>
      <c r="E23" s="204"/>
      <c r="F23" s="205"/>
      <c r="G23" s="215" t="s">
        <v>33</v>
      </c>
      <c r="H23" s="204"/>
      <c r="I23" s="204"/>
      <c r="J23" s="204"/>
      <c r="K23" s="204"/>
      <c r="L23" s="204"/>
      <c r="M23" s="205"/>
      <c r="N23" s="215" t="s">
        <v>33</v>
      </c>
      <c r="O23" s="204"/>
      <c r="P23" s="204"/>
      <c r="Q23" s="204"/>
      <c r="R23" s="204"/>
      <c r="S23" s="204"/>
      <c r="T23" s="205"/>
      <c r="U23" s="215" t="s">
        <v>33</v>
      </c>
      <c r="V23" s="204"/>
      <c r="W23" s="204"/>
      <c r="X23" s="204"/>
      <c r="Y23" s="204"/>
      <c r="Z23" s="204"/>
      <c r="AA23" s="205"/>
      <c r="AB23" s="215" t="s">
        <v>33</v>
      </c>
      <c r="AC23" s="204"/>
      <c r="AD23" s="204"/>
      <c r="AE23" s="204"/>
      <c r="AF23" s="204"/>
      <c r="AG23" s="204"/>
      <c r="AH23" s="205"/>
    </row>
    <row r="24">
      <c r="B24" s="202"/>
      <c r="C24" s="202"/>
      <c r="D24" s="215" t="s">
        <v>32</v>
      </c>
      <c r="E24" s="204"/>
      <c r="F24" s="205"/>
      <c r="G24" s="202"/>
      <c r="H24" s="202"/>
      <c r="I24" s="202"/>
      <c r="J24" s="202"/>
      <c r="K24" s="215" t="s">
        <v>32</v>
      </c>
      <c r="L24" s="204"/>
      <c r="M24" s="205"/>
      <c r="N24" s="202"/>
      <c r="O24" s="202"/>
      <c r="P24" s="202"/>
      <c r="Q24" s="202"/>
      <c r="R24" s="215" t="s">
        <v>32</v>
      </c>
      <c r="S24" s="204"/>
      <c r="T24" s="205"/>
      <c r="U24" s="202"/>
      <c r="V24" s="202"/>
      <c r="W24" s="202"/>
      <c r="X24" s="202"/>
      <c r="Y24" s="215" t="s">
        <v>32</v>
      </c>
      <c r="Z24" s="204"/>
      <c r="AA24" s="205"/>
      <c r="AB24" s="202"/>
      <c r="AC24" s="202"/>
      <c r="AD24" s="202"/>
      <c r="AE24" s="202"/>
      <c r="AF24" s="215" t="s">
        <v>32</v>
      </c>
      <c r="AG24" s="204"/>
      <c r="AH24" s="205"/>
    </row>
    <row r="25">
      <c r="B25" s="202"/>
      <c r="C25" s="202"/>
      <c r="D25" s="202"/>
      <c r="E25" s="215" t="s">
        <v>40</v>
      </c>
      <c r="F25" s="205"/>
      <c r="G25" s="202"/>
      <c r="H25" s="202"/>
      <c r="I25" s="202"/>
      <c r="J25" s="202"/>
      <c r="K25" s="202"/>
      <c r="L25" s="215" t="s">
        <v>40</v>
      </c>
      <c r="M25" s="205"/>
      <c r="N25" s="202"/>
      <c r="O25" s="202"/>
      <c r="P25" s="202"/>
      <c r="Q25" s="202"/>
      <c r="R25" s="202"/>
      <c r="S25" s="215" t="s">
        <v>40</v>
      </c>
      <c r="T25" s="205"/>
      <c r="U25" s="202"/>
      <c r="V25" s="202"/>
      <c r="W25" s="202"/>
      <c r="X25" s="202"/>
      <c r="Y25" s="202"/>
      <c r="Z25" s="215" t="s">
        <v>40</v>
      </c>
      <c r="AA25" s="205"/>
      <c r="AB25" s="202"/>
      <c r="AC25" s="202"/>
      <c r="AD25" s="202"/>
      <c r="AE25" s="202"/>
      <c r="AF25" s="202"/>
      <c r="AG25" s="215" t="s">
        <v>40</v>
      </c>
      <c r="AH25" s="205"/>
    </row>
    <row r="29"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8.88"/>
    <col customWidth="1" min="8" max="8" width="2.5"/>
    <col customWidth="1" min="9" max="13" width="8.88"/>
    <col customWidth="1" min="14" max="14" width="2.5"/>
    <col customWidth="1" min="15" max="19" width="8.88"/>
    <col customWidth="1" min="20" max="26" width="7.63"/>
  </cols>
  <sheetData>
    <row r="1">
      <c r="A1" s="219" t="s">
        <v>328</v>
      </c>
      <c r="H1" s="220" t="s">
        <v>329</v>
      </c>
      <c r="I1" s="221"/>
    </row>
    <row r="3">
      <c r="B3" s="222" t="s">
        <v>330</v>
      </c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</row>
    <row r="4">
      <c r="C4" s="223" t="s">
        <v>331</v>
      </c>
      <c r="D4" s="223"/>
      <c r="E4" s="223"/>
      <c r="F4" s="223"/>
      <c r="G4" s="223"/>
      <c r="I4" s="224" t="s">
        <v>332</v>
      </c>
      <c r="J4" s="224"/>
      <c r="K4" s="224"/>
      <c r="L4" s="224"/>
      <c r="M4" s="224"/>
      <c r="O4" s="225" t="s">
        <v>333</v>
      </c>
      <c r="P4" s="225"/>
      <c r="Q4" s="225"/>
      <c r="R4" s="225"/>
      <c r="S4" s="225"/>
    </row>
    <row r="5">
      <c r="B5" s="134" t="s">
        <v>334</v>
      </c>
      <c r="C5" s="226" t="s">
        <v>335</v>
      </c>
      <c r="D5" s="226" t="s">
        <v>336</v>
      </c>
      <c r="E5" s="226" t="s">
        <v>337</v>
      </c>
      <c r="F5" s="226" t="s">
        <v>338</v>
      </c>
      <c r="G5" s="226" t="s">
        <v>85</v>
      </c>
      <c r="I5" s="227" t="s">
        <v>335</v>
      </c>
      <c r="J5" s="227" t="s">
        <v>336</v>
      </c>
      <c r="K5" s="227" t="s">
        <v>337</v>
      </c>
      <c r="L5" s="227" t="s">
        <v>338</v>
      </c>
      <c r="M5" s="227" t="s">
        <v>85</v>
      </c>
      <c r="O5" s="228" t="s">
        <v>335</v>
      </c>
      <c r="P5" s="228" t="s">
        <v>336</v>
      </c>
      <c r="Q5" s="228" t="s">
        <v>337</v>
      </c>
      <c r="R5" s="228" t="s">
        <v>338</v>
      </c>
      <c r="S5" s="228" t="s">
        <v>85</v>
      </c>
    </row>
    <row r="6">
      <c r="B6" s="229" t="s">
        <v>137</v>
      </c>
    </row>
    <row r="7">
      <c r="B7" s="230" t="s">
        <v>51</v>
      </c>
      <c r="C7" s="231">
        <v>0.0</v>
      </c>
      <c r="D7" s="231">
        <v>18.76</v>
      </c>
      <c r="E7" s="231">
        <v>233.28</v>
      </c>
      <c r="F7" s="231">
        <v>112.93</v>
      </c>
      <c r="G7" s="232">
        <f t="shared" ref="G7:G11" si="2">SUM(C7:F7)</f>
        <v>364.97</v>
      </c>
      <c r="I7" s="231">
        <v>0.0</v>
      </c>
      <c r="J7" s="231">
        <v>18.76</v>
      </c>
      <c r="K7" s="231">
        <v>153.69</v>
      </c>
      <c r="L7" s="231">
        <v>168.63</v>
      </c>
      <c r="M7" s="232">
        <f t="shared" ref="M7:M11" si="3">SUM(I7:L7)</f>
        <v>341.08</v>
      </c>
      <c r="O7" s="233" t="str">
        <f t="shared" ref="O7:S7" si="1">IFERROR(I7/C7-1,"")</f>
        <v/>
      </c>
      <c r="P7" s="233">
        <f t="shared" si="1"/>
        <v>0</v>
      </c>
      <c r="Q7" s="233">
        <f t="shared" si="1"/>
        <v>-0.3411779835</v>
      </c>
      <c r="R7" s="233">
        <f t="shared" si="1"/>
        <v>0.4932258921</v>
      </c>
      <c r="S7" s="233">
        <f t="shared" si="1"/>
        <v>-0.06545743486</v>
      </c>
    </row>
    <row r="8">
      <c r="B8" s="230" t="s">
        <v>52</v>
      </c>
      <c r="C8" s="231">
        <v>0.0</v>
      </c>
      <c r="D8" s="231">
        <v>23.59</v>
      </c>
      <c r="E8" s="231">
        <v>324.21</v>
      </c>
      <c r="F8" s="231">
        <v>214.65</v>
      </c>
      <c r="G8" s="232">
        <f t="shared" si="2"/>
        <v>562.45</v>
      </c>
      <c r="I8" s="231">
        <v>0.0</v>
      </c>
      <c r="J8" s="231">
        <v>23.59</v>
      </c>
      <c r="K8" s="231">
        <v>204.45</v>
      </c>
      <c r="L8" s="231">
        <v>359.91</v>
      </c>
      <c r="M8" s="232">
        <f t="shared" si="3"/>
        <v>587.95</v>
      </c>
      <c r="O8" s="233" t="str">
        <f t="shared" ref="O8:S8" si="4">IFERROR(I8/C8-1,"")</f>
        <v/>
      </c>
      <c r="P8" s="233">
        <f t="shared" si="4"/>
        <v>0</v>
      </c>
      <c r="Q8" s="233">
        <f t="shared" si="4"/>
        <v>-0.36939021</v>
      </c>
      <c r="R8" s="233">
        <f t="shared" si="4"/>
        <v>0.6767295597</v>
      </c>
      <c r="S8" s="233">
        <f t="shared" si="4"/>
        <v>0.04533736332</v>
      </c>
    </row>
    <row r="9">
      <c r="B9" s="230" t="s">
        <v>53</v>
      </c>
      <c r="C9" s="231">
        <v>0.0</v>
      </c>
      <c r="D9" s="231">
        <v>22.59</v>
      </c>
      <c r="E9" s="231">
        <v>469.48</v>
      </c>
      <c r="F9" s="231">
        <v>362.63</v>
      </c>
      <c r="G9" s="232">
        <f t="shared" si="2"/>
        <v>854.7</v>
      </c>
      <c r="I9" s="231">
        <v>0.0</v>
      </c>
      <c r="J9" s="231">
        <v>22.59</v>
      </c>
      <c r="K9" s="231">
        <v>286.94</v>
      </c>
      <c r="L9" s="231">
        <v>565.02</v>
      </c>
      <c r="M9" s="232">
        <f t="shared" si="3"/>
        <v>874.55</v>
      </c>
      <c r="O9" s="233" t="str">
        <f t="shared" ref="O9:S9" si="5">IFERROR(I9/C9-1,"")</f>
        <v/>
      </c>
      <c r="P9" s="233">
        <f t="shared" si="5"/>
        <v>0</v>
      </c>
      <c r="Q9" s="233">
        <f t="shared" si="5"/>
        <v>-0.388813155</v>
      </c>
      <c r="R9" s="233">
        <f t="shared" si="5"/>
        <v>0.558117089</v>
      </c>
      <c r="S9" s="233">
        <f t="shared" si="5"/>
        <v>0.02322452322</v>
      </c>
    </row>
    <row r="10">
      <c r="B10" s="230" t="s">
        <v>54</v>
      </c>
      <c r="C10" s="231">
        <v>0.0</v>
      </c>
      <c r="D10" s="231">
        <v>29.92</v>
      </c>
      <c r="E10" s="231">
        <v>897.76</v>
      </c>
      <c r="F10" s="231">
        <v>703.13</v>
      </c>
      <c r="G10" s="232">
        <f t="shared" si="2"/>
        <v>1630.81</v>
      </c>
      <c r="I10" s="231">
        <v>0.0</v>
      </c>
      <c r="J10" s="231">
        <v>29.92</v>
      </c>
      <c r="K10" s="231">
        <v>533.22</v>
      </c>
      <c r="L10" s="231">
        <v>1006.31</v>
      </c>
      <c r="M10" s="232">
        <f t="shared" si="3"/>
        <v>1569.45</v>
      </c>
      <c r="O10" s="233" t="str">
        <f t="shared" ref="O10:S10" si="6">IFERROR(I10/C10-1,"")</f>
        <v/>
      </c>
      <c r="P10" s="233">
        <f t="shared" si="6"/>
        <v>0</v>
      </c>
      <c r="Q10" s="233">
        <f t="shared" si="6"/>
        <v>-0.4060550704</v>
      </c>
      <c r="R10" s="233">
        <f t="shared" si="6"/>
        <v>0.4311862671</v>
      </c>
      <c r="S10" s="233">
        <f t="shared" si="6"/>
        <v>-0.03762547446</v>
      </c>
    </row>
    <row r="11">
      <c r="B11" s="230" t="s">
        <v>55</v>
      </c>
      <c r="C11" s="231">
        <v>0.0</v>
      </c>
      <c r="D11" s="231">
        <v>39.15</v>
      </c>
      <c r="E11" s="231">
        <v>1451.85</v>
      </c>
      <c r="F11" s="231">
        <v>829.81</v>
      </c>
      <c r="G11" s="232">
        <f t="shared" si="2"/>
        <v>2320.81</v>
      </c>
      <c r="I11" s="231">
        <v>0.0</v>
      </c>
      <c r="J11" s="231">
        <v>39.15</v>
      </c>
      <c r="K11" s="231">
        <v>854.97</v>
      </c>
      <c r="L11" s="231">
        <v>1495.51</v>
      </c>
      <c r="M11" s="232">
        <f t="shared" si="3"/>
        <v>2389.63</v>
      </c>
      <c r="O11" s="233" t="str">
        <f t="shared" ref="O11:S11" si="7">IFERROR(I11/C11-1,"")</f>
        <v/>
      </c>
      <c r="P11" s="233">
        <f t="shared" si="7"/>
        <v>0</v>
      </c>
      <c r="Q11" s="233">
        <f t="shared" si="7"/>
        <v>-0.4111168509</v>
      </c>
      <c r="R11" s="233">
        <f t="shared" si="7"/>
        <v>0.8022318362</v>
      </c>
      <c r="S11" s="233">
        <f t="shared" si="7"/>
        <v>0.02965343996</v>
      </c>
    </row>
    <row r="12">
      <c r="B12" s="229" t="s">
        <v>339</v>
      </c>
    </row>
    <row r="13">
      <c r="B13" s="230" t="s">
        <v>51</v>
      </c>
      <c r="C13" s="231">
        <v>0.0</v>
      </c>
      <c r="D13" s="231">
        <v>35.31</v>
      </c>
      <c r="E13" s="231">
        <v>291.15</v>
      </c>
      <c r="F13" s="231">
        <v>176.02</v>
      </c>
      <c r="G13" s="232">
        <f t="shared" ref="G13:G17" si="9">SUM(C13:F13)</f>
        <v>502.48</v>
      </c>
      <c r="I13" s="231">
        <v>0.0</v>
      </c>
      <c r="J13" s="231">
        <v>35.31</v>
      </c>
      <c r="K13" s="231">
        <v>192.91</v>
      </c>
      <c r="L13" s="231">
        <v>243.45</v>
      </c>
      <c r="M13" s="232">
        <f t="shared" ref="M13:M17" si="10">SUM(I13:L13)</f>
        <v>471.67</v>
      </c>
      <c r="O13" s="233" t="str">
        <f t="shared" ref="O13:S13" si="8">IFERROR(I13/C13-1,"")</f>
        <v/>
      </c>
      <c r="P13" s="233">
        <f t="shared" si="8"/>
        <v>0</v>
      </c>
      <c r="Q13" s="233">
        <f t="shared" si="8"/>
        <v>-0.3374205736</v>
      </c>
      <c r="R13" s="233">
        <f t="shared" si="8"/>
        <v>0.383081468</v>
      </c>
      <c r="S13" s="233">
        <f t="shared" si="8"/>
        <v>-0.06131587327</v>
      </c>
    </row>
    <row r="14">
      <c r="B14" s="230" t="s">
        <v>52</v>
      </c>
      <c r="C14" s="231">
        <v>0.0</v>
      </c>
      <c r="D14" s="231">
        <v>28.24</v>
      </c>
      <c r="E14" s="231">
        <v>312.21</v>
      </c>
      <c r="F14" s="231">
        <v>250.36</v>
      </c>
      <c r="G14" s="232">
        <f t="shared" si="9"/>
        <v>590.81</v>
      </c>
      <c r="I14" s="231">
        <v>0.0</v>
      </c>
      <c r="J14" s="231">
        <v>28.24</v>
      </c>
      <c r="K14" s="231">
        <v>197.9</v>
      </c>
      <c r="L14" s="231">
        <v>403.19</v>
      </c>
      <c r="M14" s="232">
        <f t="shared" si="10"/>
        <v>629.33</v>
      </c>
      <c r="O14" s="233" t="str">
        <f t="shared" ref="O14:S14" si="11">IFERROR(I14/C14-1,"")</f>
        <v/>
      </c>
      <c r="P14" s="233">
        <f t="shared" si="11"/>
        <v>0</v>
      </c>
      <c r="Q14" s="233">
        <f t="shared" si="11"/>
        <v>-0.3661317703</v>
      </c>
      <c r="R14" s="233">
        <f t="shared" si="11"/>
        <v>0.610440965</v>
      </c>
      <c r="S14" s="233">
        <f t="shared" si="11"/>
        <v>0.06519862562</v>
      </c>
    </row>
    <row r="15">
      <c r="B15" s="230" t="s">
        <v>53</v>
      </c>
      <c r="C15" s="231">
        <v>0.0</v>
      </c>
      <c r="D15" s="231">
        <v>23.91</v>
      </c>
      <c r="E15" s="231">
        <v>420.37</v>
      </c>
      <c r="F15" s="231">
        <v>380.35</v>
      </c>
      <c r="G15" s="232">
        <f t="shared" si="9"/>
        <v>824.63</v>
      </c>
      <c r="I15" s="231">
        <v>0.0</v>
      </c>
      <c r="J15" s="231">
        <v>23.91</v>
      </c>
      <c r="K15" s="231">
        <v>254.22</v>
      </c>
      <c r="L15" s="231">
        <v>579.71</v>
      </c>
      <c r="M15" s="232">
        <f t="shared" si="10"/>
        <v>857.84</v>
      </c>
      <c r="O15" s="233" t="str">
        <f t="shared" ref="O15:S15" si="12">IFERROR(I15/C15-1,"")</f>
        <v/>
      </c>
      <c r="P15" s="233">
        <f t="shared" si="12"/>
        <v>0</v>
      </c>
      <c r="Q15" s="233">
        <f t="shared" si="12"/>
        <v>-0.3952470443</v>
      </c>
      <c r="R15" s="233">
        <f t="shared" si="12"/>
        <v>0.5241488103</v>
      </c>
      <c r="S15" s="233">
        <f t="shared" si="12"/>
        <v>0.04027260711</v>
      </c>
    </row>
    <row r="16">
      <c r="B16" s="230" t="s">
        <v>54</v>
      </c>
      <c r="C16" s="231">
        <v>0.0</v>
      </c>
      <c r="D16" s="231">
        <v>24.96</v>
      </c>
      <c r="E16" s="231">
        <v>743.95</v>
      </c>
      <c r="F16" s="231">
        <v>664.93</v>
      </c>
      <c r="G16" s="232">
        <f t="shared" si="9"/>
        <v>1433.84</v>
      </c>
      <c r="I16" s="231">
        <v>0.0</v>
      </c>
      <c r="J16" s="231">
        <v>24.96</v>
      </c>
      <c r="K16" s="231">
        <v>435.46</v>
      </c>
      <c r="L16" s="231">
        <v>944.82</v>
      </c>
      <c r="M16" s="232">
        <f t="shared" si="10"/>
        <v>1405.24</v>
      </c>
      <c r="O16" s="233" t="str">
        <f t="shared" ref="O16:S16" si="13">IFERROR(I16/C16-1,"")</f>
        <v/>
      </c>
      <c r="P16" s="233">
        <f t="shared" si="13"/>
        <v>0</v>
      </c>
      <c r="Q16" s="233">
        <f t="shared" si="13"/>
        <v>-0.414664964</v>
      </c>
      <c r="R16" s="233">
        <f t="shared" si="13"/>
        <v>0.4209315266</v>
      </c>
      <c r="S16" s="233">
        <f t="shared" si="13"/>
        <v>-0.01994643754</v>
      </c>
    </row>
    <row r="17">
      <c r="B17" s="230" t="s">
        <v>55</v>
      </c>
      <c r="C17" s="231">
        <v>0.0</v>
      </c>
      <c r="D17" s="231">
        <v>23.8</v>
      </c>
      <c r="E17" s="231">
        <v>1257.04</v>
      </c>
      <c r="F17" s="231">
        <v>810.4</v>
      </c>
      <c r="G17" s="232">
        <f t="shared" si="9"/>
        <v>2091.24</v>
      </c>
      <c r="I17" s="231">
        <v>0.0</v>
      </c>
      <c r="J17" s="231">
        <v>23.8</v>
      </c>
      <c r="K17" s="231">
        <v>726.48</v>
      </c>
      <c r="L17" s="231">
        <v>1546.55</v>
      </c>
      <c r="M17" s="232">
        <f t="shared" si="10"/>
        <v>2296.83</v>
      </c>
      <c r="O17" s="233" t="str">
        <f t="shared" ref="O17:S17" si="14">IFERROR(I17/C17-1,"")</f>
        <v/>
      </c>
      <c r="P17" s="233">
        <f t="shared" si="14"/>
        <v>0</v>
      </c>
      <c r="Q17" s="233">
        <f t="shared" si="14"/>
        <v>-0.4220708967</v>
      </c>
      <c r="R17" s="233">
        <f t="shared" si="14"/>
        <v>0.9083785785</v>
      </c>
      <c r="S17" s="233">
        <f t="shared" si="14"/>
        <v>0.09831009353</v>
      </c>
    </row>
    <row r="20">
      <c r="B20" s="222" t="s">
        <v>340</v>
      </c>
      <c r="C20" s="222"/>
      <c r="D20" s="222"/>
      <c r="E20" s="222"/>
      <c r="F20" s="222"/>
      <c r="G20" s="222"/>
      <c r="H20" s="222"/>
      <c r="I20" s="222"/>
      <c r="J20" s="222"/>
      <c r="K20" s="222"/>
      <c r="L20" s="222"/>
      <c r="M20" s="222"/>
      <c r="N20" s="222"/>
      <c r="O20" s="222"/>
      <c r="P20" s="222"/>
      <c r="Q20" s="222"/>
      <c r="R20" s="222"/>
      <c r="S20" s="222"/>
    </row>
    <row r="21" ht="15.75" customHeight="1">
      <c r="C21" s="223" t="s">
        <v>331</v>
      </c>
      <c r="D21" s="223"/>
      <c r="E21" s="223"/>
      <c r="F21" s="223"/>
      <c r="G21" s="223"/>
      <c r="I21" s="224" t="s">
        <v>332</v>
      </c>
      <c r="J21" s="224"/>
      <c r="K21" s="224"/>
      <c r="L21" s="224"/>
      <c r="M21" s="224"/>
      <c r="O21" s="225" t="s">
        <v>333</v>
      </c>
      <c r="P21" s="225"/>
      <c r="Q21" s="225"/>
      <c r="R21" s="225"/>
      <c r="S21" s="225"/>
    </row>
    <row r="22" ht="15.75" customHeight="1">
      <c r="B22" s="134" t="s">
        <v>334</v>
      </c>
      <c r="C22" s="226" t="s">
        <v>335</v>
      </c>
      <c r="D22" s="226" t="s">
        <v>336</v>
      </c>
      <c r="E22" s="226" t="s">
        <v>337</v>
      </c>
      <c r="F22" s="226" t="s">
        <v>338</v>
      </c>
      <c r="G22" s="226" t="s">
        <v>85</v>
      </c>
      <c r="I22" s="227" t="s">
        <v>335</v>
      </c>
      <c r="J22" s="227" t="s">
        <v>336</v>
      </c>
      <c r="K22" s="227" t="s">
        <v>337</v>
      </c>
      <c r="L22" s="227" t="s">
        <v>338</v>
      </c>
      <c r="M22" s="227" t="s">
        <v>85</v>
      </c>
      <c r="O22" s="228" t="s">
        <v>335</v>
      </c>
      <c r="P22" s="228" t="s">
        <v>336</v>
      </c>
      <c r="Q22" s="228" t="s">
        <v>337</v>
      </c>
      <c r="R22" s="228" t="s">
        <v>338</v>
      </c>
      <c r="S22" s="228" t="s">
        <v>85</v>
      </c>
    </row>
    <row r="23" ht="15.75" customHeight="1">
      <c r="B23" s="229" t="s">
        <v>137</v>
      </c>
    </row>
    <row r="24" ht="15.75" customHeight="1">
      <c r="B24" s="230" t="s">
        <v>51</v>
      </c>
      <c r="C24" s="231">
        <v>0.0</v>
      </c>
      <c r="D24" s="231">
        <v>0.57</v>
      </c>
      <c r="E24" s="231">
        <v>2.88</v>
      </c>
      <c r="F24" s="231">
        <v>2.18</v>
      </c>
      <c r="G24" s="232">
        <f t="shared" ref="G24:G28" si="16">SUM(C24:F24)</f>
        <v>5.63</v>
      </c>
      <c r="I24" s="231">
        <v>0.0</v>
      </c>
      <c r="J24" s="231">
        <v>0.57</v>
      </c>
      <c r="K24" s="231">
        <v>2.88</v>
      </c>
      <c r="L24" s="231">
        <v>5.65</v>
      </c>
      <c r="M24" s="232">
        <f t="shared" ref="M24:M28" si="17">SUM(I24:L24)</f>
        <v>9.1</v>
      </c>
      <c r="O24" s="233" t="str">
        <f t="shared" ref="O24:S24" si="15">IFERROR(I24/C24-1,"")</f>
        <v/>
      </c>
      <c r="P24" s="233">
        <f t="shared" si="15"/>
        <v>0</v>
      </c>
      <c r="Q24" s="233">
        <f t="shared" si="15"/>
        <v>0</v>
      </c>
      <c r="R24" s="233">
        <f t="shared" si="15"/>
        <v>1.591743119</v>
      </c>
      <c r="S24" s="233">
        <f t="shared" si="15"/>
        <v>0.6163410302</v>
      </c>
    </row>
    <row r="25" ht="15.75" customHeight="1">
      <c r="B25" s="230" t="s">
        <v>52</v>
      </c>
      <c r="C25" s="231">
        <v>0.0</v>
      </c>
      <c r="D25" s="231">
        <v>0.63</v>
      </c>
      <c r="E25" s="231">
        <v>3.66</v>
      </c>
      <c r="F25" s="231">
        <v>3.22</v>
      </c>
      <c r="G25" s="232">
        <f t="shared" si="16"/>
        <v>7.51</v>
      </c>
      <c r="I25" s="231">
        <v>0.0</v>
      </c>
      <c r="J25" s="231">
        <v>0.63</v>
      </c>
      <c r="K25" s="231">
        <v>3.66</v>
      </c>
      <c r="L25" s="231">
        <v>12.65</v>
      </c>
      <c r="M25" s="232">
        <f t="shared" si="17"/>
        <v>16.94</v>
      </c>
      <c r="O25" s="233" t="str">
        <f t="shared" ref="O25:S25" si="18">IFERROR(I25/C25-1,"")</f>
        <v/>
      </c>
      <c r="P25" s="233">
        <f t="shared" si="18"/>
        <v>0</v>
      </c>
      <c r="Q25" s="233">
        <f t="shared" si="18"/>
        <v>0</v>
      </c>
      <c r="R25" s="233">
        <f t="shared" si="18"/>
        <v>2.928571429</v>
      </c>
      <c r="S25" s="233">
        <f t="shared" si="18"/>
        <v>1.255659121</v>
      </c>
    </row>
    <row r="26" ht="15.75" customHeight="1">
      <c r="B26" s="230" t="s">
        <v>53</v>
      </c>
      <c r="C26" s="231">
        <v>0.0</v>
      </c>
      <c r="D26" s="231">
        <v>0.57</v>
      </c>
      <c r="E26" s="231">
        <v>5.11</v>
      </c>
      <c r="F26" s="231">
        <v>3.82</v>
      </c>
      <c r="G26" s="232">
        <f t="shared" si="16"/>
        <v>9.5</v>
      </c>
      <c r="I26" s="231">
        <v>0.0</v>
      </c>
      <c r="J26" s="231">
        <v>0.57</v>
      </c>
      <c r="K26" s="231">
        <v>5.11</v>
      </c>
      <c r="L26" s="231">
        <v>16.63</v>
      </c>
      <c r="M26" s="232">
        <f t="shared" si="17"/>
        <v>22.31</v>
      </c>
      <c r="O26" s="233" t="str">
        <f t="shared" ref="O26:S26" si="19">IFERROR(I26/C26-1,"")</f>
        <v/>
      </c>
      <c r="P26" s="233">
        <f t="shared" si="19"/>
        <v>0</v>
      </c>
      <c r="Q26" s="233">
        <f t="shared" si="19"/>
        <v>0</v>
      </c>
      <c r="R26" s="233">
        <f t="shared" si="19"/>
        <v>3.353403141</v>
      </c>
      <c r="S26" s="233">
        <f t="shared" si="19"/>
        <v>1.348421053</v>
      </c>
    </row>
    <row r="27" ht="15.75" customHeight="1">
      <c r="B27" s="230" t="s">
        <v>54</v>
      </c>
      <c r="C27" s="231">
        <v>0.0</v>
      </c>
      <c r="D27" s="231">
        <v>0.7</v>
      </c>
      <c r="E27" s="231">
        <v>9.24</v>
      </c>
      <c r="F27" s="231">
        <v>5.2</v>
      </c>
      <c r="G27" s="232">
        <f t="shared" si="16"/>
        <v>15.14</v>
      </c>
      <c r="I27" s="231">
        <v>0.0</v>
      </c>
      <c r="J27" s="231">
        <v>0.7</v>
      </c>
      <c r="K27" s="231">
        <v>9.24</v>
      </c>
      <c r="L27" s="231">
        <v>23.99</v>
      </c>
      <c r="M27" s="232">
        <f t="shared" si="17"/>
        <v>33.93</v>
      </c>
      <c r="O27" s="233" t="str">
        <f t="shared" ref="O27:S27" si="20">IFERROR(I27/C27-1,"")</f>
        <v/>
      </c>
      <c r="P27" s="233">
        <f t="shared" si="20"/>
        <v>0</v>
      </c>
      <c r="Q27" s="233">
        <f t="shared" si="20"/>
        <v>0</v>
      </c>
      <c r="R27" s="233">
        <f t="shared" si="20"/>
        <v>3.613461538</v>
      </c>
      <c r="S27" s="233">
        <f t="shared" si="20"/>
        <v>1.241083223</v>
      </c>
    </row>
    <row r="28" ht="15.75" customHeight="1">
      <c r="B28" s="230" t="s">
        <v>55</v>
      </c>
      <c r="C28" s="231">
        <v>0.0</v>
      </c>
      <c r="D28" s="231">
        <v>0.88</v>
      </c>
      <c r="E28" s="231">
        <v>14.32</v>
      </c>
      <c r="F28" s="231">
        <v>4.9</v>
      </c>
      <c r="G28" s="232">
        <f t="shared" si="16"/>
        <v>20.1</v>
      </c>
      <c r="I28" s="231">
        <v>0.0</v>
      </c>
      <c r="J28" s="231">
        <v>0.88</v>
      </c>
      <c r="K28" s="231">
        <v>14.32</v>
      </c>
      <c r="L28" s="231">
        <v>25.4</v>
      </c>
      <c r="M28" s="232">
        <f t="shared" si="17"/>
        <v>40.6</v>
      </c>
      <c r="O28" s="233" t="str">
        <f t="shared" ref="O28:S28" si="21">IFERROR(I28/C28-1,"")</f>
        <v/>
      </c>
      <c r="P28" s="233">
        <f t="shared" si="21"/>
        <v>0</v>
      </c>
      <c r="Q28" s="233">
        <f t="shared" si="21"/>
        <v>0</v>
      </c>
      <c r="R28" s="233">
        <f t="shared" si="21"/>
        <v>4.183673469</v>
      </c>
      <c r="S28" s="233">
        <f t="shared" si="21"/>
        <v>1.019900498</v>
      </c>
    </row>
    <row r="29" ht="15.75" customHeight="1">
      <c r="B29" s="229" t="s">
        <v>339</v>
      </c>
    </row>
    <row r="30" ht="15.75" customHeight="1">
      <c r="B30" s="230" t="s">
        <v>51</v>
      </c>
      <c r="C30" s="231">
        <v>0.0</v>
      </c>
      <c r="D30" s="231">
        <v>0.99</v>
      </c>
      <c r="E30" s="231">
        <v>3.32</v>
      </c>
      <c r="F30" s="231">
        <v>3.06</v>
      </c>
      <c r="G30" s="232">
        <f t="shared" ref="G30:G34" si="23">SUM(C30:F30)</f>
        <v>7.37</v>
      </c>
      <c r="I30" s="231">
        <v>0.0</v>
      </c>
      <c r="J30" s="231">
        <v>0.99</v>
      </c>
      <c r="K30" s="231">
        <v>3.32</v>
      </c>
      <c r="L30" s="231">
        <v>7.47</v>
      </c>
      <c r="M30" s="232">
        <f t="shared" ref="M30:M34" si="24">SUM(I30:L30)</f>
        <v>11.78</v>
      </c>
      <c r="O30" s="233" t="str">
        <f t="shared" ref="O30:S30" si="22">IFERROR(I30/C30-1,"")</f>
        <v/>
      </c>
      <c r="P30" s="233">
        <f t="shared" si="22"/>
        <v>0</v>
      </c>
      <c r="Q30" s="233">
        <f t="shared" si="22"/>
        <v>0</v>
      </c>
      <c r="R30" s="233">
        <f t="shared" si="22"/>
        <v>1.441176471</v>
      </c>
      <c r="S30" s="233">
        <f t="shared" si="22"/>
        <v>0.5983717775</v>
      </c>
    </row>
    <row r="31" ht="15.75" customHeight="1">
      <c r="B31" s="230" t="s">
        <v>52</v>
      </c>
      <c r="C31" s="231">
        <v>0.0</v>
      </c>
      <c r="D31" s="231">
        <v>0.74</v>
      </c>
      <c r="E31" s="231">
        <v>3.45</v>
      </c>
      <c r="F31" s="231">
        <v>3.97</v>
      </c>
      <c r="G31" s="232">
        <f t="shared" si="23"/>
        <v>8.16</v>
      </c>
      <c r="I31" s="231">
        <v>0.0</v>
      </c>
      <c r="J31" s="231">
        <v>0.74</v>
      </c>
      <c r="K31" s="231">
        <v>3.45</v>
      </c>
      <c r="L31" s="231">
        <v>13.87</v>
      </c>
      <c r="M31" s="232">
        <f t="shared" si="24"/>
        <v>18.06</v>
      </c>
      <c r="O31" s="233" t="str">
        <f t="shared" ref="O31:S31" si="25">IFERROR(I31/C31-1,"")</f>
        <v/>
      </c>
      <c r="P31" s="233">
        <f t="shared" si="25"/>
        <v>0</v>
      </c>
      <c r="Q31" s="233">
        <f t="shared" si="25"/>
        <v>0</v>
      </c>
      <c r="R31" s="233">
        <f t="shared" si="25"/>
        <v>2.493702771</v>
      </c>
      <c r="S31" s="233">
        <f t="shared" si="25"/>
        <v>1.213235294</v>
      </c>
    </row>
    <row r="32" ht="15.75" customHeight="1">
      <c r="B32" s="230" t="s">
        <v>53</v>
      </c>
      <c r="C32" s="231">
        <v>0.0</v>
      </c>
      <c r="D32" s="231">
        <v>0.59</v>
      </c>
      <c r="E32" s="231">
        <v>4.58</v>
      </c>
      <c r="F32" s="231">
        <v>4.76</v>
      </c>
      <c r="G32" s="232">
        <f t="shared" si="23"/>
        <v>9.93</v>
      </c>
      <c r="I32" s="231">
        <v>0.0</v>
      </c>
      <c r="J32" s="231">
        <v>0.59</v>
      </c>
      <c r="K32" s="231">
        <v>4.58</v>
      </c>
      <c r="L32" s="231">
        <v>17.42</v>
      </c>
      <c r="M32" s="232">
        <f t="shared" si="24"/>
        <v>22.59</v>
      </c>
      <c r="O32" s="233" t="str">
        <f t="shared" ref="O32:S32" si="26">IFERROR(I32/C32-1,"")</f>
        <v/>
      </c>
      <c r="P32" s="233">
        <f t="shared" si="26"/>
        <v>0</v>
      </c>
      <c r="Q32" s="233">
        <f t="shared" si="26"/>
        <v>0</v>
      </c>
      <c r="R32" s="233">
        <f t="shared" si="26"/>
        <v>2.659663866</v>
      </c>
      <c r="S32" s="233">
        <f t="shared" si="26"/>
        <v>1.274924471</v>
      </c>
    </row>
    <row r="33" ht="15.75" customHeight="1">
      <c r="B33" s="230" t="s">
        <v>54</v>
      </c>
      <c r="C33" s="231">
        <v>0.0</v>
      </c>
      <c r="D33" s="231">
        <v>0.57</v>
      </c>
      <c r="E33" s="231">
        <v>7.71</v>
      </c>
      <c r="F33" s="231">
        <v>6.37</v>
      </c>
      <c r="G33" s="232">
        <f t="shared" si="23"/>
        <v>14.65</v>
      </c>
      <c r="I33" s="231">
        <v>0.0</v>
      </c>
      <c r="J33" s="231">
        <v>0.57</v>
      </c>
      <c r="K33" s="231">
        <v>7.71</v>
      </c>
      <c r="L33" s="231">
        <v>24.15</v>
      </c>
      <c r="M33" s="232">
        <f t="shared" si="24"/>
        <v>32.43</v>
      </c>
      <c r="O33" s="233" t="str">
        <f t="shared" ref="O33:S33" si="27">IFERROR(I33/C33-1,"")</f>
        <v/>
      </c>
      <c r="P33" s="233">
        <f t="shared" si="27"/>
        <v>0</v>
      </c>
      <c r="Q33" s="233">
        <f t="shared" si="27"/>
        <v>0</v>
      </c>
      <c r="R33" s="233">
        <f t="shared" si="27"/>
        <v>2.791208791</v>
      </c>
      <c r="S33" s="233">
        <f t="shared" si="27"/>
        <v>1.213651877</v>
      </c>
    </row>
    <row r="34" ht="15.75" customHeight="1">
      <c r="B34" s="230" t="s">
        <v>55</v>
      </c>
      <c r="C34" s="231">
        <v>0.0</v>
      </c>
      <c r="D34" s="231">
        <v>0.5</v>
      </c>
      <c r="E34" s="231">
        <v>12.55</v>
      </c>
      <c r="F34" s="231">
        <v>6.69</v>
      </c>
      <c r="G34" s="232">
        <f t="shared" si="23"/>
        <v>19.74</v>
      </c>
      <c r="I34" s="231">
        <v>0.0</v>
      </c>
      <c r="J34" s="231">
        <v>0.5</v>
      </c>
      <c r="K34" s="231">
        <v>12.55</v>
      </c>
      <c r="L34" s="231">
        <v>28.66</v>
      </c>
      <c r="M34" s="232">
        <f t="shared" si="24"/>
        <v>41.71</v>
      </c>
      <c r="O34" s="233" t="str">
        <f t="shared" ref="O34:S34" si="28">IFERROR(I34/C34-1,"")</f>
        <v/>
      </c>
      <c r="P34" s="233">
        <f t="shared" si="28"/>
        <v>0</v>
      </c>
      <c r="Q34" s="233">
        <f t="shared" si="28"/>
        <v>0</v>
      </c>
      <c r="R34" s="233">
        <f t="shared" si="28"/>
        <v>3.284005979</v>
      </c>
      <c r="S34" s="233">
        <f t="shared" si="28"/>
        <v>1.112968592</v>
      </c>
    </row>
    <row r="35" ht="15.75" customHeight="1"/>
    <row r="36" ht="15.75" customHeight="1"/>
    <row r="37" ht="15.75" customHeight="1">
      <c r="B37" s="222" t="s">
        <v>341</v>
      </c>
      <c r="C37" s="222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</row>
    <row r="38" ht="15.75" customHeight="1">
      <c r="C38" s="223" t="s">
        <v>331</v>
      </c>
      <c r="D38" s="223"/>
      <c r="E38" s="223"/>
      <c r="F38" s="223"/>
      <c r="G38" s="223"/>
      <c r="I38" s="224" t="s">
        <v>332</v>
      </c>
      <c r="J38" s="224"/>
      <c r="K38" s="224"/>
      <c r="L38" s="224"/>
      <c r="M38" s="224"/>
      <c r="O38" s="225" t="s">
        <v>333</v>
      </c>
      <c r="P38" s="225"/>
      <c r="Q38" s="225"/>
      <c r="R38" s="225"/>
      <c r="S38" s="225"/>
    </row>
    <row r="39" ht="15.75" customHeight="1">
      <c r="B39" s="134" t="s">
        <v>334</v>
      </c>
      <c r="C39" s="226" t="s">
        <v>335</v>
      </c>
      <c r="D39" s="226" t="s">
        <v>336</v>
      </c>
      <c r="E39" s="226" t="s">
        <v>337</v>
      </c>
      <c r="F39" s="226" t="s">
        <v>338</v>
      </c>
      <c r="G39" s="226" t="s">
        <v>85</v>
      </c>
      <c r="I39" s="227" t="s">
        <v>335</v>
      </c>
      <c r="J39" s="227" t="s">
        <v>336</v>
      </c>
      <c r="K39" s="227" t="s">
        <v>337</v>
      </c>
      <c r="L39" s="227" t="s">
        <v>338</v>
      </c>
      <c r="M39" s="227" t="s">
        <v>85</v>
      </c>
      <c r="O39" s="228" t="s">
        <v>335</v>
      </c>
      <c r="P39" s="228" t="s">
        <v>336</v>
      </c>
      <c r="Q39" s="228" t="s">
        <v>337</v>
      </c>
      <c r="R39" s="228" t="s">
        <v>338</v>
      </c>
      <c r="S39" s="228" t="s">
        <v>85</v>
      </c>
    </row>
    <row r="40" ht="15.75" customHeight="1">
      <c r="B40" s="229" t="s">
        <v>137</v>
      </c>
    </row>
    <row r="41" ht="15.75" customHeight="1">
      <c r="B41" s="230" t="s">
        <v>51</v>
      </c>
      <c r="C41" s="231">
        <v>0.0</v>
      </c>
      <c r="D41" s="231">
        <v>0.6</v>
      </c>
      <c r="E41" s="231">
        <v>2.49</v>
      </c>
      <c r="F41" s="231">
        <v>1.7</v>
      </c>
      <c r="G41" s="232">
        <f t="shared" ref="G41:G45" si="30">SUM(C41:F41)</f>
        <v>4.79</v>
      </c>
      <c r="I41" s="231">
        <v>0.0</v>
      </c>
      <c r="J41" s="231">
        <v>0.6</v>
      </c>
      <c r="K41" s="231">
        <v>2.49</v>
      </c>
      <c r="L41" s="231">
        <v>1.82</v>
      </c>
      <c r="M41" s="232">
        <f t="shared" ref="M41:M45" si="31">SUM(I41:L41)</f>
        <v>4.91</v>
      </c>
      <c r="O41" s="233" t="str">
        <f t="shared" ref="O41:S41" si="29">IFERROR(I41/C41-1,"")</f>
        <v/>
      </c>
      <c r="P41" s="233">
        <f t="shared" si="29"/>
        <v>0</v>
      </c>
      <c r="Q41" s="233">
        <f t="shared" si="29"/>
        <v>0</v>
      </c>
      <c r="R41" s="233">
        <f t="shared" si="29"/>
        <v>0.07058823529</v>
      </c>
      <c r="S41" s="233">
        <f t="shared" si="29"/>
        <v>0.02505219207</v>
      </c>
    </row>
    <row r="42" ht="15.75" customHeight="1">
      <c r="B42" s="230" t="s">
        <v>52</v>
      </c>
      <c r="C42" s="231">
        <v>0.0</v>
      </c>
      <c r="D42" s="231">
        <v>0.64</v>
      </c>
      <c r="E42" s="231">
        <v>3.23</v>
      </c>
      <c r="F42" s="231">
        <v>3.05</v>
      </c>
      <c r="G42" s="232">
        <f t="shared" si="30"/>
        <v>6.92</v>
      </c>
      <c r="I42" s="231">
        <v>0.0</v>
      </c>
      <c r="J42" s="231">
        <v>0.64</v>
      </c>
      <c r="K42" s="231">
        <v>3.23</v>
      </c>
      <c r="L42" s="231">
        <v>4.71</v>
      </c>
      <c r="M42" s="232">
        <f t="shared" si="31"/>
        <v>8.58</v>
      </c>
      <c r="O42" s="233" t="str">
        <f t="shared" ref="O42:S42" si="32">IFERROR(I42/C42-1,"")</f>
        <v/>
      </c>
      <c r="P42" s="233">
        <f t="shared" si="32"/>
        <v>0</v>
      </c>
      <c r="Q42" s="233">
        <f t="shared" si="32"/>
        <v>0</v>
      </c>
      <c r="R42" s="233">
        <f t="shared" si="32"/>
        <v>0.5442622951</v>
      </c>
      <c r="S42" s="233">
        <f t="shared" si="32"/>
        <v>0.2398843931</v>
      </c>
    </row>
    <row r="43" ht="15.75" customHeight="1">
      <c r="B43" s="230" t="s">
        <v>53</v>
      </c>
      <c r="C43" s="231">
        <v>0.0</v>
      </c>
      <c r="D43" s="231">
        <v>0.55</v>
      </c>
      <c r="E43" s="231">
        <v>4.54</v>
      </c>
      <c r="F43" s="231">
        <v>4.19</v>
      </c>
      <c r="G43" s="232">
        <f t="shared" si="30"/>
        <v>9.28</v>
      </c>
      <c r="I43" s="231">
        <v>0.0</v>
      </c>
      <c r="J43" s="231">
        <v>0.55</v>
      </c>
      <c r="K43" s="231">
        <v>4.54</v>
      </c>
      <c r="L43" s="231">
        <v>8.0</v>
      </c>
      <c r="M43" s="232">
        <f t="shared" si="31"/>
        <v>13.09</v>
      </c>
      <c r="O43" s="233" t="str">
        <f t="shared" ref="O43:S43" si="33">IFERROR(I43/C43-1,"")</f>
        <v/>
      </c>
      <c r="P43" s="233">
        <f t="shared" si="33"/>
        <v>0</v>
      </c>
      <c r="Q43" s="233">
        <f t="shared" si="33"/>
        <v>0</v>
      </c>
      <c r="R43" s="233">
        <f t="shared" si="33"/>
        <v>0.9093078759</v>
      </c>
      <c r="S43" s="233">
        <f t="shared" si="33"/>
        <v>0.4105603448</v>
      </c>
    </row>
    <row r="44" ht="15.75" customHeight="1">
      <c r="B44" s="230" t="s">
        <v>54</v>
      </c>
      <c r="C44" s="231">
        <v>0.0</v>
      </c>
      <c r="D44" s="231">
        <v>0.68</v>
      </c>
      <c r="E44" s="231">
        <v>8.66</v>
      </c>
      <c r="F44" s="231">
        <v>5.63</v>
      </c>
      <c r="G44" s="232">
        <f t="shared" si="30"/>
        <v>14.97</v>
      </c>
      <c r="I44" s="231">
        <v>0.0</v>
      </c>
      <c r="J44" s="231">
        <v>0.68</v>
      </c>
      <c r="K44" s="231">
        <v>8.66</v>
      </c>
      <c r="L44" s="231">
        <v>13.59</v>
      </c>
      <c r="M44" s="232">
        <f t="shared" si="31"/>
        <v>22.93</v>
      </c>
      <c r="O44" s="233" t="str">
        <f t="shared" ref="O44:S44" si="34">IFERROR(I44/C44-1,"")</f>
        <v/>
      </c>
      <c r="P44" s="233">
        <f t="shared" si="34"/>
        <v>0</v>
      </c>
      <c r="Q44" s="233">
        <f t="shared" si="34"/>
        <v>0</v>
      </c>
      <c r="R44" s="233">
        <f t="shared" si="34"/>
        <v>1.413854352</v>
      </c>
      <c r="S44" s="233">
        <f t="shared" si="34"/>
        <v>0.5317301269</v>
      </c>
    </row>
    <row r="45" ht="15.75" customHeight="1">
      <c r="B45" s="230" t="s">
        <v>55</v>
      </c>
      <c r="C45" s="231">
        <v>0.0</v>
      </c>
      <c r="D45" s="231">
        <v>0.87</v>
      </c>
      <c r="E45" s="231">
        <v>14.45</v>
      </c>
      <c r="F45" s="231">
        <v>4.96</v>
      </c>
      <c r="G45" s="232">
        <f t="shared" si="30"/>
        <v>20.28</v>
      </c>
      <c r="I45" s="231">
        <v>0.0</v>
      </c>
      <c r="J45" s="231">
        <v>0.87</v>
      </c>
      <c r="K45" s="231">
        <v>14.45</v>
      </c>
      <c r="L45" s="231">
        <v>16.44</v>
      </c>
      <c r="M45" s="232">
        <f t="shared" si="31"/>
        <v>31.76</v>
      </c>
      <c r="O45" s="233" t="str">
        <f t="shared" ref="O45:S45" si="35">IFERROR(I45/C45-1,"")</f>
        <v/>
      </c>
      <c r="P45" s="233">
        <f t="shared" si="35"/>
        <v>0</v>
      </c>
      <c r="Q45" s="233">
        <f t="shared" si="35"/>
        <v>0</v>
      </c>
      <c r="R45" s="233">
        <f t="shared" si="35"/>
        <v>2.314516129</v>
      </c>
      <c r="S45" s="233">
        <f t="shared" si="35"/>
        <v>0.5660749507</v>
      </c>
    </row>
    <row r="46" ht="15.75" customHeight="1">
      <c r="B46" s="229" t="s">
        <v>339</v>
      </c>
    </row>
    <row r="47" ht="15.75" customHeight="1">
      <c r="B47" s="230" t="s">
        <v>51</v>
      </c>
      <c r="C47" s="231">
        <v>0.0</v>
      </c>
      <c r="D47" s="231">
        <v>1.03</v>
      </c>
      <c r="E47" s="231">
        <v>2.82</v>
      </c>
      <c r="F47" s="231">
        <v>2.52</v>
      </c>
      <c r="G47" s="232">
        <f t="shared" ref="G47:G51" si="37">SUM(C47:F47)</f>
        <v>6.37</v>
      </c>
      <c r="I47" s="231">
        <v>0.0</v>
      </c>
      <c r="J47" s="231">
        <v>1.03</v>
      </c>
      <c r="K47" s="231">
        <v>2.82</v>
      </c>
      <c r="L47" s="231">
        <v>2.72</v>
      </c>
      <c r="M47" s="232">
        <f t="shared" ref="M47:M51" si="38">SUM(I47:L47)</f>
        <v>6.57</v>
      </c>
      <c r="O47" s="233" t="str">
        <f t="shared" ref="O47:S47" si="36">IFERROR(I47/C47-1,"")</f>
        <v/>
      </c>
      <c r="P47" s="233">
        <f t="shared" si="36"/>
        <v>0</v>
      </c>
      <c r="Q47" s="233">
        <f t="shared" si="36"/>
        <v>0</v>
      </c>
      <c r="R47" s="233">
        <f t="shared" si="36"/>
        <v>0.07936507937</v>
      </c>
      <c r="S47" s="233">
        <f t="shared" si="36"/>
        <v>0.03139717425</v>
      </c>
    </row>
    <row r="48" ht="15.75" customHeight="1">
      <c r="B48" s="230" t="s">
        <v>52</v>
      </c>
      <c r="C48" s="231">
        <v>0.0</v>
      </c>
      <c r="D48" s="231">
        <v>0.74</v>
      </c>
      <c r="E48" s="231">
        <v>3.04</v>
      </c>
      <c r="F48" s="231">
        <v>3.79</v>
      </c>
      <c r="G48" s="232">
        <f t="shared" si="37"/>
        <v>7.57</v>
      </c>
      <c r="I48" s="231">
        <v>0.0</v>
      </c>
      <c r="J48" s="231">
        <v>0.74</v>
      </c>
      <c r="K48" s="231">
        <v>3.04</v>
      </c>
      <c r="L48" s="231">
        <v>5.62</v>
      </c>
      <c r="M48" s="232">
        <f t="shared" si="38"/>
        <v>9.4</v>
      </c>
      <c r="O48" s="233" t="str">
        <f t="shared" ref="O48:S48" si="39">IFERROR(I48/C48-1,"")</f>
        <v/>
      </c>
      <c r="P48" s="233">
        <f t="shared" si="39"/>
        <v>0</v>
      </c>
      <c r="Q48" s="233">
        <f t="shared" si="39"/>
        <v>0</v>
      </c>
      <c r="R48" s="233">
        <f t="shared" si="39"/>
        <v>0.4828496042</v>
      </c>
      <c r="S48" s="233">
        <f t="shared" si="39"/>
        <v>0.2417437252</v>
      </c>
    </row>
    <row r="49" ht="15.75" customHeight="1">
      <c r="B49" s="230" t="s">
        <v>53</v>
      </c>
      <c r="C49" s="231">
        <v>0.0</v>
      </c>
      <c r="D49" s="231">
        <v>0.59</v>
      </c>
      <c r="E49" s="231">
        <v>4.05</v>
      </c>
      <c r="F49" s="231">
        <v>4.89</v>
      </c>
      <c r="G49" s="232">
        <f t="shared" si="37"/>
        <v>9.53</v>
      </c>
      <c r="I49" s="231">
        <v>0.0</v>
      </c>
      <c r="J49" s="231">
        <v>0.59</v>
      </c>
      <c r="K49" s="231">
        <v>4.05</v>
      </c>
      <c r="L49" s="231">
        <v>8.72</v>
      </c>
      <c r="M49" s="232">
        <f t="shared" si="38"/>
        <v>13.36</v>
      </c>
      <c r="O49" s="233" t="str">
        <f t="shared" ref="O49:S49" si="40">IFERROR(I49/C49-1,"")</f>
        <v/>
      </c>
      <c r="P49" s="233">
        <f t="shared" si="40"/>
        <v>0</v>
      </c>
      <c r="Q49" s="233">
        <f t="shared" si="40"/>
        <v>0</v>
      </c>
      <c r="R49" s="233">
        <f t="shared" si="40"/>
        <v>0.7832310838</v>
      </c>
      <c r="S49" s="233">
        <f t="shared" si="40"/>
        <v>0.4018887723</v>
      </c>
    </row>
    <row r="50" ht="15.75" customHeight="1">
      <c r="B50" s="230" t="s">
        <v>54</v>
      </c>
      <c r="C50" s="231">
        <v>0.0</v>
      </c>
      <c r="D50" s="231">
        <v>0.58</v>
      </c>
      <c r="E50" s="231">
        <v>7.21</v>
      </c>
      <c r="F50" s="231">
        <v>6.46</v>
      </c>
      <c r="G50" s="232">
        <f t="shared" si="37"/>
        <v>14.25</v>
      </c>
      <c r="I50" s="231">
        <v>0.0</v>
      </c>
      <c r="J50" s="231">
        <v>0.58</v>
      </c>
      <c r="K50" s="231">
        <v>7.21</v>
      </c>
      <c r="L50" s="231">
        <v>13.99</v>
      </c>
      <c r="M50" s="232">
        <f t="shared" si="38"/>
        <v>21.78</v>
      </c>
      <c r="O50" s="233" t="str">
        <f t="shared" ref="O50:S50" si="41">IFERROR(I50/C50-1,"")</f>
        <v/>
      </c>
      <c r="P50" s="233">
        <f t="shared" si="41"/>
        <v>0</v>
      </c>
      <c r="Q50" s="233">
        <f t="shared" si="41"/>
        <v>0</v>
      </c>
      <c r="R50" s="233">
        <f t="shared" si="41"/>
        <v>1.165634675</v>
      </c>
      <c r="S50" s="233">
        <f t="shared" si="41"/>
        <v>0.5284210526</v>
      </c>
    </row>
    <row r="51" ht="15.75" customHeight="1">
      <c r="B51" s="230" t="s">
        <v>55</v>
      </c>
      <c r="C51" s="231">
        <v>0.0</v>
      </c>
      <c r="D51" s="231">
        <v>0.53</v>
      </c>
      <c r="E51" s="231">
        <v>12.58</v>
      </c>
      <c r="F51" s="231">
        <v>6.49</v>
      </c>
      <c r="G51" s="232">
        <f t="shared" si="37"/>
        <v>19.6</v>
      </c>
      <c r="I51" s="231">
        <v>0.0</v>
      </c>
      <c r="J51" s="231">
        <v>0.53</v>
      </c>
      <c r="K51" s="231">
        <v>12.58</v>
      </c>
      <c r="L51" s="231">
        <v>19.18</v>
      </c>
      <c r="M51" s="232">
        <f t="shared" si="38"/>
        <v>32.29</v>
      </c>
      <c r="O51" s="233" t="str">
        <f t="shared" ref="O51:S51" si="42">IFERROR(I51/C51-1,"")</f>
        <v/>
      </c>
      <c r="P51" s="233">
        <f t="shared" si="42"/>
        <v>0</v>
      </c>
      <c r="Q51" s="233">
        <f t="shared" si="42"/>
        <v>0</v>
      </c>
      <c r="R51" s="233">
        <f t="shared" si="42"/>
        <v>1.955315871</v>
      </c>
      <c r="S51" s="233">
        <f t="shared" si="42"/>
        <v>0.6474489796</v>
      </c>
    </row>
    <row r="52" ht="15.75" customHeight="1"/>
    <row r="53" ht="15.75" customHeight="1"/>
    <row r="54" ht="15.75" customHeight="1">
      <c r="B54" s="222" t="s">
        <v>342</v>
      </c>
      <c r="C54" s="222"/>
      <c r="D54" s="222"/>
      <c r="E54" s="222"/>
      <c r="F54" s="222"/>
      <c r="G54" s="222"/>
      <c r="H54" s="222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</row>
    <row r="55" ht="15.75" customHeight="1">
      <c r="C55" s="223" t="s">
        <v>331</v>
      </c>
      <c r="D55" s="223"/>
      <c r="E55" s="223"/>
      <c r="F55" s="223"/>
      <c r="G55" s="223"/>
      <c r="I55" s="224" t="s">
        <v>332</v>
      </c>
      <c r="J55" s="224"/>
      <c r="K55" s="224"/>
      <c r="L55" s="224"/>
      <c r="M55" s="224"/>
      <c r="O55" s="225" t="s">
        <v>333</v>
      </c>
      <c r="P55" s="225"/>
      <c r="Q55" s="225"/>
      <c r="R55" s="225"/>
      <c r="S55" s="225"/>
    </row>
    <row r="56" ht="15.75" customHeight="1">
      <c r="B56" s="134" t="s">
        <v>334</v>
      </c>
      <c r="C56" s="226" t="s">
        <v>335</v>
      </c>
      <c r="D56" s="226" t="s">
        <v>336</v>
      </c>
      <c r="E56" s="226" t="s">
        <v>337</v>
      </c>
      <c r="F56" s="226" t="s">
        <v>338</v>
      </c>
      <c r="G56" s="226" t="s">
        <v>85</v>
      </c>
      <c r="I56" s="227" t="s">
        <v>335</v>
      </c>
      <c r="J56" s="227" t="s">
        <v>336</v>
      </c>
      <c r="K56" s="227" t="s">
        <v>337</v>
      </c>
      <c r="L56" s="227" t="s">
        <v>338</v>
      </c>
      <c r="M56" s="227" t="s">
        <v>85</v>
      </c>
      <c r="O56" s="228" t="s">
        <v>335</v>
      </c>
      <c r="P56" s="228" t="s">
        <v>336</v>
      </c>
      <c r="Q56" s="228" t="s">
        <v>337</v>
      </c>
      <c r="R56" s="228" t="s">
        <v>338</v>
      </c>
      <c r="S56" s="228" t="s">
        <v>85</v>
      </c>
    </row>
    <row r="57" ht="15.75" customHeight="1">
      <c r="B57" s="229" t="s">
        <v>137</v>
      </c>
    </row>
    <row r="58" ht="15.75" customHeight="1">
      <c r="B58" s="230" t="s">
        <v>51</v>
      </c>
      <c r="C58" s="231">
        <v>0.0</v>
      </c>
      <c r="D58" s="231">
        <v>0.36</v>
      </c>
      <c r="E58" s="231">
        <v>1.07</v>
      </c>
      <c r="F58" s="231">
        <v>1.34</v>
      </c>
      <c r="G58" s="232">
        <f t="shared" ref="G58:G62" si="44">SUM(C58:F58)</f>
        <v>2.77</v>
      </c>
      <c r="I58" s="231">
        <v>0.0</v>
      </c>
      <c r="J58" s="231">
        <v>0.36</v>
      </c>
      <c r="K58" s="231">
        <v>1.07</v>
      </c>
      <c r="L58" s="231">
        <v>1.24</v>
      </c>
      <c r="M58" s="232">
        <f t="shared" ref="M58:M62" si="45">SUM(I58:L58)</f>
        <v>2.67</v>
      </c>
      <c r="O58" s="233" t="str">
        <f t="shared" ref="O58:S58" si="43">IFERROR(I58/C58-1,"")</f>
        <v/>
      </c>
      <c r="P58" s="233">
        <f t="shared" si="43"/>
        <v>0</v>
      </c>
      <c r="Q58" s="233">
        <f t="shared" si="43"/>
        <v>0</v>
      </c>
      <c r="R58" s="233">
        <f t="shared" si="43"/>
        <v>-0.07462686567</v>
      </c>
      <c r="S58" s="233">
        <f t="shared" si="43"/>
        <v>-0.03610108303</v>
      </c>
    </row>
    <row r="59" ht="15.75" customHeight="1">
      <c r="B59" s="230" t="s">
        <v>52</v>
      </c>
      <c r="C59" s="231">
        <v>0.0</v>
      </c>
      <c r="D59" s="231">
        <v>0.36</v>
      </c>
      <c r="E59" s="231">
        <v>1.57</v>
      </c>
      <c r="F59" s="231">
        <v>1.67</v>
      </c>
      <c r="G59" s="232">
        <f t="shared" si="44"/>
        <v>3.6</v>
      </c>
      <c r="I59" s="231">
        <v>0.0</v>
      </c>
      <c r="J59" s="231">
        <v>0.36</v>
      </c>
      <c r="K59" s="231">
        <v>1.57</v>
      </c>
      <c r="L59" s="231">
        <v>1.99</v>
      </c>
      <c r="M59" s="232">
        <f t="shared" si="45"/>
        <v>3.92</v>
      </c>
      <c r="O59" s="233" t="str">
        <f t="shared" ref="O59:S59" si="46">IFERROR(I59/C59-1,"")</f>
        <v/>
      </c>
      <c r="P59" s="233">
        <f t="shared" si="46"/>
        <v>0</v>
      </c>
      <c r="Q59" s="233">
        <f t="shared" si="46"/>
        <v>0</v>
      </c>
      <c r="R59" s="233">
        <f t="shared" si="46"/>
        <v>0.1916167665</v>
      </c>
      <c r="S59" s="233">
        <f t="shared" si="46"/>
        <v>0.08888888889</v>
      </c>
    </row>
    <row r="60" ht="15.75" customHeight="1">
      <c r="B60" s="230" t="s">
        <v>53</v>
      </c>
      <c r="C60" s="231">
        <v>0.0</v>
      </c>
      <c r="D60" s="231">
        <v>0.3</v>
      </c>
      <c r="E60" s="231">
        <v>2.26</v>
      </c>
      <c r="F60" s="231">
        <v>2.3</v>
      </c>
      <c r="G60" s="232">
        <f t="shared" si="44"/>
        <v>4.86</v>
      </c>
      <c r="I60" s="231">
        <v>0.0</v>
      </c>
      <c r="J60" s="231">
        <v>0.3</v>
      </c>
      <c r="K60" s="231">
        <v>2.26</v>
      </c>
      <c r="L60" s="231">
        <v>3.8</v>
      </c>
      <c r="M60" s="232">
        <f t="shared" si="45"/>
        <v>6.36</v>
      </c>
      <c r="O60" s="233" t="str">
        <f t="shared" ref="O60:S60" si="47">IFERROR(I60/C60-1,"")</f>
        <v/>
      </c>
      <c r="P60" s="233">
        <f t="shared" si="47"/>
        <v>0</v>
      </c>
      <c r="Q60" s="233">
        <f t="shared" si="47"/>
        <v>0</v>
      </c>
      <c r="R60" s="233">
        <f t="shared" si="47"/>
        <v>0.652173913</v>
      </c>
      <c r="S60" s="233">
        <f t="shared" si="47"/>
        <v>0.3086419753</v>
      </c>
    </row>
    <row r="61" ht="15.75" customHeight="1">
      <c r="B61" s="230" t="s">
        <v>54</v>
      </c>
      <c r="C61" s="231">
        <v>0.0</v>
      </c>
      <c r="D61" s="231">
        <v>0.33</v>
      </c>
      <c r="E61" s="231">
        <v>4.14</v>
      </c>
      <c r="F61" s="231">
        <v>4.23</v>
      </c>
      <c r="G61" s="232">
        <f t="shared" si="44"/>
        <v>8.7</v>
      </c>
      <c r="I61" s="231">
        <v>0.0</v>
      </c>
      <c r="J61" s="231">
        <v>0.33</v>
      </c>
      <c r="K61" s="231">
        <v>4.14</v>
      </c>
      <c r="L61" s="231">
        <v>10.11</v>
      </c>
      <c r="M61" s="232">
        <f t="shared" si="45"/>
        <v>14.58</v>
      </c>
      <c r="O61" s="233" t="str">
        <f t="shared" ref="O61:S61" si="48">IFERROR(I61/C61-1,"")</f>
        <v/>
      </c>
      <c r="P61" s="233">
        <f t="shared" si="48"/>
        <v>0</v>
      </c>
      <c r="Q61" s="233">
        <f t="shared" si="48"/>
        <v>0</v>
      </c>
      <c r="R61" s="233">
        <f t="shared" si="48"/>
        <v>1.390070922</v>
      </c>
      <c r="S61" s="233">
        <f t="shared" si="48"/>
        <v>0.675862069</v>
      </c>
    </row>
    <row r="62" ht="15.75" customHeight="1">
      <c r="B62" s="230" t="s">
        <v>55</v>
      </c>
      <c r="C62" s="231">
        <v>0.0</v>
      </c>
      <c r="D62" s="231">
        <v>0.41</v>
      </c>
      <c r="E62" s="231">
        <v>6.52</v>
      </c>
      <c r="F62" s="231">
        <v>4.82</v>
      </c>
      <c r="G62" s="232">
        <f t="shared" si="44"/>
        <v>11.75</v>
      </c>
      <c r="I62" s="231">
        <v>0.0</v>
      </c>
      <c r="J62" s="231">
        <v>0.41</v>
      </c>
      <c r="K62" s="231">
        <v>6.52</v>
      </c>
      <c r="L62" s="231">
        <v>15.17</v>
      </c>
      <c r="M62" s="232">
        <f t="shared" si="45"/>
        <v>22.1</v>
      </c>
      <c r="O62" s="233" t="str">
        <f t="shared" ref="O62:S62" si="49">IFERROR(I62/C62-1,"")</f>
        <v/>
      </c>
      <c r="P62" s="233">
        <f t="shared" si="49"/>
        <v>0</v>
      </c>
      <c r="Q62" s="233">
        <f t="shared" si="49"/>
        <v>0</v>
      </c>
      <c r="R62" s="233">
        <f t="shared" si="49"/>
        <v>2.147302905</v>
      </c>
      <c r="S62" s="233">
        <f t="shared" si="49"/>
        <v>0.8808510638</v>
      </c>
    </row>
    <row r="63" ht="15.75" customHeight="1">
      <c r="B63" s="229" t="s">
        <v>339</v>
      </c>
    </row>
    <row r="64" ht="15.75" customHeight="1">
      <c r="B64" s="230" t="s">
        <v>51</v>
      </c>
      <c r="C64" s="231">
        <v>0.0</v>
      </c>
      <c r="D64" s="231">
        <v>0.57</v>
      </c>
      <c r="E64" s="231">
        <v>1.08</v>
      </c>
      <c r="F64" s="231">
        <v>2.0</v>
      </c>
      <c r="G64" s="232">
        <f t="shared" ref="G64:G68" si="51">SUM(C64:F64)</f>
        <v>3.65</v>
      </c>
      <c r="I64" s="231">
        <v>0.0</v>
      </c>
      <c r="J64" s="231">
        <v>0.57</v>
      </c>
      <c r="K64" s="231">
        <v>1.08</v>
      </c>
      <c r="L64" s="231">
        <v>1.89</v>
      </c>
      <c r="M64" s="232">
        <f t="shared" ref="M64:M68" si="52">SUM(I64:L64)</f>
        <v>3.54</v>
      </c>
      <c r="O64" s="233" t="str">
        <f t="shared" ref="O64:S64" si="50">IFERROR(I64/C64-1,"")</f>
        <v/>
      </c>
      <c r="P64" s="233">
        <f t="shared" si="50"/>
        <v>0</v>
      </c>
      <c r="Q64" s="233">
        <f t="shared" si="50"/>
        <v>0</v>
      </c>
      <c r="R64" s="233">
        <f t="shared" si="50"/>
        <v>-0.055</v>
      </c>
      <c r="S64" s="233">
        <f t="shared" si="50"/>
        <v>-0.0301369863</v>
      </c>
    </row>
    <row r="65" ht="15.75" customHeight="1">
      <c r="B65" s="230" t="s">
        <v>52</v>
      </c>
      <c r="C65" s="231">
        <v>0.0</v>
      </c>
      <c r="D65" s="231">
        <v>0.41</v>
      </c>
      <c r="E65" s="231">
        <v>1.42</v>
      </c>
      <c r="F65" s="231">
        <v>2.48</v>
      </c>
      <c r="G65" s="232">
        <f t="shared" si="51"/>
        <v>4.31</v>
      </c>
      <c r="I65" s="231">
        <v>0.0</v>
      </c>
      <c r="J65" s="231">
        <v>0.41</v>
      </c>
      <c r="K65" s="231">
        <v>1.42</v>
      </c>
      <c r="L65" s="231">
        <v>2.81</v>
      </c>
      <c r="M65" s="232">
        <f t="shared" si="52"/>
        <v>4.64</v>
      </c>
      <c r="O65" s="233" t="str">
        <f t="shared" ref="O65:S65" si="53">IFERROR(I65/C65-1,"")</f>
        <v/>
      </c>
      <c r="P65" s="233">
        <f t="shared" si="53"/>
        <v>0</v>
      </c>
      <c r="Q65" s="233">
        <f t="shared" si="53"/>
        <v>0</v>
      </c>
      <c r="R65" s="233">
        <f t="shared" si="53"/>
        <v>0.1330645161</v>
      </c>
      <c r="S65" s="233">
        <f t="shared" si="53"/>
        <v>0.07656612529</v>
      </c>
    </row>
    <row r="66" ht="15.75" customHeight="1">
      <c r="B66" s="230" t="s">
        <v>53</v>
      </c>
      <c r="C66" s="231">
        <v>0.0</v>
      </c>
      <c r="D66" s="231">
        <v>0.31</v>
      </c>
      <c r="E66" s="231">
        <v>1.98</v>
      </c>
      <c r="F66" s="231">
        <v>3.26</v>
      </c>
      <c r="G66" s="232">
        <f t="shared" si="51"/>
        <v>5.55</v>
      </c>
      <c r="I66" s="231">
        <v>0.0</v>
      </c>
      <c r="J66" s="231">
        <v>0.31</v>
      </c>
      <c r="K66" s="231">
        <v>1.98</v>
      </c>
      <c r="L66" s="231">
        <v>4.66</v>
      </c>
      <c r="M66" s="232">
        <f t="shared" si="52"/>
        <v>6.95</v>
      </c>
      <c r="O66" s="233" t="str">
        <f t="shared" ref="O66:S66" si="54">IFERROR(I66/C66-1,"")</f>
        <v/>
      </c>
      <c r="P66" s="233">
        <f t="shared" si="54"/>
        <v>0</v>
      </c>
      <c r="Q66" s="233">
        <f t="shared" si="54"/>
        <v>0</v>
      </c>
      <c r="R66" s="233">
        <f t="shared" si="54"/>
        <v>0.4294478528</v>
      </c>
      <c r="S66" s="233">
        <f t="shared" si="54"/>
        <v>0.2522522523</v>
      </c>
    </row>
    <row r="67" ht="15.75" customHeight="1">
      <c r="B67" s="230" t="s">
        <v>54</v>
      </c>
      <c r="C67" s="231">
        <v>0.0</v>
      </c>
      <c r="D67" s="231">
        <v>0.29</v>
      </c>
      <c r="E67" s="231">
        <v>3.42</v>
      </c>
      <c r="F67" s="231">
        <v>5.1</v>
      </c>
      <c r="G67" s="232">
        <f t="shared" si="51"/>
        <v>8.81</v>
      </c>
      <c r="I67" s="231">
        <v>0.0</v>
      </c>
      <c r="J67" s="231">
        <v>0.29</v>
      </c>
      <c r="K67" s="231">
        <v>3.42</v>
      </c>
      <c r="L67" s="231">
        <v>10.5</v>
      </c>
      <c r="M67" s="232">
        <f t="shared" si="52"/>
        <v>14.21</v>
      </c>
      <c r="O67" s="233" t="str">
        <f t="shared" ref="O67:S67" si="55">IFERROR(I67/C67-1,"")</f>
        <v/>
      </c>
      <c r="P67" s="233">
        <f t="shared" si="55"/>
        <v>0</v>
      </c>
      <c r="Q67" s="233">
        <f t="shared" si="55"/>
        <v>0</v>
      </c>
      <c r="R67" s="233">
        <f t="shared" si="55"/>
        <v>1.058823529</v>
      </c>
      <c r="S67" s="233">
        <f t="shared" si="55"/>
        <v>0.6129398411</v>
      </c>
    </row>
    <row r="68" ht="15.75" customHeight="1">
      <c r="B68" s="230" t="s">
        <v>55</v>
      </c>
      <c r="C68" s="231">
        <v>0.0</v>
      </c>
      <c r="D68" s="231">
        <v>0.23</v>
      </c>
      <c r="E68" s="231">
        <v>5.75</v>
      </c>
      <c r="F68" s="231">
        <v>6.03</v>
      </c>
      <c r="G68" s="232">
        <f t="shared" si="51"/>
        <v>12.01</v>
      </c>
      <c r="I68" s="231">
        <v>0.0</v>
      </c>
      <c r="J68" s="231">
        <v>0.23</v>
      </c>
      <c r="K68" s="231">
        <v>5.75</v>
      </c>
      <c r="L68" s="231">
        <v>17.3</v>
      </c>
      <c r="M68" s="232">
        <f t="shared" si="52"/>
        <v>23.28</v>
      </c>
      <c r="O68" s="233" t="str">
        <f t="shared" ref="O68:S68" si="56">IFERROR(I68/C68-1,"")</f>
        <v/>
      </c>
      <c r="P68" s="233">
        <f t="shared" si="56"/>
        <v>0</v>
      </c>
      <c r="Q68" s="233">
        <f t="shared" si="56"/>
        <v>0</v>
      </c>
      <c r="R68" s="233">
        <f t="shared" si="56"/>
        <v>1.868988391</v>
      </c>
      <c r="S68" s="233">
        <f t="shared" si="56"/>
        <v>0.9383846794</v>
      </c>
    </row>
    <row r="69" ht="15.75" customHeight="1"/>
    <row r="70" ht="15.75" customHeight="1"/>
    <row r="71" ht="15.75" customHeight="1">
      <c r="B71" s="222" t="s">
        <v>343</v>
      </c>
      <c r="C71" s="222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2"/>
      <c r="R71" s="222"/>
      <c r="S71" s="222"/>
    </row>
    <row r="72" ht="15.75" customHeight="1">
      <c r="C72" s="223" t="s">
        <v>331</v>
      </c>
      <c r="D72" s="223"/>
      <c r="E72" s="223"/>
      <c r="F72" s="223"/>
      <c r="G72" s="223"/>
      <c r="I72" s="224" t="s">
        <v>332</v>
      </c>
      <c r="J72" s="224"/>
      <c r="K72" s="224"/>
      <c r="L72" s="224"/>
      <c r="M72" s="224"/>
      <c r="O72" s="225" t="s">
        <v>333</v>
      </c>
      <c r="P72" s="225"/>
      <c r="Q72" s="225"/>
      <c r="R72" s="225"/>
      <c r="S72" s="225"/>
    </row>
    <row r="73" ht="15.75" customHeight="1">
      <c r="B73" s="134" t="s">
        <v>334</v>
      </c>
      <c r="C73" s="226" t="s">
        <v>335</v>
      </c>
      <c r="D73" s="226" t="s">
        <v>336</v>
      </c>
      <c r="E73" s="226" t="s">
        <v>337</v>
      </c>
      <c r="F73" s="226" t="s">
        <v>338</v>
      </c>
      <c r="G73" s="226" t="s">
        <v>85</v>
      </c>
      <c r="I73" s="227" t="s">
        <v>335</v>
      </c>
      <c r="J73" s="227" t="s">
        <v>336</v>
      </c>
      <c r="K73" s="227" t="s">
        <v>337</v>
      </c>
      <c r="L73" s="227" t="s">
        <v>338</v>
      </c>
      <c r="M73" s="227" t="s">
        <v>85</v>
      </c>
      <c r="O73" s="228" t="s">
        <v>335</v>
      </c>
      <c r="P73" s="228" t="s">
        <v>336</v>
      </c>
      <c r="Q73" s="228" t="s">
        <v>337</v>
      </c>
      <c r="R73" s="228" t="s">
        <v>338</v>
      </c>
      <c r="S73" s="228" t="s">
        <v>85</v>
      </c>
    </row>
    <row r="74" ht="15.75" customHeight="1">
      <c r="B74" s="229" t="s">
        <v>137</v>
      </c>
    </row>
    <row r="75" ht="15.75" customHeight="1">
      <c r="B75" s="230" t="s">
        <v>51</v>
      </c>
      <c r="C75" s="231">
        <v>0.0</v>
      </c>
      <c r="D75" s="231">
        <v>0.0</v>
      </c>
      <c r="E75" s="231">
        <v>1.98</v>
      </c>
      <c r="F75" s="231">
        <v>3.96</v>
      </c>
      <c r="G75" s="232">
        <f t="shared" ref="G75:G79" si="58">SUM(C75:F75)</f>
        <v>5.94</v>
      </c>
      <c r="I75" s="231">
        <v>0.0</v>
      </c>
      <c r="J75" s="231">
        <v>0.0</v>
      </c>
      <c r="K75" s="231">
        <v>1.98</v>
      </c>
      <c r="L75" s="231">
        <v>9.17</v>
      </c>
      <c r="M75" s="232">
        <f t="shared" ref="M75:M79" si="59">SUM(I75:L75)</f>
        <v>11.15</v>
      </c>
      <c r="O75" s="233" t="str">
        <f t="shared" ref="O75:S75" si="57">IFERROR(I75/C75-1,"")</f>
        <v/>
      </c>
      <c r="P75" s="233" t="str">
        <f t="shared" si="57"/>
        <v/>
      </c>
      <c r="Q75" s="233">
        <f t="shared" si="57"/>
        <v>0</v>
      </c>
      <c r="R75" s="233">
        <f t="shared" si="57"/>
        <v>1.315656566</v>
      </c>
      <c r="S75" s="233">
        <f t="shared" si="57"/>
        <v>0.8771043771</v>
      </c>
    </row>
    <row r="76" ht="15.75" customHeight="1">
      <c r="B76" s="230" t="s">
        <v>52</v>
      </c>
      <c r="C76" s="231">
        <v>0.0</v>
      </c>
      <c r="D76" s="231">
        <v>0.0</v>
      </c>
      <c r="E76" s="231">
        <v>4.08</v>
      </c>
      <c r="F76" s="231">
        <v>4.61</v>
      </c>
      <c r="G76" s="232">
        <f t="shared" si="58"/>
        <v>8.69</v>
      </c>
      <c r="I76" s="231">
        <v>0.0</v>
      </c>
      <c r="J76" s="231">
        <v>0.0</v>
      </c>
      <c r="K76" s="231">
        <v>4.08</v>
      </c>
      <c r="L76" s="231">
        <v>14.64</v>
      </c>
      <c r="M76" s="232">
        <f t="shared" si="59"/>
        <v>18.72</v>
      </c>
      <c r="O76" s="233" t="str">
        <f t="shared" ref="O76:S76" si="60">IFERROR(I76/C76-1,"")</f>
        <v/>
      </c>
      <c r="P76" s="233" t="str">
        <f t="shared" si="60"/>
        <v/>
      </c>
      <c r="Q76" s="233">
        <f t="shared" si="60"/>
        <v>0</v>
      </c>
      <c r="R76" s="233">
        <f t="shared" si="60"/>
        <v>2.175704989</v>
      </c>
      <c r="S76" s="233">
        <f t="shared" si="60"/>
        <v>1.15420023</v>
      </c>
    </row>
    <row r="77" ht="15.75" customHeight="1">
      <c r="B77" s="230" t="s">
        <v>53</v>
      </c>
      <c r="C77" s="231">
        <v>0.0</v>
      </c>
      <c r="D77" s="231">
        <v>0.0</v>
      </c>
      <c r="E77" s="231">
        <v>6.81</v>
      </c>
      <c r="F77" s="231">
        <v>5.45</v>
      </c>
      <c r="G77" s="232">
        <f t="shared" si="58"/>
        <v>12.26</v>
      </c>
      <c r="I77" s="231">
        <v>0.0</v>
      </c>
      <c r="J77" s="231">
        <v>0.0</v>
      </c>
      <c r="K77" s="231">
        <v>6.81</v>
      </c>
      <c r="L77" s="231">
        <v>18.24</v>
      </c>
      <c r="M77" s="232">
        <f t="shared" si="59"/>
        <v>25.05</v>
      </c>
      <c r="O77" s="233" t="str">
        <f t="shared" ref="O77:S77" si="61">IFERROR(I77/C77-1,"")</f>
        <v/>
      </c>
      <c r="P77" s="233" t="str">
        <f t="shared" si="61"/>
        <v/>
      </c>
      <c r="Q77" s="233">
        <f t="shared" si="61"/>
        <v>0</v>
      </c>
      <c r="R77" s="233">
        <f t="shared" si="61"/>
        <v>2.346788991</v>
      </c>
      <c r="S77" s="233">
        <f t="shared" si="61"/>
        <v>1.043230016</v>
      </c>
    </row>
    <row r="78" ht="15.75" customHeight="1">
      <c r="B78" s="230" t="s">
        <v>54</v>
      </c>
      <c r="C78" s="231">
        <v>0.0</v>
      </c>
      <c r="D78" s="231">
        <v>0.0</v>
      </c>
      <c r="E78" s="231">
        <v>13.55</v>
      </c>
      <c r="F78" s="231">
        <v>6.65</v>
      </c>
      <c r="G78" s="232">
        <f t="shared" si="58"/>
        <v>20.2</v>
      </c>
      <c r="I78" s="231">
        <v>0.0</v>
      </c>
      <c r="J78" s="231">
        <v>0.0</v>
      </c>
      <c r="K78" s="231">
        <v>13.55</v>
      </c>
      <c r="L78" s="231">
        <v>23.35</v>
      </c>
      <c r="M78" s="232">
        <f t="shared" si="59"/>
        <v>36.9</v>
      </c>
      <c r="O78" s="233" t="str">
        <f t="shared" ref="O78:S78" si="62">IFERROR(I78/C78-1,"")</f>
        <v/>
      </c>
      <c r="P78" s="233" t="str">
        <f t="shared" si="62"/>
        <v/>
      </c>
      <c r="Q78" s="233">
        <f t="shared" si="62"/>
        <v>0</v>
      </c>
      <c r="R78" s="233">
        <f t="shared" si="62"/>
        <v>2.511278195</v>
      </c>
      <c r="S78" s="233">
        <f t="shared" si="62"/>
        <v>0.8267326733</v>
      </c>
    </row>
    <row r="79" ht="15.75" customHeight="1">
      <c r="B79" s="230" t="s">
        <v>55</v>
      </c>
      <c r="C79" s="231">
        <v>0.0</v>
      </c>
      <c r="D79" s="231">
        <v>0.0</v>
      </c>
      <c r="E79" s="231">
        <v>21.49</v>
      </c>
      <c r="F79" s="231">
        <v>6.37</v>
      </c>
      <c r="G79" s="232">
        <f t="shared" si="58"/>
        <v>27.86</v>
      </c>
      <c r="I79" s="231">
        <v>0.0</v>
      </c>
      <c r="J79" s="231">
        <v>0.0</v>
      </c>
      <c r="K79" s="231">
        <v>21.49</v>
      </c>
      <c r="L79" s="231">
        <v>20.49</v>
      </c>
      <c r="M79" s="232">
        <f t="shared" si="59"/>
        <v>41.98</v>
      </c>
      <c r="O79" s="233" t="str">
        <f t="shared" ref="O79:S79" si="63">IFERROR(I79/C79-1,"")</f>
        <v/>
      </c>
      <c r="P79" s="233" t="str">
        <f t="shared" si="63"/>
        <v/>
      </c>
      <c r="Q79" s="233">
        <f t="shared" si="63"/>
        <v>0</v>
      </c>
      <c r="R79" s="233">
        <f t="shared" si="63"/>
        <v>2.216640502</v>
      </c>
      <c r="S79" s="233">
        <f t="shared" si="63"/>
        <v>0.5068198134</v>
      </c>
    </row>
    <row r="80" ht="15.75" customHeight="1">
      <c r="B80" s="229" t="s">
        <v>339</v>
      </c>
    </row>
    <row r="81" ht="15.75" customHeight="1">
      <c r="B81" s="230" t="s">
        <v>51</v>
      </c>
      <c r="C81" s="231">
        <v>0.0</v>
      </c>
      <c r="D81" s="231">
        <v>0.0</v>
      </c>
      <c r="E81" s="231">
        <v>2.26</v>
      </c>
      <c r="F81" s="231">
        <v>5.2</v>
      </c>
      <c r="G81" s="232">
        <f t="shared" ref="G81:G85" si="65">SUM(C81:F81)</f>
        <v>7.46</v>
      </c>
      <c r="I81" s="231">
        <v>0.0</v>
      </c>
      <c r="J81" s="231">
        <v>0.0</v>
      </c>
      <c r="K81" s="231">
        <v>2.26</v>
      </c>
      <c r="L81" s="231">
        <v>11.41</v>
      </c>
      <c r="M81" s="232">
        <f t="shared" ref="M81:M85" si="66">SUM(I81:L81)</f>
        <v>13.67</v>
      </c>
      <c r="O81" s="233" t="str">
        <f t="shared" ref="O81:S81" si="64">IFERROR(I81/C81-1,"")</f>
        <v/>
      </c>
      <c r="P81" s="233" t="str">
        <f t="shared" si="64"/>
        <v/>
      </c>
      <c r="Q81" s="233">
        <f t="shared" si="64"/>
        <v>0</v>
      </c>
      <c r="R81" s="233">
        <f t="shared" si="64"/>
        <v>1.194230769</v>
      </c>
      <c r="S81" s="233">
        <f t="shared" si="64"/>
        <v>0.8324396783</v>
      </c>
    </row>
    <row r="82" ht="15.75" customHeight="1">
      <c r="B82" s="230" t="s">
        <v>52</v>
      </c>
      <c r="C82" s="231">
        <v>0.0</v>
      </c>
      <c r="D82" s="231">
        <v>0.0</v>
      </c>
      <c r="E82" s="231">
        <v>3.87</v>
      </c>
      <c r="F82" s="231">
        <v>5.34</v>
      </c>
      <c r="G82" s="232">
        <f t="shared" si="65"/>
        <v>9.21</v>
      </c>
      <c r="I82" s="231">
        <v>0.0</v>
      </c>
      <c r="J82" s="231">
        <v>0.0</v>
      </c>
      <c r="K82" s="231">
        <v>3.87</v>
      </c>
      <c r="L82" s="231">
        <v>15.82</v>
      </c>
      <c r="M82" s="232">
        <f t="shared" si="66"/>
        <v>19.69</v>
      </c>
      <c r="O82" s="233" t="str">
        <f t="shared" ref="O82:S82" si="67">IFERROR(I82/C82-1,"")</f>
        <v/>
      </c>
      <c r="P82" s="233" t="str">
        <f t="shared" si="67"/>
        <v/>
      </c>
      <c r="Q82" s="233">
        <f t="shared" si="67"/>
        <v>0</v>
      </c>
      <c r="R82" s="233">
        <f t="shared" si="67"/>
        <v>1.962546816</v>
      </c>
      <c r="S82" s="233">
        <f t="shared" si="67"/>
        <v>1.137893594</v>
      </c>
    </row>
    <row r="83" ht="15.75" customHeight="1">
      <c r="B83" s="230" t="s">
        <v>53</v>
      </c>
      <c r="C83" s="231">
        <v>0.0</v>
      </c>
      <c r="D83" s="231">
        <v>0.0</v>
      </c>
      <c r="E83" s="231">
        <v>6.09</v>
      </c>
      <c r="F83" s="231">
        <v>6.31</v>
      </c>
      <c r="G83" s="232">
        <f t="shared" si="65"/>
        <v>12.4</v>
      </c>
      <c r="I83" s="231">
        <v>0.0</v>
      </c>
      <c r="J83" s="231">
        <v>0.0</v>
      </c>
      <c r="K83" s="231">
        <v>6.09</v>
      </c>
      <c r="L83" s="231">
        <v>18.95</v>
      </c>
      <c r="M83" s="232">
        <f t="shared" si="66"/>
        <v>25.04</v>
      </c>
      <c r="O83" s="233" t="str">
        <f t="shared" ref="O83:S83" si="68">IFERROR(I83/C83-1,"")</f>
        <v/>
      </c>
      <c r="P83" s="233" t="str">
        <f t="shared" si="68"/>
        <v/>
      </c>
      <c r="Q83" s="233">
        <f t="shared" si="68"/>
        <v>0</v>
      </c>
      <c r="R83" s="233">
        <f t="shared" si="68"/>
        <v>2.003169572</v>
      </c>
      <c r="S83" s="233">
        <f t="shared" si="68"/>
        <v>1.019354839</v>
      </c>
    </row>
    <row r="84" ht="15.75" customHeight="1">
      <c r="B84" s="230" t="s">
        <v>54</v>
      </c>
      <c r="C84" s="231">
        <v>0.0</v>
      </c>
      <c r="D84" s="231">
        <v>0.0</v>
      </c>
      <c r="E84" s="231">
        <v>11.41</v>
      </c>
      <c r="F84" s="231">
        <v>7.85</v>
      </c>
      <c r="G84" s="232">
        <f t="shared" si="65"/>
        <v>19.26</v>
      </c>
      <c r="I84" s="231">
        <v>0.0</v>
      </c>
      <c r="J84" s="231">
        <v>0.0</v>
      </c>
      <c r="K84" s="231">
        <v>11.41</v>
      </c>
      <c r="L84" s="231">
        <v>23.67</v>
      </c>
      <c r="M84" s="232">
        <f t="shared" si="66"/>
        <v>35.08</v>
      </c>
      <c r="O84" s="233" t="str">
        <f t="shared" ref="O84:S84" si="69">IFERROR(I84/C84-1,"")</f>
        <v/>
      </c>
      <c r="P84" s="233" t="str">
        <f t="shared" si="69"/>
        <v/>
      </c>
      <c r="Q84" s="233">
        <f t="shared" si="69"/>
        <v>0</v>
      </c>
      <c r="R84" s="233">
        <f t="shared" si="69"/>
        <v>2.015286624</v>
      </c>
      <c r="S84" s="233">
        <f t="shared" si="69"/>
        <v>0.8213914849</v>
      </c>
    </row>
    <row r="85" ht="15.75" customHeight="1">
      <c r="B85" s="230" t="s">
        <v>55</v>
      </c>
      <c r="C85" s="231">
        <v>0.0</v>
      </c>
      <c r="D85" s="231">
        <v>0.0</v>
      </c>
      <c r="E85" s="231">
        <v>19.14</v>
      </c>
      <c r="F85" s="231">
        <v>8.19</v>
      </c>
      <c r="G85" s="232">
        <f t="shared" si="65"/>
        <v>27.33</v>
      </c>
      <c r="I85" s="231">
        <v>0.0</v>
      </c>
      <c r="J85" s="231">
        <v>0.0</v>
      </c>
      <c r="K85" s="231">
        <v>19.14</v>
      </c>
      <c r="L85" s="231">
        <v>22.8</v>
      </c>
      <c r="M85" s="232">
        <f t="shared" si="66"/>
        <v>41.94</v>
      </c>
      <c r="O85" s="233" t="str">
        <f t="shared" ref="O85:S85" si="70">IFERROR(I85/C85-1,"")</f>
        <v/>
      </c>
      <c r="P85" s="233" t="str">
        <f t="shared" si="70"/>
        <v/>
      </c>
      <c r="Q85" s="233">
        <f t="shared" si="70"/>
        <v>0</v>
      </c>
      <c r="R85" s="233">
        <f t="shared" si="70"/>
        <v>1.783882784</v>
      </c>
      <c r="S85" s="233">
        <f t="shared" si="70"/>
        <v>0.5345773875</v>
      </c>
    </row>
    <row r="86" ht="15.75" customHeight="1"/>
    <row r="87" ht="15.75" customHeight="1"/>
    <row r="88" ht="15.75" customHeight="1">
      <c r="B88" s="222" t="s">
        <v>344</v>
      </c>
      <c r="C88" s="222"/>
      <c r="D88" s="222"/>
      <c r="E88" s="222"/>
      <c r="F88" s="222"/>
      <c r="G88" s="222"/>
      <c r="H88" s="222"/>
      <c r="I88" s="222"/>
      <c r="J88" s="222"/>
      <c r="K88" s="222"/>
      <c r="L88" s="222"/>
      <c r="M88" s="222"/>
      <c r="N88" s="222"/>
      <c r="O88" s="222"/>
      <c r="P88" s="222"/>
      <c r="Q88" s="222"/>
      <c r="R88" s="222"/>
      <c r="S88" s="222"/>
    </row>
    <row r="89" ht="15.75" customHeight="1">
      <c r="C89" s="223" t="s">
        <v>331</v>
      </c>
      <c r="D89" s="223"/>
      <c r="E89" s="223"/>
      <c r="F89" s="223"/>
      <c r="G89" s="223"/>
      <c r="I89" s="224" t="s">
        <v>332</v>
      </c>
      <c r="J89" s="224"/>
      <c r="K89" s="224"/>
      <c r="L89" s="224"/>
      <c r="M89" s="224"/>
      <c r="O89" s="225" t="s">
        <v>333</v>
      </c>
      <c r="P89" s="225"/>
      <c r="Q89" s="225"/>
      <c r="R89" s="225"/>
      <c r="S89" s="225"/>
    </row>
    <row r="90" ht="15.75" customHeight="1">
      <c r="B90" s="134" t="s">
        <v>334</v>
      </c>
      <c r="C90" s="226" t="s">
        <v>335</v>
      </c>
      <c r="D90" s="226" t="s">
        <v>336</v>
      </c>
      <c r="E90" s="226" t="s">
        <v>337</v>
      </c>
      <c r="F90" s="226" t="s">
        <v>338</v>
      </c>
      <c r="G90" s="226" t="s">
        <v>85</v>
      </c>
      <c r="I90" s="227" t="s">
        <v>335</v>
      </c>
      <c r="J90" s="227" t="s">
        <v>336</v>
      </c>
      <c r="K90" s="227" t="s">
        <v>337</v>
      </c>
      <c r="L90" s="227" t="s">
        <v>338</v>
      </c>
      <c r="M90" s="227" t="s">
        <v>85</v>
      </c>
      <c r="O90" s="228" t="s">
        <v>335</v>
      </c>
      <c r="P90" s="228" t="s">
        <v>336</v>
      </c>
      <c r="Q90" s="228" t="s">
        <v>337</v>
      </c>
      <c r="R90" s="228" t="s">
        <v>338</v>
      </c>
      <c r="S90" s="228" t="s">
        <v>85</v>
      </c>
    </row>
    <row r="91" ht="15.75" customHeight="1">
      <c r="B91" s="229" t="s">
        <v>137</v>
      </c>
    </row>
    <row r="92" ht="15.75" customHeight="1">
      <c r="B92" s="230" t="s">
        <v>51</v>
      </c>
      <c r="C92" s="231">
        <v>0.0</v>
      </c>
      <c r="D92" s="231">
        <v>0.0</v>
      </c>
      <c r="E92" s="231">
        <v>1.75</v>
      </c>
      <c r="F92" s="231">
        <v>4.44</v>
      </c>
      <c r="G92" s="232">
        <f t="shared" ref="G92:G96" si="72">SUM(C92:F92)</f>
        <v>6.19</v>
      </c>
      <c r="I92" s="231">
        <v>0.0</v>
      </c>
      <c r="J92" s="231">
        <v>0.0</v>
      </c>
      <c r="K92" s="231">
        <v>1.75</v>
      </c>
      <c r="L92" s="231">
        <v>10.29</v>
      </c>
      <c r="M92" s="232">
        <f t="shared" ref="M92:M96" si="73">SUM(I92:L92)</f>
        <v>12.04</v>
      </c>
      <c r="O92" s="233" t="str">
        <f t="shared" ref="O92:S92" si="71">IFERROR(I92/C92-1,"")</f>
        <v/>
      </c>
      <c r="P92" s="233" t="str">
        <f t="shared" si="71"/>
        <v/>
      </c>
      <c r="Q92" s="233">
        <f t="shared" si="71"/>
        <v>0</v>
      </c>
      <c r="R92" s="233">
        <f t="shared" si="71"/>
        <v>1.317567568</v>
      </c>
      <c r="S92" s="233">
        <f t="shared" si="71"/>
        <v>0.9450726979</v>
      </c>
    </row>
    <row r="93" ht="15.75" customHeight="1">
      <c r="B93" s="230" t="s">
        <v>52</v>
      </c>
      <c r="C93" s="231">
        <v>0.0</v>
      </c>
      <c r="D93" s="231">
        <v>0.0</v>
      </c>
      <c r="E93" s="231">
        <v>3.66</v>
      </c>
      <c r="F93" s="231">
        <v>5.31</v>
      </c>
      <c r="G93" s="232">
        <f t="shared" si="72"/>
        <v>8.97</v>
      </c>
      <c r="I93" s="231">
        <v>0.0</v>
      </c>
      <c r="J93" s="231">
        <v>0.0</v>
      </c>
      <c r="K93" s="231">
        <v>3.66</v>
      </c>
      <c r="L93" s="231">
        <v>16.46</v>
      </c>
      <c r="M93" s="232">
        <f t="shared" si="73"/>
        <v>20.12</v>
      </c>
      <c r="O93" s="233" t="str">
        <f t="shared" ref="O93:S93" si="74">IFERROR(I93/C93-1,"")</f>
        <v/>
      </c>
      <c r="P93" s="233" t="str">
        <f t="shared" si="74"/>
        <v/>
      </c>
      <c r="Q93" s="233">
        <f t="shared" si="74"/>
        <v>0</v>
      </c>
      <c r="R93" s="233">
        <f t="shared" si="74"/>
        <v>2.099811676</v>
      </c>
      <c r="S93" s="233">
        <f t="shared" si="74"/>
        <v>1.24303233</v>
      </c>
    </row>
    <row r="94" ht="15.75" customHeight="1">
      <c r="B94" s="230" t="s">
        <v>53</v>
      </c>
      <c r="C94" s="231">
        <v>0.0</v>
      </c>
      <c r="D94" s="231">
        <v>0.0</v>
      </c>
      <c r="E94" s="231">
        <v>6.34</v>
      </c>
      <c r="F94" s="231">
        <v>5.84</v>
      </c>
      <c r="G94" s="232">
        <f t="shared" si="72"/>
        <v>12.18</v>
      </c>
      <c r="I94" s="231">
        <v>0.0</v>
      </c>
      <c r="J94" s="231">
        <v>0.0</v>
      </c>
      <c r="K94" s="231">
        <v>6.34</v>
      </c>
      <c r="L94" s="231">
        <v>18.14</v>
      </c>
      <c r="M94" s="232">
        <f t="shared" si="73"/>
        <v>24.48</v>
      </c>
      <c r="O94" s="233" t="str">
        <f t="shared" ref="O94:S94" si="75">IFERROR(I94/C94-1,"")</f>
        <v/>
      </c>
      <c r="P94" s="233" t="str">
        <f t="shared" si="75"/>
        <v/>
      </c>
      <c r="Q94" s="233">
        <f t="shared" si="75"/>
        <v>0</v>
      </c>
      <c r="R94" s="233">
        <f t="shared" si="75"/>
        <v>2.106164384</v>
      </c>
      <c r="S94" s="233">
        <f t="shared" si="75"/>
        <v>1.009852217</v>
      </c>
    </row>
    <row r="95" ht="15.75" customHeight="1">
      <c r="B95" s="230" t="s">
        <v>54</v>
      </c>
      <c r="C95" s="231">
        <v>0.0</v>
      </c>
      <c r="D95" s="231">
        <v>0.0</v>
      </c>
      <c r="E95" s="231">
        <v>13.3</v>
      </c>
      <c r="F95" s="231">
        <v>7.09</v>
      </c>
      <c r="G95" s="232">
        <f t="shared" si="72"/>
        <v>20.39</v>
      </c>
      <c r="I95" s="231">
        <v>0.0</v>
      </c>
      <c r="J95" s="231">
        <v>0.0</v>
      </c>
      <c r="K95" s="231">
        <v>13.3</v>
      </c>
      <c r="L95" s="231">
        <v>22.3</v>
      </c>
      <c r="M95" s="232">
        <f t="shared" si="73"/>
        <v>35.6</v>
      </c>
      <c r="O95" s="233" t="str">
        <f t="shared" ref="O95:S95" si="76">IFERROR(I95/C95-1,"")</f>
        <v/>
      </c>
      <c r="P95" s="233" t="str">
        <f t="shared" si="76"/>
        <v/>
      </c>
      <c r="Q95" s="233">
        <f t="shared" si="76"/>
        <v>0</v>
      </c>
      <c r="R95" s="233">
        <f t="shared" si="76"/>
        <v>2.145275035</v>
      </c>
      <c r="S95" s="233">
        <f t="shared" si="76"/>
        <v>0.745953899</v>
      </c>
    </row>
    <row r="96" ht="15.75" customHeight="1">
      <c r="B96" s="230" t="s">
        <v>55</v>
      </c>
      <c r="C96" s="231">
        <v>0.0</v>
      </c>
      <c r="D96" s="231">
        <v>0.0</v>
      </c>
      <c r="E96" s="231">
        <v>22.14</v>
      </c>
      <c r="F96" s="231">
        <v>6.83</v>
      </c>
      <c r="G96" s="232">
        <f t="shared" si="72"/>
        <v>28.97</v>
      </c>
      <c r="I96" s="231">
        <v>0.0</v>
      </c>
      <c r="J96" s="231">
        <v>0.0</v>
      </c>
      <c r="K96" s="231">
        <v>22.14</v>
      </c>
      <c r="L96" s="231">
        <v>20.15</v>
      </c>
      <c r="M96" s="232">
        <f t="shared" si="73"/>
        <v>42.29</v>
      </c>
      <c r="O96" s="233" t="str">
        <f t="shared" ref="O96:S96" si="77">IFERROR(I96/C96-1,"")</f>
        <v/>
      </c>
      <c r="P96" s="233" t="str">
        <f t="shared" si="77"/>
        <v/>
      </c>
      <c r="Q96" s="233">
        <f t="shared" si="77"/>
        <v>0</v>
      </c>
      <c r="R96" s="233">
        <f t="shared" si="77"/>
        <v>1.950219619</v>
      </c>
      <c r="S96" s="233">
        <f t="shared" si="77"/>
        <v>0.4597859855</v>
      </c>
    </row>
    <row r="97" ht="15.75" customHeight="1">
      <c r="B97" s="229" t="s">
        <v>339</v>
      </c>
    </row>
    <row r="98" ht="15.75" customHeight="1">
      <c r="B98" s="230" t="s">
        <v>51</v>
      </c>
      <c r="C98" s="231">
        <v>0.0</v>
      </c>
      <c r="D98" s="231">
        <v>0.0</v>
      </c>
      <c r="E98" s="231">
        <v>2.05</v>
      </c>
      <c r="F98" s="231">
        <v>5.75</v>
      </c>
      <c r="G98" s="232">
        <f t="shared" ref="G98:G102" si="79">SUM(C98:F98)</f>
        <v>7.8</v>
      </c>
      <c r="I98" s="231">
        <v>0.0</v>
      </c>
      <c r="J98" s="231">
        <v>0.0</v>
      </c>
      <c r="K98" s="231">
        <v>2.05</v>
      </c>
      <c r="L98" s="231">
        <v>13.03</v>
      </c>
      <c r="M98" s="232">
        <f t="shared" ref="M98:M102" si="80">SUM(I98:L98)</f>
        <v>15.08</v>
      </c>
      <c r="O98" s="233" t="str">
        <f t="shared" ref="O98:S98" si="78">IFERROR(I98/C98-1,"")</f>
        <v/>
      </c>
      <c r="P98" s="233" t="str">
        <f t="shared" si="78"/>
        <v/>
      </c>
      <c r="Q98" s="233">
        <f t="shared" si="78"/>
        <v>0</v>
      </c>
      <c r="R98" s="233">
        <f t="shared" si="78"/>
        <v>1.266086957</v>
      </c>
      <c r="S98" s="233">
        <f t="shared" si="78"/>
        <v>0.9333333333</v>
      </c>
    </row>
    <row r="99" ht="15.75" customHeight="1">
      <c r="B99" s="230" t="s">
        <v>52</v>
      </c>
      <c r="C99" s="231">
        <v>0.0</v>
      </c>
      <c r="D99" s="231">
        <v>0.0</v>
      </c>
      <c r="E99" s="231">
        <v>3.48</v>
      </c>
      <c r="F99" s="231">
        <v>5.99</v>
      </c>
      <c r="G99" s="232">
        <f t="shared" si="79"/>
        <v>9.47</v>
      </c>
      <c r="I99" s="231">
        <v>0.0</v>
      </c>
      <c r="J99" s="231">
        <v>0.0</v>
      </c>
      <c r="K99" s="231">
        <v>3.48</v>
      </c>
      <c r="L99" s="231">
        <v>17.57</v>
      </c>
      <c r="M99" s="232">
        <f t="shared" si="80"/>
        <v>21.05</v>
      </c>
      <c r="O99" s="233" t="str">
        <f t="shared" ref="O99:S99" si="81">IFERROR(I99/C99-1,"")</f>
        <v/>
      </c>
      <c r="P99" s="233" t="str">
        <f t="shared" si="81"/>
        <v/>
      </c>
      <c r="Q99" s="233">
        <f t="shared" si="81"/>
        <v>0</v>
      </c>
      <c r="R99" s="233">
        <f t="shared" si="81"/>
        <v>1.933222037</v>
      </c>
      <c r="S99" s="233">
        <f t="shared" si="81"/>
        <v>1.22280887</v>
      </c>
    </row>
    <row r="100" ht="15.75" customHeight="1">
      <c r="B100" s="230" t="s">
        <v>53</v>
      </c>
      <c r="C100" s="231">
        <v>0.0</v>
      </c>
      <c r="D100" s="231">
        <v>0.0</v>
      </c>
      <c r="E100" s="231">
        <v>5.73</v>
      </c>
      <c r="F100" s="231">
        <v>6.69</v>
      </c>
      <c r="G100" s="232">
        <f t="shared" si="79"/>
        <v>12.42</v>
      </c>
      <c r="I100" s="231">
        <v>0.0</v>
      </c>
      <c r="J100" s="231">
        <v>0.0</v>
      </c>
      <c r="K100" s="231">
        <v>5.73</v>
      </c>
      <c r="L100" s="231">
        <v>18.87</v>
      </c>
      <c r="M100" s="232">
        <f t="shared" si="80"/>
        <v>24.6</v>
      </c>
      <c r="O100" s="233" t="str">
        <f t="shared" ref="O100:S100" si="82">IFERROR(I100/C100-1,"")</f>
        <v/>
      </c>
      <c r="P100" s="233" t="str">
        <f t="shared" si="82"/>
        <v/>
      </c>
      <c r="Q100" s="233">
        <f t="shared" si="82"/>
        <v>0</v>
      </c>
      <c r="R100" s="233">
        <f t="shared" si="82"/>
        <v>1.820627803</v>
      </c>
      <c r="S100" s="233">
        <f t="shared" si="82"/>
        <v>0.9806763285</v>
      </c>
    </row>
    <row r="101" ht="15.75" customHeight="1">
      <c r="B101" s="230" t="s">
        <v>54</v>
      </c>
      <c r="C101" s="231">
        <v>0.0</v>
      </c>
      <c r="D101" s="231">
        <v>0.0</v>
      </c>
      <c r="E101" s="231">
        <v>11.19</v>
      </c>
      <c r="F101" s="231">
        <v>8.18</v>
      </c>
      <c r="G101" s="232">
        <f t="shared" si="79"/>
        <v>19.37</v>
      </c>
      <c r="I101" s="231">
        <v>0.0</v>
      </c>
      <c r="J101" s="231">
        <v>0.0</v>
      </c>
      <c r="K101" s="231">
        <v>11.19</v>
      </c>
      <c r="L101" s="231">
        <v>22.59</v>
      </c>
      <c r="M101" s="232">
        <f t="shared" si="80"/>
        <v>33.78</v>
      </c>
      <c r="O101" s="233" t="str">
        <f t="shared" ref="O101:S101" si="83">IFERROR(I101/C101-1,"")</f>
        <v/>
      </c>
      <c r="P101" s="233" t="str">
        <f t="shared" si="83"/>
        <v/>
      </c>
      <c r="Q101" s="233">
        <f t="shared" si="83"/>
        <v>0</v>
      </c>
      <c r="R101" s="233">
        <f t="shared" si="83"/>
        <v>1.761613692</v>
      </c>
      <c r="S101" s="233">
        <f t="shared" si="83"/>
        <v>0.7439339184</v>
      </c>
    </row>
    <row r="102" ht="15.75" customHeight="1">
      <c r="B102" s="230" t="s">
        <v>55</v>
      </c>
      <c r="C102" s="231">
        <v>0.0</v>
      </c>
      <c r="D102" s="231">
        <v>0.0</v>
      </c>
      <c r="E102" s="231">
        <v>19.58</v>
      </c>
      <c r="F102" s="231">
        <v>8.5</v>
      </c>
      <c r="G102" s="232">
        <f t="shared" si="79"/>
        <v>28.08</v>
      </c>
      <c r="I102" s="231">
        <v>0.0</v>
      </c>
      <c r="J102" s="231">
        <v>0.0</v>
      </c>
      <c r="K102" s="231">
        <v>19.58</v>
      </c>
      <c r="L102" s="231">
        <v>22.39</v>
      </c>
      <c r="M102" s="232">
        <f t="shared" si="80"/>
        <v>41.97</v>
      </c>
      <c r="O102" s="233" t="str">
        <f t="shared" ref="O102:S102" si="84">IFERROR(I102/C102-1,"")</f>
        <v/>
      </c>
      <c r="P102" s="233" t="str">
        <f t="shared" si="84"/>
        <v/>
      </c>
      <c r="Q102" s="233">
        <f t="shared" si="84"/>
        <v>0</v>
      </c>
      <c r="R102" s="233">
        <f t="shared" si="84"/>
        <v>1.634117647</v>
      </c>
      <c r="S102" s="233">
        <f t="shared" si="84"/>
        <v>0.4946581197</v>
      </c>
    </row>
    <row r="103" ht="15.75" customHeight="1"/>
    <row r="104" ht="15.75" customHeight="1"/>
    <row r="105" ht="15.75" customHeight="1">
      <c r="B105" s="222" t="s">
        <v>345</v>
      </c>
      <c r="C105" s="222"/>
      <c r="D105" s="222"/>
      <c r="E105" s="222"/>
      <c r="F105" s="222"/>
      <c r="G105" s="222"/>
      <c r="H105" s="222"/>
      <c r="I105" s="222"/>
      <c r="J105" s="222"/>
      <c r="K105" s="222"/>
      <c r="L105" s="222"/>
      <c r="M105" s="222"/>
      <c r="N105" s="222"/>
      <c r="O105" s="222"/>
      <c r="P105" s="222"/>
      <c r="Q105" s="222"/>
      <c r="R105" s="222"/>
      <c r="S105" s="222"/>
    </row>
    <row r="106" ht="15.75" customHeight="1">
      <c r="C106" s="223" t="s">
        <v>331</v>
      </c>
      <c r="D106" s="223"/>
      <c r="E106" s="223"/>
      <c r="F106" s="223"/>
      <c r="G106" s="223"/>
      <c r="I106" s="224" t="s">
        <v>332</v>
      </c>
      <c r="J106" s="224"/>
      <c r="K106" s="224"/>
      <c r="L106" s="224"/>
      <c r="M106" s="224"/>
      <c r="O106" s="225" t="s">
        <v>333</v>
      </c>
      <c r="P106" s="225"/>
      <c r="Q106" s="225"/>
      <c r="R106" s="225"/>
      <c r="S106" s="225"/>
    </row>
    <row r="107" ht="15.75" customHeight="1">
      <c r="B107" s="134" t="s">
        <v>334</v>
      </c>
      <c r="C107" s="226" t="s">
        <v>335</v>
      </c>
      <c r="D107" s="226" t="s">
        <v>336</v>
      </c>
      <c r="E107" s="226" t="s">
        <v>337</v>
      </c>
      <c r="F107" s="226" t="s">
        <v>338</v>
      </c>
      <c r="G107" s="226" t="s">
        <v>85</v>
      </c>
      <c r="I107" s="227" t="s">
        <v>335</v>
      </c>
      <c r="J107" s="227" t="s">
        <v>336</v>
      </c>
      <c r="K107" s="227" t="s">
        <v>337</v>
      </c>
      <c r="L107" s="227" t="s">
        <v>338</v>
      </c>
      <c r="M107" s="227" t="s">
        <v>85</v>
      </c>
      <c r="O107" s="228" t="s">
        <v>335</v>
      </c>
      <c r="P107" s="228" t="s">
        <v>336</v>
      </c>
      <c r="Q107" s="228" t="s">
        <v>337</v>
      </c>
      <c r="R107" s="228" t="s">
        <v>338</v>
      </c>
      <c r="S107" s="228" t="s">
        <v>85</v>
      </c>
    </row>
    <row r="108" ht="15.75" customHeight="1">
      <c r="B108" s="229" t="s">
        <v>137</v>
      </c>
    </row>
    <row r="109" ht="15.75" customHeight="1">
      <c r="B109" s="230" t="s">
        <v>51</v>
      </c>
      <c r="C109" s="231">
        <v>0.0</v>
      </c>
      <c r="D109" s="231">
        <v>0.0</v>
      </c>
      <c r="E109" s="231">
        <v>0.6</v>
      </c>
      <c r="F109" s="231">
        <v>2.51</v>
      </c>
      <c r="G109" s="232">
        <f t="shared" ref="G109:G113" si="86">SUM(C109:F109)</f>
        <v>3.11</v>
      </c>
      <c r="I109" s="231">
        <v>0.0</v>
      </c>
      <c r="J109" s="231">
        <v>0.0</v>
      </c>
      <c r="K109" s="231">
        <v>0.6</v>
      </c>
      <c r="L109" s="231">
        <v>4.86</v>
      </c>
      <c r="M109" s="232">
        <f t="shared" ref="M109:M113" si="87">SUM(I109:L109)</f>
        <v>5.46</v>
      </c>
      <c r="O109" s="233" t="str">
        <f t="shared" ref="O109:S109" si="85">IFERROR(I109/C109-1,"")</f>
        <v/>
      </c>
      <c r="P109" s="233" t="str">
        <f t="shared" si="85"/>
        <v/>
      </c>
      <c r="Q109" s="233">
        <f t="shared" si="85"/>
        <v>0</v>
      </c>
      <c r="R109" s="233">
        <f t="shared" si="85"/>
        <v>0.9362549801</v>
      </c>
      <c r="S109" s="233">
        <f t="shared" si="85"/>
        <v>0.7556270096</v>
      </c>
    </row>
    <row r="110" ht="15.75" customHeight="1">
      <c r="B110" s="230" t="s">
        <v>52</v>
      </c>
      <c r="C110" s="231">
        <v>0.0</v>
      </c>
      <c r="D110" s="231">
        <v>0.0</v>
      </c>
      <c r="E110" s="231">
        <v>1.14</v>
      </c>
      <c r="F110" s="231">
        <v>3.18</v>
      </c>
      <c r="G110" s="232">
        <f t="shared" si="86"/>
        <v>4.32</v>
      </c>
      <c r="I110" s="231">
        <v>0.0</v>
      </c>
      <c r="J110" s="231">
        <v>0.0</v>
      </c>
      <c r="K110" s="231">
        <v>1.14</v>
      </c>
      <c r="L110" s="231">
        <v>7.34</v>
      </c>
      <c r="M110" s="232">
        <f t="shared" si="87"/>
        <v>8.48</v>
      </c>
      <c r="O110" s="233" t="str">
        <f t="shared" ref="O110:S110" si="88">IFERROR(I110/C110-1,"")</f>
        <v/>
      </c>
      <c r="P110" s="233" t="str">
        <f t="shared" si="88"/>
        <v/>
      </c>
      <c r="Q110" s="233">
        <f t="shared" si="88"/>
        <v>0</v>
      </c>
      <c r="R110" s="233">
        <f t="shared" si="88"/>
        <v>1.308176101</v>
      </c>
      <c r="S110" s="233">
        <f t="shared" si="88"/>
        <v>0.962962963</v>
      </c>
    </row>
    <row r="111" ht="15.75" customHeight="1">
      <c r="B111" s="230" t="s">
        <v>53</v>
      </c>
      <c r="C111" s="231">
        <v>0.0</v>
      </c>
      <c r="D111" s="231">
        <v>0.0</v>
      </c>
      <c r="E111" s="231">
        <v>1.87</v>
      </c>
      <c r="F111" s="231">
        <v>3.86</v>
      </c>
      <c r="G111" s="232">
        <f t="shared" si="86"/>
        <v>5.73</v>
      </c>
      <c r="I111" s="231">
        <v>0.0</v>
      </c>
      <c r="J111" s="231">
        <v>0.0</v>
      </c>
      <c r="K111" s="231">
        <v>1.87</v>
      </c>
      <c r="L111" s="231">
        <v>9.03</v>
      </c>
      <c r="M111" s="232">
        <f t="shared" si="87"/>
        <v>10.9</v>
      </c>
      <c r="O111" s="233" t="str">
        <f t="shared" ref="O111:S111" si="89">IFERROR(I111/C111-1,"")</f>
        <v/>
      </c>
      <c r="P111" s="233" t="str">
        <f t="shared" si="89"/>
        <v/>
      </c>
      <c r="Q111" s="233">
        <f t="shared" si="89"/>
        <v>0</v>
      </c>
      <c r="R111" s="233">
        <f t="shared" si="89"/>
        <v>1.339378238</v>
      </c>
      <c r="S111" s="233">
        <f t="shared" si="89"/>
        <v>0.9022687609</v>
      </c>
    </row>
    <row r="112" ht="15.75" customHeight="1">
      <c r="B112" s="230" t="s">
        <v>54</v>
      </c>
      <c r="C112" s="231">
        <v>0.0</v>
      </c>
      <c r="D112" s="231">
        <v>0.0</v>
      </c>
      <c r="E112" s="231">
        <v>3.73</v>
      </c>
      <c r="F112" s="231">
        <v>5.37</v>
      </c>
      <c r="G112" s="232">
        <f t="shared" si="86"/>
        <v>9.1</v>
      </c>
      <c r="I112" s="231">
        <v>0.0</v>
      </c>
      <c r="J112" s="231">
        <v>0.0</v>
      </c>
      <c r="K112" s="231">
        <v>3.73</v>
      </c>
      <c r="L112" s="231">
        <v>12.19</v>
      </c>
      <c r="M112" s="232">
        <f t="shared" si="87"/>
        <v>15.92</v>
      </c>
      <c r="O112" s="233" t="str">
        <f t="shared" ref="O112:S112" si="90">IFERROR(I112/C112-1,"")</f>
        <v/>
      </c>
      <c r="P112" s="233" t="str">
        <f t="shared" si="90"/>
        <v/>
      </c>
      <c r="Q112" s="233">
        <f t="shared" si="90"/>
        <v>0</v>
      </c>
      <c r="R112" s="233">
        <f t="shared" si="90"/>
        <v>1.270018622</v>
      </c>
      <c r="S112" s="233">
        <f t="shared" si="90"/>
        <v>0.7494505495</v>
      </c>
    </row>
    <row r="113" ht="15.75" customHeight="1">
      <c r="B113" s="230" t="s">
        <v>55</v>
      </c>
      <c r="C113" s="231">
        <v>0.0</v>
      </c>
      <c r="D113" s="231">
        <v>0.0</v>
      </c>
      <c r="E113" s="231">
        <v>6.49</v>
      </c>
      <c r="F113" s="231">
        <v>5.33</v>
      </c>
      <c r="G113" s="232">
        <f t="shared" si="86"/>
        <v>11.82</v>
      </c>
      <c r="I113" s="231">
        <v>0.0</v>
      </c>
      <c r="J113" s="231">
        <v>0.0</v>
      </c>
      <c r="K113" s="231">
        <v>6.49</v>
      </c>
      <c r="L113" s="231">
        <v>13.59</v>
      </c>
      <c r="M113" s="232">
        <f t="shared" si="87"/>
        <v>20.08</v>
      </c>
      <c r="O113" s="233" t="str">
        <f t="shared" ref="O113:S113" si="91">IFERROR(I113/C113-1,"")</f>
        <v/>
      </c>
      <c r="P113" s="233" t="str">
        <f t="shared" si="91"/>
        <v/>
      </c>
      <c r="Q113" s="233">
        <f t="shared" si="91"/>
        <v>0</v>
      </c>
      <c r="R113" s="233">
        <f t="shared" si="91"/>
        <v>1.549718574</v>
      </c>
      <c r="S113" s="233">
        <f t="shared" si="91"/>
        <v>0.6988155668</v>
      </c>
    </row>
    <row r="114" ht="15.75" customHeight="1">
      <c r="B114" s="229" t="s">
        <v>339</v>
      </c>
    </row>
    <row r="115" ht="15.75" customHeight="1">
      <c r="B115" s="230" t="s">
        <v>51</v>
      </c>
      <c r="C115" s="231">
        <v>0.0</v>
      </c>
      <c r="D115" s="231">
        <v>0.0</v>
      </c>
      <c r="E115" s="231">
        <v>0.63</v>
      </c>
      <c r="F115" s="231">
        <v>3.5</v>
      </c>
      <c r="G115" s="232">
        <f t="shared" ref="G115:G119" si="93">SUM(C115:F115)</f>
        <v>4.13</v>
      </c>
      <c r="I115" s="231">
        <v>0.0</v>
      </c>
      <c r="J115" s="231">
        <v>0.0</v>
      </c>
      <c r="K115" s="231">
        <v>0.63</v>
      </c>
      <c r="L115" s="231">
        <v>6.39</v>
      </c>
      <c r="M115" s="232">
        <f t="shared" ref="M115:M119" si="94">SUM(I115:L115)</f>
        <v>7.02</v>
      </c>
      <c r="O115" s="233" t="str">
        <f t="shared" ref="O115:S115" si="92">IFERROR(I115/C115-1,"")</f>
        <v/>
      </c>
      <c r="P115" s="233" t="str">
        <f t="shared" si="92"/>
        <v/>
      </c>
      <c r="Q115" s="233">
        <f t="shared" si="92"/>
        <v>0</v>
      </c>
      <c r="R115" s="233">
        <f t="shared" si="92"/>
        <v>0.8257142857</v>
      </c>
      <c r="S115" s="233">
        <f t="shared" si="92"/>
        <v>0.6997578692</v>
      </c>
    </row>
    <row r="116" ht="15.75" customHeight="1">
      <c r="B116" s="230" t="s">
        <v>52</v>
      </c>
      <c r="C116" s="231">
        <v>0.0</v>
      </c>
      <c r="D116" s="231">
        <v>0.0</v>
      </c>
      <c r="E116" s="231">
        <v>1.03</v>
      </c>
      <c r="F116" s="231">
        <v>4.08</v>
      </c>
      <c r="G116" s="232">
        <f t="shared" si="93"/>
        <v>5.11</v>
      </c>
      <c r="I116" s="231">
        <v>0.0</v>
      </c>
      <c r="J116" s="231">
        <v>0.0</v>
      </c>
      <c r="K116" s="231">
        <v>1.03</v>
      </c>
      <c r="L116" s="231">
        <v>8.38</v>
      </c>
      <c r="M116" s="232">
        <f t="shared" si="94"/>
        <v>9.41</v>
      </c>
      <c r="O116" s="233" t="str">
        <f t="shared" ref="O116:S116" si="95">IFERROR(I116/C116-1,"")</f>
        <v/>
      </c>
      <c r="P116" s="233" t="str">
        <f t="shared" si="95"/>
        <v/>
      </c>
      <c r="Q116" s="233">
        <f t="shared" si="95"/>
        <v>0</v>
      </c>
      <c r="R116" s="233">
        <f t="shared" si="95"/>
        <v>1.053921569</v>
      </c>
      <c r="S116" s="233">
        <f t="shared" si="95"/>
        <v>0.8414872798</v>
      </c>
    </row>
    <row r="117" ht="15.75" customHeight="1">
      <c r="B117" s="230" t="s">
        <v>53</v>
      </c>
      <c r="C117" s="231">
        <v>0.0</v>
      </c>
      <c r="D117" s="231">
        <v>0.0</v>
      </c>
      <c r="E117" s="231">
        <v>1.62</v>
      </c>
      <c r="F117" s="231">
        <v>5.03</v>
      </c>
      <c r="G117" s="232">
        <f t="shared" si="93"/>
        <v>6.65</v>
      </c>
      <c r="I117" s="231">
        <v>0.0</v>
      </c>
      <c r="J117" s="231">
        <v>0.0</v>
      </c>
      <c r="K117" s="231">
        <v>1.62</v>
      </c>
      <c r="L117" s="231">
        <v>10.14</v>
      </c>
      <c r="M117" s="232">
        <f t="shared" si="94"/>
        <v>11.76</v>
      </c>
      <c r="O117" s="233" t="str">
        <f t="shared" ref="O117:S117" si="96">IFERROR(I117/C117-1,"")</f>
        <v/>
      </c>
      <c r="P117" s="233" t="str">
        <f t="shared" si="96"/>
        <v/>
      </c>
      <c r="Q117" s="233">
        <f t="shared" si="96"/>
        <v>0</v>
      </c>
      <c r="R117" s="233">
        <f t="shared" si="96"/>
        <v>1.015904573</v>
      </c>
      <c r="S117" s="233">
        <f t="shared" si="96"/>
        <v>0.7684210526</v>
      </c>
    </row>
    <row r="118" ht="15.75" customHeight="1">
      <c r="B118" s="230" t="s">
        <v>54</v>
      </c>
      <c r="C118" s="231">
        <v>0.0</v>
      </c>
      <c r="D118" s="231">
        <v>0.0</v>
      </c>
      <c r="E118" s="231">
        <v>3.05</v>
      </c>
      <c r="F118" s="231">
        <v>6.79</v>
      </c>
      <c r="G118" s="232">
        <f t="shared" si="93"/>
        <v>9.84</v>
      </c>
      <c r="I118" s="231">
        <v>0.0</v>
      </c>
      <c r="J118" s="231">
        <v>0.0</v>
      </c>
      <c r="K118" s="231">
        <v>3.05</v>
      </c>
      <c r="L118" s="231">
        <v>13.21</v>
      </c>
      <c r="M118" s="232">
        <f t="shared" si="94"/>
        <v>16.26</v>
      </c>
      <c r="O118" s="233" t="str">
        <f t="shared" ref="O118:S118" si="97">IFERROR(I118/C118-1,"")</f>
        <v/>
      </c>
      <c r="P118" s="233" t="str">
        <f t="shared" si="97"/>
        <v/>
      </c>
      <c r="Q118" s="233">
        <f t="shared" si="97"/>
        <v>0</v>
      </c>
      <c r="R118" s="233">
        <f t="shared" si="97"/>
        <v>0.9455081001</v>
      </c>
      <c r="S118" s="233">
        <f t="shared" si="97"/>
        <v>0.6524390244</v>
      </c>
    </row>
    <row r="119" ht="15.75" customHeight="1">
      <c r="B119" s="230" t="s">
        <v>55</v>
      </c>
      <c r="C119" s="231">
        <v>0.0</v>
      </c>
      <c r="D119" s="231">
        <v>0.0</v>
      </c>
      <c r="E119" s="231">
        <v>5.61</v>
      </c>
      <c r="F119" s="231">
        <v>7.38</v>
      </c>
      <c r="G119" s="232">
        <f t="shared" si="93"/>
        <v>12.99</v>
      </c>
      <c r="I119" s="231">
        <v>0.0</v>
      </c>
      <c r="J119" s="231">
        <v>0.0</v>
      </c>
      <c r="K119" s="231">
        <v>5.61</v>
      </c>
      <c r="L119" s="231">
        <v>16.12</v>
      </c>
      <c r="M119" s="232">
        <f t="shared" si="94"/>
        <v>21.73</v>
      </c>
      <c r="O119" s="233" t="str">
        <f t="shared" ref="O119:S119" si="98">IFERROR(I119/C119-1,"")</f>
        <v/>
      </c>
      <c r="P119" s="233" t="str">
        <f t="shared" si="98"/>
        <v/>
      </c>
      <c r="Q119" s="233">
        <f t="shared" si="98"/>
        <v>0</v>
      </c>
      <c r="R119" s="233">
        <f t="shared" si="98"/>
        <v>1.184281843</v>
      </c>
      <c r="S119" s="233">
        <f t="shared" si="98"/>
        <v>0.6728252502</v>
      </c>
    </row>
    <row r="120" ht="15.75" customHeight="1"/>
    <row r="121" ht="15.75" customHeight="1"/>
    <row r="122" ht="15.75" customHeight="1">
      <c r="B122" s="222" t="s">
        <v>346</v>
      </c>
      <c r="C122" s="222"/>
      <c r="D122" s="222"/>
      <c r="E122" s="222"/>
      <c r="F122" s="222"/>
      <c r="G122" s="222"/>
      <c r="H122" s="222"/>
      <c r="I122" s="222"/>
      <c r="J122" s="222"/>
      <c r="K122" s="222"/>
      <c r="L122" s="222"/>
      <c r="M122" s="222"/>
      <c r="N122" s="222"/>
      <c r="O122" s="222"/>
      <c r="P122" s="222"/>
      <c r="Q122" s="222"/>
      <c r="R122" s="222"/>
      <c r="S122" s="222"/>
    </row>
    <row r="123" ht="15.75" customHeight="1">
      <c r="C123" s="223" t="s">
        <v>331</v>
      </c>
      <c r="D123" s="223"/>
      <c r="E123" s="223"/>
      <c r="F123" s="223"/>
      <c r="G123" s="223"/>
      <c r="I123" s="224" t="s">
        <v>332</v>
      </c>
      <c r="J123" s="224"/>
      <c r="K123" s="224"/>
      <c r="L123" s="224"/>
      <c r="M123" s="224"/>
      <c r="O123" s="225" t="s">
        <v>333</v>
      </c>
      <c r="P123" s="225"/>
      <c r="Q123" s="225"/>
      <c r="R123" s="225"/>
      <c r="S123" s="225"/>
    </row>
    <row r="124" ht="15.75" customHeight="1">
      <c r="B124" s="134" t="s">
        <v>334</v>
      </c>
      <c r="C124" s="226" t="s">
        <v>335</v>
      </c>
      <c r="D124" s="226" t="s">
        <v>336</v>
      </c>
      <c r="E124" s="226" t="s">
        <v>337</v>
      </c>
      <c r="F124" s="226" t="s">
        <v>338</v>
      </c>
      <c r="G124" s="226" t="s">
        <v>85</v>
      </c>
      <c r="I124" s="227" t="s">
        <v>335</v>
      </c>
      <c r="J124" s="227" t="s">
        <v>336</v>
      </c>
      <c r="K124" s="227" t="s">
        <v>337</v>
      </c>
      <c r="L124" s="227" t="s">
        <v>338</v>
      </c>
      <c r="M124" s="227" t="s">
        <v>85</v>
      </c>
      <c r="O124" s="228" t="s">
        <v>335</v>
      </c>
      <c r="P124" s="228" t="s">
        <v>336</v>
      </c>
      <c r="Q124" s="228" t="s">
        <v>337</v>
      </c>
      <c r="R124" s="228" t="s">
        <v>338</v>
      </c>
      <c r="S124" s="228" t="s">
        <v>85</v>
      </c>
    </row>
    <row r="125" ht="15.75" customHeight="1">
      <c r="B125" s="229" t="s">
        <v>137</v>
      </c>
    </row>
    <row r="126" ht="15.75" customHeight="1">
      <c r="B126" s="230" t="s">
        <v>51</v>
      </c>
      <c r="C126" s="231">
        <v>0.0</v>
      </c>
      <c r="D126" s="231">
        <v>0.0</v>
      </c>
      <c r="E126" s="231">
        <v>26.13</v>
      </c>
      <c r="F126" s="231">
        <v>4.35</v>
      </c>
      <c r="G126" s="232">
        <f t="shared" ref="G126:G130" si="100">SUM(C126:F126)</f>
        <v>30.48</v>
      </c>
      <c r="I126" s="231">
        <v>0.0</v>
      </c>
      <c r="J126" s="231">
        <v>0.0</v>
      </c>
      <c r="K126" s="231">
        <v>26.13</v>
      </c>
      <c r="L126" s="231">
        <v>2.7</v>
      </c>
      <c r="M126" s="232">
        <f t="shared" ref="M126:M130" si="101">SUM(I126:L126)</f>
        <v>28.83</v>
      </c>
      <c r="O126" s="233" t="str">
        <f t="shared" ref="O126:S126" si="99">IFERROR(I126/C126-1,"")</f>
        <v/>
      </c>
      <c r="P126" s="233" t="str">
        <f t="shared" si="99"/>
        <v/>
      </c>
      <c r="Q126" s="233">
        <f t="shared" si="99"/>
        <v>0</v>
      </c>
      <c r="R126" s="233">
        <f t="shared" si="99"/>
        <v>-0.3793103448</v>
      </c>
      <c r="S126" s="233">
        <f t="shared" si="99"/>
        <v>-0.05413385827</v>
      </c>
    </row>
    <row r="127" ht="15.75" customHeight="1">
      <c r="B127" s="230" t="s">
        <v>52</v>
      </c>
      <c r="C127" s="231">
        <v>0.0</v>
      </c>
      <c r="D127" s="231">
        <v>0.0</v>
      </c>
      <c r="E127" s="231">
        <v>14.01</v>
      </c>
      <c r="F127" s="231">
        <v>13.32</v>
      </c>
      <c r="G127" s="232">
        <f t="shared" si="100"/>
        <v>27.33</v>
      </c>
      <c r="I127" s="231">
        <v>0.0</v>
      </c>
      <c r="J127" s="231">
        <v>0.0</v>
      </c>
      <c r="K127" s="231">
        <v>14.01</v>
      </c>
      <c r="L127" s="231">
        <v>7.0</v>
      </c>
      <c r="M127" s="232">
        <f t="shared" si="101"/>
        <v>21.01</v>
      </c>
      <c r="O127" s="233" t="str">
        <f t="shared" ref="O127:S127" si="102">IFERROR(I127/C127-1,"")</f>
        <v/>
      </c>
      <c r="P127" s="233" t="str">
        <f t="shared" si="102"/>
        <v/>
      </c>
      <c r="Q127" s="233">
        <f t="shared" si="102"/>
        <v>0</v>
      </c>
      <c r="R127" s="233">
        <f t="shared" si="102"/>
        <v>-0.4744744745</v>
      </c>
      <c r="S127" s="233">
        <f t="shared" si="102"/>
        <v>-0.2312477131</v>
      </c>
    </row>
    <row r="128" ht="15.75" customHeight="1">
      <c r="B128" s="230" t="s">
        <v>53</v>
      </c>
      <c r="C128" s="231">
        <v>0.0</v>
      </c>
      <c r="D128" s="231">
        <v>0.0</v>
      </c>
      <c r="E128" s="231">
        <v>7.35</v>
      </c>
      <c r="F128" s="231">
        <v>19.61</v>
      </c>
      <c r="G128" s="232">
        <f t="shared" si="100"/>
        <v>26.96</v>
      </c>
      <c r="I128" s="231">
        <v>0.0</v>
      </c>
      <c r="J128" s="231">
        <v>0.0</v>
      </c>
      <c r="K128" s="231">
        <v>7.35</v>
      </c>
      <c r="L128" s="231">
        <v>10.8</v>
      </c>
      <c r="M128" s="232">
        <f t="shared" si="101"/>
        <v>18.15</v>
      </c>
      <c r="O128" s="233" t="str">
        <f t="shared" ref="O128:S128" si="103">IFERROR(I128/C128-1,"")</f>
        <v/>
      </c>
      <c r="P128" s="233" t="str">
        <f t="shared" si="103"/>
        <v/>
      </c>
      <c r="Q128" s="233">
        <f t="shared" si="103"/>
        <v>0</v>
      </c>
      <c r="R128" s="233">
        <f t="shared" si="103"/>
        <v>-0.4492605813</v>
      </c>
      <c r="S128" s="233">
        <f t="shared" si="103"/>
        <v>-0.3267804154</v>
      </c>
    </row>
    <row r="129" ht="15.75" customHeight="1">
      <c r="B129" s="230" t="s">
        <v>54</v>
      </c>
      <c r="C129" s="231">
        <v>0.0</v>
      </c>
      <c r="D129" s="231">
        <v>0.0</v>
      </c>
      <c r="E129" s="231">
        <v>5.75</v>
      </c>
      <c r="F129" s="231">
        <v>30.15</v>
      </c>
      <c r="G129" s="232">
        <f t="shared" si="100"/>
        <v>35.9</v>
      </c>
      <c r="I129" s="231">
        <v>0.0</v>
      </c>
      <c r="J129" s="231">
        <v>0.0</v>
      </c>
      <c r="K129" s="231">
        <v>5.75</v>
      </c>
      <c r="L129" s="231">
        <v>19.23</v>
      </c>
      <c r="M129" s="232">
        <f t="shared" si="101"/>
        <v>24.98</v>
      </c>
      <c r="O129" s="233" t="str">
        <f t="shared" ref="O129:S129" si="104">IFERROR(I129/C129-1,"")</f>
        <v/>
      </c>
      <c r="P129" s="233" t="str">
        <f t="shared" si="104"/>
        <v/>
      </c>
      <c r="Q129" s="233">
        <f t="shared" si="104"/>
        <v>0</v>
      </c>
      <c r="R129" s="233">
        <f t="shared" si="104"/>
        <v>-0.3621890547</v>
      </c>
      <c r="S129" s="233">
        <f t="shared" si="104"/>
        <v>-0.304178273</v>
      </c>
    </row>
    <row r="130" ht="15.75" customHeight="1">
      <c r="B130" s="230" t="s">
        <v>55</v>
      </c>
      <c r="C130" s="231">
        <v>0.0</v>
      </c>
      <c r="D130" s="231">
        <v>0.0</v>
      </c>
      <c r="E130" s="231">
        <v>3.04</v>
      </c>
      <c r="F130" s="231">
        <v>28.92</v>
      </c>
      <c r="G130" s="232">
        <f t="shared" si="100"/>
        <v>31.96</v>
      </c>
      <c r="I130" s="231">
        <v>0.0</v>
      </c>
      <c r="J130" s="231">
        <v>0.0</v>
      </c>
      <c r="K130" s="231">
        <v>3.04</v>
      </c>
      <c r="L130" s="231">
        <v>35.51</v>
      </c>
      <c r="M130" s="232">
        <f t="shared" si="101"/>
        <v>38.55</v>
      </c>
      <c r="O130" s="233" t="str">
        <f t="shared" ref="O130:S130" si="105">IFERROR(I130/C130-1,"")</f>
        <v/>
      </c>
      <c r="P130" s="233" t="str">
        <f t="shared" si="105"/>
        <v/>
      </c>
      <c r="Q130" s="233">
        <f t="shared" si="105"/>
        <v>0</v>
      </c>
      <c r="R130" s="233">
        <f t="shared" si="105"/>
        <v>0.2278699862</v>
      </c>
      <c r="S130" s="233">
        <f t="shared" si="105"/>
        <v>0.2061952441</v>
      </c>
    </row>
    <row r="131" ht="15.75" customHeight="1">
      <c r="B131" s="229" t="s">
        <v>339</v>
      </c>
    </row>
    <row r="132" ht="15.75" customHeight="1">
      <c r="B132" s="230" t="s">
        <v>51</v>
      </c>
      <c r="C132" s="231">
        <v>0.0</v>
      </c>
      <c r="D132" s="231">
        <v>0.0</v>
      </c>
      <c r="E132" s="231">
        <v>21.27</v>
      </c>
      <c r="F132" s="231">
        <v>8.21</v>
      </c>
      <c r="G132" s="232">
        <f t="shared" ref="G132:G136" si="107">SUM(C132:F132)</f>
        <v>29.48</v>
      </c>
      <c r="I132" s="231">
        <v>0.0</v>
      </c>
      <c r="J132" s="231">
        <v>0.0</v>
      </c>
      <c r="K132" s="231">
        <v>21.27</v>
      </c>
      <c r="L132" s="231">
        <v>7.09</v>
      </c>
      <c r="M132" s="232">
        <f t="shared" ref="M132:M136" si="108">SUM(I132:L132)</f>
        <v>28.36</v>
      </c>
      <c r="O132" s="233" t="str">
        <f t="shared" ref="O132:S132" si="106">IFERROR(I132/C132-1,"")</f>
        <v/>
      </c>
      <c r="P132" s="233" t="str">
        <f t="shared" si="106"/>
        <v/>
      </c>
      <c r="Q132" s="233">
        <f t="shared" si="106"/>
        <v>0</v>
      </c>
      <c r="R132" s="233">
        <f t="shared" si="106"/>
        <v>-0.1364190012</v>
      </c>
      <c r="S132" s="233">
        <f t="shared" si="106"/>
        <v>-0.03799185889</v>
      </c>
    </row>
    <row r="133" ht="15.75" customHeight="1">
      <c r="B133" s="230" t="s">
        <v>52</v>
      </c>
      <c r="C133" s="231">
        <v>0.0</v>
      </c>
      <c r="D133" s="231">
        <v>0.0</v>
      </c>
      <c r="E133" s="231">
        <v>10.97</v>
      </c>
      <c r="F133" s="231">
        <v>19.79</v>
      </c>
      <c r="G133" s="232">
        <f t="shared" si="107"/>
        <v>30.76</v>
      </c>
      <c r="I133" s="231">
        <v>0.0</v>
      </c>
      <c r="J133" s="231">
        <v>0.0</v>
      </c>
      <c r="K133" s="231">
        <v>10.97</v>
      </c>
      <c r="L133" s="231">
        <v>14.51</v>
      </c>
      <c r="M133" s="232">
        <f t="shared" si="108"/>
        <v>25.48</v>
      </c>
      <c r="O133" s="233" t="str">
        <f t="shared" ref="O133:S133" si="109">IFERROR(I133/C133-1,"")</f>
        <v/>
      </c>
      <c r="P133" s="233" t="str">
        <f t="shared" si="109"/>
        <v/>
      </c>
      <c r="Q133" s="233">
        <f t="shared" si="109"/>
        <v>0</v>
      </c>
      <c r="R133" s="233">
        <f t="shared" si="109"/>
        <v>-0.2668014149</v>
      </c>
      <c r="S133" s="233">
        <f t="shared" si="109"/>
        <v>-0.1716514954</v>
      </c>
    </row>
    <row r="134" ht="15.75" customHeight="1">
      <c r="B134" s="230" t="s">
        <v>53</v>
      </c>
      <c r="C134" s="231">
        <v>0.0</v>
      </c>
      <c r="D134" s="231">
        <v>0.0</v>
      </c>
      <c r="E134" s="231">
        <v>5.82</v>
      </c>
      <c r="F134" s="231">
        <v>27.01</v>
      </c>
      <c r="G134" s="232">
        <f t="shared" si="107"/>
        <v>32.83</v>
      </c>
      <c r="I134" s="231">
        <v>0.0</v>
      </c>
      <c r="J134" s="231">
        <v>0.0</v>
      </c>
      <c r="K134" s="231">
        <v>5.82</v>
      </c>
      <c r="L134" s="231">
        <v>18.73</v>
      </c>
      <c r="M134" s="232">
        <f t="shared" si="108"/>
        <v>24.55</v>
      </c>
      <c r="O134" s="233" t="str">
        <f t="shared" ref="O134:S134" si="110">IFERROR(I134/C134-1,"")</f>
        <v/>
      </c>
      <c r="P134" s="233" t="str">
        <f t="shared" si="110"/>
        <v/>
      </c>
      <c r="Q134" s="233">
        <f t="shared" si="110"/>
        <v>0</v>
      </c>
      <c r="R134" s="233">
        <f t="shared" si="110"/>
        <v>-0.3065531285</v>
      </c>
      <c r="S134" s="233">
        <f t="shared" si="110"/>
        <v>-0.252208346</v>
      </c>
    </row>
    <row r="135" ht="15.75" customHeight="1">
      <c r="B135" s="230" t="s">
        <v>54</v>
      </c>
      <c r="C135" s="231">
        <v>0.0</v>
      </c>
      <c r="D135" s="231">
        <v>0.0</v>
      </c>
      <c r="E135" s="231">
        <v>4.05</v>
      </c>
      <c r="F135" s="231">
        <v>35.82</v>
      </c>
      <c r="G135" s="232">
        <f t="shared" si="107"/>
        <v>39.87</v>
      </c>
      <c r="I135" s="231">
        <v>0.0</v>
      </c>
      <c r="J135" s="231">
        <v>0.0</v>
      </c>
      <c r="K135" s="231">
        <v>4.05</v>
      </c>
      <c r="L135" s="231">
        <v>25.27</v>
      </c>
      <c r="M135" s="232">
        <f t="shared" si="108"/>
        <v>29.32</v>
      </c>
      <c r="O135" s="233" t="str">
        <f t="shared" ref="O135:S135" si="111">IFERROR(I135/C135-1,"")</f>
        <v/>
      </c>
      <c r="P135" s="233" t="str">
        <f t="shared" si="111"/>
        <v/>
      </c>
      <c r="Q135" s="233">
        <f t="shared" si="111"/>
        <v>0</v>
      </c>
      <c r="R135" s="233">
        <f t="shared" si="111"/>
        <v>-0.2945281965</v>
      </c>
      <c r="S135" s="233">
        <f t="shared" si="111"/>
        <v>-0.2646099824</v>
      </c>
    </row>
    <row r="136" ht="15.75" customHeight="1">
      <c r="B136" s="230" t="s">
        <v>55</v>
      </c>
      <c r="C136" s="231">
        <v>0.0</v>
      </c>
      <c r="D136" s="231">
        <v>0.0</v>
      </c>
      <c r="E136" s="231">
        <v>2.13</v>
      </c>
      <c r="F136" s="231">
        <v>37.35</v>
      </c>
      <c r="G136" s="232">
        <f t="shared" si="107"/>
        <v>39.48</v>
      </c>
      <c r="I136" s="231">
        <v>0.0</v>
      </c>
      <c r="J136" s="231">
        <v>0.0</v>
      </c>
      <c r="K136" s="231">
        <v>2.13</v>
      </c>
      <c r="L136" s="231">
        <v>45.75</v>
      </c>
      <c r="M136" s="232">
        <f t="shared" si="108"/>
        <v>47.88</v>
      </c>
      <c r="O136" s="233" t="str">
        <f t="shared" ref="O136:S136" si="112">IFERROR(I136/C136-1,"")</f>
        <v/>
      </c>
      <c r="P136" s="233" t="str">
        <f t="shared" si="112"/>
        <v/>
      </c>
      <c r="Q136" s="233">
        <f t="shared" si="112"/>
        <v>0</v>
      </c>
      <c r="R136" s="233">
        <f t="shared" si="112"/>
        <v>0.2248995984</v>
      </c>
      <c r="S136" s="233">
        <f t="shared" si="112"/>
        <v>0.2127659574</v>
      </c>
    </row>
    <row r="137" ht="15.75" customHeight="1"/>
    <row r="138" ht="15.75" customHeight="1"/>
    <row r="139" ht="15.75" customHeight="1">
      <c r="B139" s="222" t="s">
        <v>347</v>
      </c>
      <c r="C139" s="222"/>
      <c r="D139" s="222"/>
      <c r="E139" s="222"/>
      <c r="F139" s="222"/>
      <c r="G139" s="222"/>
      <c r="H139" s="222"/>
      <c r="I139" s="222"/>
      <c r="J139" s="222"/>
      <c r="K139" s="222"/>
      <c r="L139" s="222"/>
      <c r="M139" s="222"/>
      <c r="N139" s="222"/>
      <c r="O139" s="222"/>
      <c r="P139" s="222"/>
      <c r="Q139" s="222"/>
      <c r="R139" s="222"/>
      <c r="S139" s="222"/>
    </row>
    <row r="140" ht="15.75" customHeight="1">
      <c r="C140" s="223" t="s">
        <v>331</v>
      </c>
      <c r="D140" s="223"/>
      <c r="E140" s="223"/>
      <c r="F140" s="223"/>
      <c r="G140" s="223"/>
      <c r="I140" s="224" t="s">
        <v>332</v>
      </c>
      <c r="J140" s="224"/>
      <c r="K140" s="224"/>
      <c r="L140" s="224"/>
      <c r="M140" s="224"/>
      <c r="O140" s="225" t="s">
        <v>333</v>
      </c>
      <c r="P140" s="225"/>
      <c r="Q140" s="225"/>
      <c r="R140" s="225"/>
      <c r="S140" s="225"/>
    </row>
    <row r="141" ht="15.75" customHeight="1">
      <c r="B141" s="134" t="s">
        <v>334</v>
      </c>
      <c r="C141" s="226" t="s">
        <v>335</v>
      </c>
      <c r="D141" s="226" t="s">
        <v>336</v>
      </c>
      <c r="E141" s="226" t="s">
        <v>337</v>
      </c>
      <c r="F141" s="226" t="s">
        <v>338</v>
      </c>
      <c r="G141" s="226" t="s">
        <v>85</v>
      </c>
      <c r="I141" s="227" t="s">
        <v>335</v>
      </c>
      <c r="J141" s="227" t="s">
        <v>336</v>
      </c>
      <c r="K141" s="227" t="s">
        <v>337</v>
      </c>
      <c r="L141" s="227" t="s">
        <v>338</v>
      </c>
      <c r="M141" s="227" t="s">
        <v>85</v>
      </c>
      <c r="O141" s="228" t="s">
        <v>335</v>
      </c>
      <c r="P141" s="228" t="s">
        <v>336</v>
      </c>
      <c r="Q141" s="228" t="s">
        <v>337</v>
      </c>
      <c r="R141" s="228" t="s">
        <v>338</v>
      </c>
      <c r="S141" s="228" t="s">
        <v>85</v>
      </c>
    </row>
    <row r="142" ht="15.75" customHeight="1">
      <c r="B142" s="229" t="s">
        <v>137</v>
      </c>
    </row>
    <row r="143" ht="15.75" customHeight="1">
      <c r="B143" s="230" t="s">
        <v>51</v>
      </c>
      <c r="C143" s="231">
        <v>0.0</v>
      </c>
      <c r="D143" s="231">
        <v>0.0</v>
      </c>
      <c r="E143" s="231">
        <v>11.31</v>
      </c>
      <c r="F143" s="231">
        <v>21.19</v>
      </c>
      <c r="G143" s="232">
        <f t="shared" ref="G143:G147" si="114">SUM(C143:F143)</f>
        <v>32.5</v>
      </c>
      <c r="I143" s="231">
        <v>0.0</v>
      </c>
      <c r="J143" s="231">
        <v>0.0</v>
      </c>
      <c r="K143" s="231">
        <v>11.31</v>
      </c>
      <c r="L143" s="231">
        <v>19.33</v>
      </c>
      <c r="M143" s="232">
        <f t="shared" ref="M143:M147" si="115">SUM(I143:L143)</f>
        <v>30.64</v>
      </c>
      <c r="O143" s="233" t="str">
        <f t="shared" ref="O143:S143" si="113">IFERROR(I143/C143-1,"")</f>
        <v/>
      </c>
      <c r="P143" s="233" t="str">
        <f t="shared" si="113"/>
        <v/>
      </c>
      <c r="Q143" s="233">
        <f t="shared" si="113"/>
        <v>0</v>
      </c>
      <c r="R143" s="233">
        <f t="shared" si="113"/>
        <v>-0.08777725342</v>
      </c>
      <c r="S143" s="233">
        <f t="shared" si="113"/>
        <v>-0.05723076923</v>
      </c>
    </row>
    <row r="144" ht="15.75" customHeight="1">
      <c r="B144" s="230" t="s">
        <v>52</v>
      </c>
      <c r="C144" s="231">
        <v>0.0</v>
      </c>
      <c r="D144" s="231">
        <v>0.0</v>
      </c>
      <c r="E144" s="231">
        <v>9.4</v>
      </c>
      <c r="F144" s="231">
        <v>24.12</v>
      </c>
      <c r="G144" s="232">
        <f t="shared" si="114"/>
        <v>33.52</v>
      </c>
      <c r="I144" s="231">
        <v>0.0</v>
      </c>
      <c r="J144" s="231">
        <v>0.0</v>
      </c>
      <c r="K144" s="231">
        <v>9.4</v>
      </c>
      <c r="L144" s="231">
        <v>19.97</v>
      </c>
      <c r="M144" s="232">
        <f t="shared" si="115"/>
        <v>29.37</v>
      </c>
      <c r="O144" s="233" t="str">
        <f t="shared" ref="O144:S144" si="116">IFERROR(I144/C144-1,"")</f>
        <v/>
      </c>
      <c r="P144" s="233" t="str">
        <f t="shared" si="116"/>
        <v/>
      </c>
      <c r="Q144" s="233">
        <f t="shared" si="116"/>
        <v>0</v>
      </c>
      <c r="R144" s="233">
        <f t="shared" si="116"/>
        <v>-0.1720563847</v>
      </c>
      <c r="S144" s="233">
        <f t="shared" si="116"/>
        <v>-0.1238066826</v>
      </c>
    </row>
    <row r="145" ht="15.75" customHeight="1">
      <c r="B145" s="230" t="s">
        <v>53</v>
      </c>
      <c r="C145" s="231">
        <v>0.0</v>
      </c>
      <c r="D145" s="231">
        <v>0.0</v>
      </c>
      <c r="E145" s="231">
        <v>8.38</v>
      </c>
      <c r="F145" s="231">
        <v>28.16</v>
      </c>
      <c r="G145" s="232">
        <f t="shared" si="114"/>
        <v>36.54</v>
      </c>
      <c r="I145" s="231">
        <v>0.0</v>
      </c>
      <c r="J145" s="231">
        <v>0.0</v>
      </c>
      <c r="K145" s="231">
        <v>8.38</v>
      </c>
      <c r="L145" s="231">
        <v>22.09</v>
      </c>
      <c r="M145" s="232">
        <f t="shared" si="115"/>
        <v>30.47</v>
      </c>
      <c r="O145" s="233" t="str">
        <f t="shared" ref="O145:S145" si="117">IFERROR(I145/C145-1,"")</f>
        <v/>
      </c>
      <c r="P145" s="233" t="str">
        <f t="shared" si="117"/>
        <v/>
      </c>
      <c r="Q145" s="233">
        <f t="shared" si="117"/>
        <v>0</v>
      </c>
      <c r="R145" s="233">
        <f t="shared" si="117"/>
        <v>-0.2155539773</v>
      </c>
      <c r="S145" s="233">
        <f t="shared" si="117"/>
        <v>-0.1661193213</v>
      </c>
    </row>
    <row r="146" ht="15.75" customHeight="1">
      <c r="B146" s="230" t="s">
        <v>54</v>
      </c>
      <c r="C146" s="231">
        <v>0.0</v>
      </c>
      <c r="D146" s="231">
        <v>0.0</v>
      </c>
      <c r="E146" s="231">
        <v>8.18</v>
      </c>
      <c r="F146" s="231">
        <v>44.59</v>
      </c>
      <c r="G146" s="232">
        <f t="shared" si="114"/>
        <v>52.77</v>
      </c>
      <c r="I146" s="231">
        <v>0.0</v>
      </c>
      <c r="J146" s="231">
        <v>0.0</v>
      </c>
      <c r="K146" s="231">
        <v>8.18</v>
      </c>
      <c r="L146" s="231">
        <v>44.78</v>
      </c>
      <c r="M146" s="232">
        <f t="shared" si="115"/>
        <v>52.96</v>
      </c>
      <c r="O146" s="233" t="str">
        <f t="shared" ref="O146:S146" si="118">IFERROR(I146/C146-1,"")</f>
        <v/>
      </c>
      <c r="P146" s="233" t="str">
        <f t="shared" si="118"/>
        <v/>
      </c>
      <c r="Q146" s="233">
        <f t="shared" si="118"/>
        <v>0</v>
      </c>
      <c r="R146" s="233">
        <f t="shared" si="118"/>
        <v>0.004261045077</v>
      </c>
      <c r="S146" s="233">
        <f t="shared" si="118"/>
        <v>0.003600530605</v>
      </c>
    </row>
    <row r="147" ht="15.75" customHeight="1">
      <c r="B147" s="230" t="s">
        <v>55</v>
      </c>
      <c r="C147" s="231">
        <v>0.0</v>
      </c>
      <c r="D147" s="231">
        <v>0.0</v>
      </c>
      <c r="E147" s="231">
        <v>4.88</v>
      </c>
      <c r="F147" s="231">
        <v>46.2</v>
      </c>
      <c r="G147" s="232">
        <f t="shared" si="114"/>
        <v>51.08</v>
      </c>
      <c r="I147" s="231">
        <v>0.0</v>
      </c>
      <c r="J147" s="231">
        <v>0.0</v>
      </c>
      <c r="K147" s="231">
        <v>4.88</v>
      </c>
      <c r="L147" s="231">
        <v>48.74</v>
      </c>
      <c r="M147" s="232">
        <f t="shared" si="115"/>
        <v>53.62</v>
      </c>
      <c r="O147" s="233" t="str">
        <f t="shared" ref="O147:S147" si="119">IFERROR(I147/C147-1,"")</f>
        <v/>
      </c>
      <c r="P147" s="233" t="str">
        <f t="shared" si="119"/>
        <v/>
      </c>
      <c r="Q147" s="233">
        <f t="shared" si="119"/>
        <v>0</v>
      </c>
      <c r="R147" s="233">
        <f t="shared" si="119"/>
        <v>0.05497835498</v>
      </c>
      <c r="S147" s="233">
        <f t="shared" si="119"/>
        <v>0.04972592013</v>
      </c>
    </row>
    <row r="148" ht="15.75" customHeight="1">
      <c r="B148" s="229" t="s">
        <v>339</v>
      </c>
    </row>
    <row r="149" ht="15.75" customHeight="1">
      <c r="B149" s="230" t="s">
        <v>51</v>
      </c>
      <c r="C149" s="231">
        <v>0.0</v>
      </c>
      <c r="D149" s="231">
        <v>0.0</v>
      </c>
      <c r="E149" s="231">
        <v>14.44</v>
      </c>
      <c r="F149" s="231">
        <v>26.29</v>
      </c>
      <c r="G149" s="232">
        <f t="shared" ref="G149:G153" si="121">SUM(C149:F149)</f>
        <v>40.73</v>
      </c>
      <c r="I149" s="231">
        <v>0.0</v>
      </c>
      <c r="J149" s="231">
        <v>0.0</v>
      </c>
      <c r="K149" s="231">
        <v>14.44</v>
      </c>
      <c r="L149" s="231">
        <v>24.55</v>
      </c>
      <c r="M149" s="232">
        <f t="shared" ref="M149:M153" si="122">SUM(I149:L149)</f>
        <v>38.99</v>
      </c>
      <c r="O149" s="233" t="str">
        <f t="shared" ref="O149:S149" si="120">IFERROR(I149/C149-1,"")</f>
        <v/>
      </c>
      <c r="P149" s="233" t="str">
        <f t="shared" si="120"/>
        <v/>
      </c>
      <c r="Q149" s="233">
        <f t="shared" si="120"/>
        <v>0</v>
      </c>
      <c r="R149" s="233">
        <f t="shared" si="120"/>
        <v>-0.06618486116</v>
      </c>
      <c r="S149" s="233">
        <f t="shared" si="120"/>
        <v>-0.04272035355</v>
      </c>
    </row>
    <row r="150" ht="15.75" customHeight="1">
      <c r="B150" s="230" t="s">
        <v>52</v>
      </c>
      <c r="C150" s="231">
        <v>0.0</v>
      </c>
      <c r="D150" s="231">
        <v>0.0</v>
      </c>
      <c r="E150" s="231">
        <v>9.29</v>
      </c>
      <c r="F150" s="231">
        <v>32.23</v>
      </c>
      <c r="G150" s="232">
        <f t="shared" si="121"/>
        <v>41.52</v>
      </c>
      <c r="I150" s="231">
        <v>0.0</v>
      </c>
      <c r="J150" s="231">
        <v>0.0</v>
      </c>
      <c r="K150" s="231">
        <v>9.29</v>
      </c>
      <c r="L150" s="231">
        <v>28.41</v>
      </c>
      <c r="M150" s="232">
        <f t="shared" si="122"/>
        <v>37.7</v>
      </c>
      <c r="O150" s="233" t="str">
        <f t="shared" ref="O150:S150" si="123">IFERROR(I150/C150-1,"")</f>
        <v/>
      </c>
      <c r="P150" s="233" t="str">
        <f t="shared" si="123"/>
        <v/>
      </c>
      <c r="Q150" s="233">
        <f t="shared" si="123"/>
        <v>0</v>
      </c>
      <c r="R150" s="233">
        <f t="shared" si="123"/>
        <v>-0.1185231151</v>
      </c>
      <c r="S150" s="233">
        <f t="shared" si="123"/>
        <v>-0.09200385356</v>
      </c>
    </row>
    <row r="151" ht="15.75" customHeight="1">
      <c r="B151" s="230" t="s">
        <v>53</v>
      </c>
      <c r="C151" s="231">
        <v>0.0</v>
      </c>
      <c r="D151" s="231">
        <v>0.0</v>
      </c>
      <c r="E151" s="231">
        <v>7.12</v>
      </c>
      <c r="F151" s="231">
        <v>38.74</v>
      </c>
      <c r="G151" s="232">
        <f t="shared" si="121"/>
        <v>45.86</v>
      </c>
      <c r="I151" s="231">
        <v>0.0</v>
      </c>
      <c r="J151" s="231">
        <v>0.0</v>
      </c>
      <c r="K151" s="231">
        <v>7.12</v>
      </c>
      <c r="L151" s="231">
        <v>33.18</v>
      </c>
      <c r="M151" s="232">
        <f t="shared" si="122"/>
        <v>40.3</v>
      </c>
      <c r="O151" s="233" t="str">
        <f t="shared" ref="O151:S151" si="124">IFERROR(I151/C151-1,"")</f>
        <v/>
      </c>
      <c r="P151" s="233" t="str">
        <f t="shared" si="124"/>
        <v/>
      </c>
      <c r="Q151" s="233">
        <f t="shared" si="124"/>
        <v>0</v>
      </c>
      <c r="R151" s="233">
        <f t="shared" si="124"/>
        <v>-0.1435209086</v>
      </c>
      <c r="S151" s="233">
        <f t="shared" si="124"/>
        <v>-0.1212385521</v>
      </c>
    </row>
    <row r="152" ht="15.75" customHeight="1">
      <c r="B152" s="230" t="s">
        <v>54</v>
      </c>
      <c r="C152" s="231">
        <v>0.0</v>
      </c>
      <c r="D152" s="231">
        <v>0.0</v>
      </c>
      <c r="E152" s="231">
        <v>6.2</v>
      </c>
      <c r="F152" s="231">
        <v>55.1</v>
      </c>
      <c r="G152" s="232">
        <f t="shared" si="121"/>
        <v>61.3</v>
      </c>
      <c r="I152" s="231">
        <v>0.0</v>
      </c>
      <c r="J152" s="231">
        <v>0.0</v>
      </c>
      <c r="K152" s="231">
        <v>6.2</v>
      </c>
      <c r="L152" s="231">
        <v>55.72</v>
      </c>
      <c r="M152" s="232">
        <f t="shared" si="122"/>
        <v>61.92</v>
      </c>
      <c r="O152" s="233" t="str">
        <f t="shared" ref="O152:S152" si="125">IFERROR(I152/C152-1,"")</f>
        <v/>
      </c>
      <c r="P152" s="233" t="str">
        <f t="shared" si="125"/>
        <v/>
      </c>
      <c r="Q152" s="233">
        <f t="shared" si="125"/>
        <v>0</v>
      </c>
      <c r="R152" s="233">
        <f t="shared" si="125"/>
        <v>0.0112522686</v>
      </c>
      <c r="S152" s="233">
        <f t="shared" si="125"/>
        <v>0.0101141925</v>
      </c>
    </row>
    <row r="153" ht="15.75" customHeight="1">
      <c r="B153" s="230" t="s">
        <v>55</v>
      </c>
      <c r="C153" s="231">
        <v>0.0</v>
      </c>
      <c r="D153" s="231">
        <v>0.0</v>
      </c>
      <c r="E153" s="231">
        <v>3.27</v>
      </c>
      <c r="F153" s="231">
        <v>62.95</v>
      </c>
      <c r="G153" s="232">
        <f t="shared" si="121"/>
        <v>66.22</v>
      </c>
      <c r="I153" s="231">
        <v>0.0</v>
      </c>
      <c r="J153" s="231">
        <v>0.0</v>
      </c>
      <c r="K153" s="231">
        <v>3.27</v>
      </c>
      <c r="L153" s="231">
        <v>66.42</v>
      </c>
      <c r="M153" s="232">
        <f t="shared" si="122"/>
        <v>69.69</v>
      </c>
      <c r="O153" s="233" t="str">
        <f t="shared" ref="O153:S153" si="126">IFERROR(I153/C153-1,"")</f>
        <v/>
      </c>
      <c r="P153" s="233" t="str">
        <f t="shared" si="126"/>
        <v/>
      </c>
      <c r="Q153" s="233">
        <f t="shared" si="126"/>
        <v>0</v>
      </c>
      <c r="R153" s="233">
        <f t="shared" si="126"/>
        <v>0.05512311358</v>
      </c>
      <c r="S153" s="233">
        <f t="shared" si="126"/>
        <v>0.05240108728</v>
      </c>
    </row>
    <row r="154" ht="15.75" customHeight="1"/>
    <row r="155" ht="15.75" customHeight="1"/>
    <row r="156" ht="15.75" customHeight="1">
      <c r="B156" s="222" t="s">
        <v>348</v>
      </c>
      <c r="C156" s="222"/>
      <c r="D156" s="222"/>
      <c r="E156" s="222"/>
      <c r="F156" s="222"/>
      <c r="G156" s="222"/>
      <c r="H156" s="222"/>
      <c r="I156" s="222"/>
      <c r="J156" s="222"/>
      <c r="K156" s="222"/>
      <c r="L156" s="222"/>
      <c r="M156" s="222"/>
      <c r="N156" s="222"/>
      <c r="O156" s="222"/>
      <c r="P156" s="222"/>
      <c r="Q156" s="222"/>
      <c r="R156" s="222"/>
      <c r="S156" s="222"/>
    </row>
    <row r="157" ht="15.75" customHeight="1">
      <c r="C157" s="223" t="s">
        <v>331</v>
      </c>
      <c r="D157" s="223"/>
      <c r="E157" s="223"/>
      <c r="F157" s="223"/>
      <c r="G157" s="223"/>
      <c r="I157" s="224" t="s">
        <v>332</v>
      </c>
      <c r="J157" s="224"/>
      <c r="K157" s="224"/>
      <c r="L157" s="224"/>
      <c r="M157" s="224"/>
      <c r="O157" s="225" t="s">
        <v>333</v>
      </c>
      <c r="P157" s="225"/>
      <c r="Q157" s="225"/>
      <c r="R157" s="225"/>
      <c r="S157" s="225"/>
    </row>
    <row r="158" ht="15.75" customHeight="1">
      <c r="B158" s="134" t="s">
        <v>334</v>
      </c>
      <c r="C158" s="226" t="s">
        <v>335</v>
      </c>
      <c r="D158" s="226" t="s">
        <v>336</v>
      </c>
      <c r="E158" s="226" t="s">
        <v>337</v>
      </c>
      <c r="F158" s="226" t="s">
        <v>338</v>
      </c>
      <c r="G158" s="226" t="s">
        <v>85</v>
      </c>
      <c r="I158" s="227" t="s">
        <v>335</v>
      </c>
      <c r="J158" s="227" t="s">
        <v>336</v>
      </c>
      <c r="K158" s="227" t="s">
        <v>337</v>
      </c>
      <c r="L158" s="227" t="s">
        <v>338</v>
      </c>
      <c r="M158" s="227" t="s">
        <v>85</v>
      </c>
      <c r="O158" s="228" t="s">
        <v>335</v>
      </c>
      <c r="P158" s="228" t="s">
        <v>336</v>
      </c>
      <c r="Q158" s="228" t="s">
        <v>337</v>
      </c>
      <c r="R158" s="228" t="s">
        <v>338</v>
      </c>
      <c r="S158" s="228" t="s">
        <v>85</v>
      </c>
    </row>
    <row r="159" ht="15.75" customHeight="1">
      <c r="B159" s="229" t="s">
        <v>137</v>
      </c>
    </row>
    <row r="160" ht="15.75" customHeight="1">
      <c r="B160" s="230" t="s">
        <v>51</v>
      </c>
      <c r="C160" s="231">
        <v>0.0</v>
      </c>
      <c r="D160" s="231">
        <v>0.0</v>
      </c>
      <c r="E160" s="231">
        <v>8.98</v>
      </c>
      <c r="F160" s="231">
        <v>23.93</v>
      </c>
      <c r="G160" s="232">
        <f t="shared" ref="G160:G164" si="128">SUM(C160:F160)</f>
        <v>32.91</v>
      </c>
      <c r="I160" s="231">
        <v>0.0</v>
      </c>
      <c r="J160" s="231">
        <v>0.0</v>
      </c>
      <c r="K160" s="231">
        <v>8.98</v>
      </c>
      <c r="L160" s="231">
        <v>22.83</v>
      </c>
      <c r="M160" s="232">
        <f t="shared" ref="M160:M164" si="129">SUM(I160:L160)</f>
        <v>31.81</v>
      </c>
      <c r="O160" s="233" t="str">
        <f t="shared" ref="O160:S160" si="127">IFERROR(I160/C160-1,"")</f>
        <v/>
      </c>
      <c r="P160" s="233" t="str">
        <f t="shared" si="127"/>
        <v/>
      </c>
      <c r="Q160" s="233">
        <f t="shared" si="127"/>
        <v>0</v>
      </c>
      <c r="R160" s="233">
        <f t="shared" si="127"/>
        <v>-0.04596740493</v>
      </c>
      <c r="S160" s="233">
        <f t="shared" si="127"/>
        <v>-0.03342449104</v>
      </c>
    </row>
    <row r="161" ht="15.75" customHeight="1">
      <c r="B161" s="230" t="s">
        <v>52</v>
      </c>
      <c r="C161" s="231">
        <v>0.0</v>
      </c>
      <c r="D161" s="231">
        <v>0.0</v>
      </c>
      <c r="E161" s="231">
        <v>7.75</v>
      </c>
      <c r="F161" s="231">
        <v>29.56</v>
      </c>
      <c r="G161" s="232">
        <f t="shared" si="128"/>
        <v>37.31</v>
      </c>
      <c r="I161" s="231">
        <v>0.0</v>
      </c>
      <c r="J161" s="231">
        <v>0.0</v>
      </c>
      <c r="K161" s="231">
        <v>7.75</v>
      </c>
      <c r="L161" s="231">
        <v>42.27</v>
      </c>
      <c r="M161" s="232">
        <f t="shared" si="129"/>
        <v>50.02</v>
      </c>
      <c r="O161" s="233" t="str">
        <f t="shared" ref="O161:S161" si="130">IFERROR(I161/C161-1,"")</f>
        <v/>
      </c>
      <c r="P161" s="233" t="str">
        <f t="shared" si="130"/>
        <v/>
      </c>
      <c r="Q161" s="233">
        <f t="shared" si="130"/>
        <v>0</v>
      </c>
      <c r="R161" s="233">
        <f t="shared" si="130"/>
        <v>0.4299729364</v>
      </c>
      <c r="S161" s="233">
        <f t="shared" si="130"/>
        <v>0.3406593407</v>
      </c>
    </row>
    <row r="162" ht="15.75" customHeight="1">
      <c r="B162" s="230" t="s">
        <v>53</v>
      </c>
      <c r="C162" s="231">
        <v>0.0</v>
      </c>
      <c r="D162" s="231">
        <v>0.0</v>
      </c>
      <c r="E162" s="231">
        <v>7.25</v>
      </c>
      <c r="F162" s="231">
        <v>39.47</v>
      </c>
      <c r="G162" s="232">
        <f t="shared" si="128"/>
        <v>46.72</v>
      </c>
      <c r="I162" s="231">
        <v>0.0</v>
      </c>
      <c r="J162" s="231">
        <v>0.0</v>
      </c>
      <c r="K162" s="231">
        <v>7.25</v>
      </c>
      <c r="L162" s="231">
        <v>58.96</v>
      </c>
      <c r="M162" s="232">
        <f t="shared" si="129"/>
        <v>66.21</v>
      </c>
      <c r="O162" s="233" t="str">
        <f t="shared" ref="O162:S162" si="131">IFERROR(I162/C162-1,"")</f>
        <v/>
      </c>
      <c r="P162" s="233" t="str">
        <f t="shared" si="131"/>
        <v/>
      </c>
      <c r="Q162" s="233">
        <f t="shared" si="131"/>
        <v>0</v>
      </c>
      <c r="R162" s="233">
        <f t="shared" si="131"/>
        <v>0.493792754</v>
      </c>
      <c r="S162" s="233">
        <f t="shared" si="131"/>
        <v>0.4171660959</v>
      </c>
    </row>
    <row r="163" ht="15.75" customHeight="1">
      <c r="B163" s="230" t="s">
        <v>54</v>
      </c>
      <c r="C163" s="231">
        <v>0.0</v>
      </c>
      <c r="D163" s="231">
        <v>0.0</v>
      </c>
      <c r="E163" s="231">
        <v>10.05</v>
      </c>
      <c r="F163" s="231">
        <v>58.13</v>
      </c>
      <c r="G163" s="232">
        <f t="shared" si="128"/>
        <v>68.18</v>
      </c>
      <c r="I163" s="231">
        <v>0.0</v>
      </c>
      <c r="J163" s="231">
        <v>0.0</v>
      </c>
      <c r="K163" s="231">
        <v>10.05</v>
      </c>
      <c r="L163" s="231">
        <v>76.45</v>
      </c>
      <c r="M163" s="232">
        <f t="shared" si="129"/>
        <v>86.5</v>
      </c>
      <c r="O163" s="233" t="str">
        <f t="shared" ref="O163:S163" si="132">IFERROR(I163/C163-1,"")</f>
        <v/>
      </c>
      <c r="P163" s="233" t="str">
        <f t="shared" si="132"/>
        <v/>
      </c>
      <c r="Q163" s="233">
        <f t="shared" si="132"/>
        <v>0</v>
      </c>
      <c r="R163" s="233">
        <f t="shared" si="132"/>
        <v>0.3151556855</v>
      </c>
      <c r="S163" s="233">
        <f t="shared" si="132"/>
        <v>0.2687004987</v>
      </c>
    </row>
    <row r="164" ht="15.75" customHeight="1">
      <c r="B164" s="230" t="s">
        <v>55</v>
      </c>
      <c r="C164" s="231">
        <v>0.0</v>
      </c>
      <c r="D164" s="231">
        <v>0.0</v>
      </c>
      <c r="E164" s="231">
        <v>6.96</v>
      </c>
      <c r="F164" s="231">
        <v>67.9</v>
      </c>
      <c r="G164" s="232">
        <f t="shared" si="128"/>
        <v>74.86</v>
      </c>
      <c r="I164" s="231">
        <v>0.0</v>
      </c>
      <c r="J164" s="231">
        <v>0.0</v>
      </c>
      <c r="K164" s="231">
        <v>6.96</v>
      </c>
      <c r="L164" s="231">
        <v>68.93</v>
      </c>
      <c r="M164" s="232">
        <f t="shared" si="129"/>
        <v>75.89</v>
      </c>
      <c r="O164" s="233" t="str">
        <f t="shared" ref="O164:S164" si="133">IFERROR(I164/C164-1,"")</f>
        <v/>
      </c>
      <c r="P164" s="233" t="str">
        <f t="shared" si="133"/>
        <v/>
      </c>
      <c r="Q164" s="233">
        <f t="shared" si="133"/>
        <v>0</v>
      </c>
      <c r="R164" s="233">
        <f t="shared" si="133"/>
        <v>0.01516936672</v>
      </c>
      <c r="S164" s="233">
        <f t="shared" si="133"/>
        <v>0.01375901683</v>
      </c>
    </row>
    <row r="165" ht="15.75" customHeight="1">
      <c r="B165" s="229" t="s">
        <v>339</v>
      </c>
    </row>
    <row r="166" ht="15.75" customHeight="1">
      <c r="B166" s="230" t="s">
        <v>51</v>
      </c>
      <c r="C166" s="231">
        <v>0.0</v>
      </c>
      <c r="D166" s="231">
        <v>0.0</v>
      </c>
      <c r="E166" s="231">
        <v>12.06</v>
      </c>
      <c r="F166" s="231">
        <v>28.1</v>
      </c>
      <c r="G166" s="232">
        <f t="shared" ref="G166:G170" si="135">SUM(C166:F166)</f>
        <v>40.16</v>
      </c>
      <c r="I166" s="231">
        <v>0.0</v>
      </c>
      <c r="J166" s="231">
        <v>0.0</v>
      </c>
      <c r="K166" s="231">
        <v>12.06</v>
      </c>
      <c r="L166" s="231">
        <v>27.45</v>
      </c>
      <c r="M166" s="232">
        <f t="shared" ref="M166:M170" si="136">SUM(I166:L166)</f>
        <v>39.51</v>
      </c>
      <c r="O166" s="233" t="str">
        <f t="shared" ref="O166:S166" si="134">IFERROR(I166/C166-1,"")</f>
        <v/>
      </c>
      <c r="P166" s="233" t="str">
        <f t="shared" si="134"/>
        <v/>
      </c>
      <c r="Q166" s="233">
        <f t="shared" si="134"/>
        <v>0</v>
      </c>
      <c r="R166" s="233">
        <f t="shared" si="134"/>
        <v>-0.0231316726</v>
      </c>
      <c r="S166" s="233">
        <f t="shared" si="134"/>
        <v>-0.01618525896</v>
      </c>
    </row>
    <row r="167" ht="15.75" customHeight="1">
      <c r="B167" s="230" t="s">
        <v>52</v>
      </c>
      <c r="C167" s="231">
        <v>0.0</v>
      </c>
      <c r="D167" s="231">
        <v>0.0</v>
      </c>
      <c r="E167" s="231">
        <v>7.83</v>
      </c>
      <c r="F167" s="231">
        <v>33.76</v>
      </c>
      <c r="G167" s="232">
        <f t="shared" si="135"/>
        <v>41.59</v>
      </c>
      <c r="I167" s="231">
        <v>0.0</v>
      </c>
      <c r="J167" s="231">
        <v>0.0</v>
      </c>
      <c r="K167" s="231">
        <v>7.83</v>
      </c>
      <c r="L167" s="231">
        <v>48.15</v>
      </c>
      <c r="M167" s="232">
        <f t="shared" si="136"/>
        <v>55.98</v>
      </c>
      <c r="O167" s="233" t="str">
        <f t="shared" ref="O167:S167" si="137">IFERROR(I167/C167-1,"")</f>
        <v/>
      </c>
      <c r="P167" s="233" t="str">
        <f t="shared" si="137"/>
        <v/>
      </c>
      <c r="Q167" s="233">
        <f t="shared" si="137"/>
        <v>0</v>
      </c>
      <c r="R167" s="233">
        <f t="shared" si="137"/>
        <v>0.4262440758</v>
      </c>
      <c r="S167" s="233">
        <f t="shared" si="137"/>
        <v>0.3459966338</v>
      </c>
    </row>
    <row r="168" ht="15.75" customHeight="1">
      <c r="B168" s="230" t="s">
        <v>53</v>
      </c>
      <c r="C168" s="231">
        <v>0.0</v>
      </c>
      <c r="D168" s="231">
        <v>0.0</v>
      </c>
      <c r="E168" s="231">
        <v>6.18</v>
      </c>
      <c r="F168" s="231">
        <v>44.93</v>
      </c>
      <c r="G168" s="232">
        <f t="shared" si="135"/>
        <v>51.11</v>
      </c>
      <c r="I168" s="231">
        <v>0.0</v>
      </c>
      <c r="J168" s="231">
        <v>0.0</v>
      </c>
      <c r="K168" s="231">
        <v>6.18</v>
      </c>
      <c r="L168" s="231">
        <v>65.09</v>
      </c>
      <c r="M168" s="232">
        <f t="shared" si="136"/>
        <v>71.27</v>
      </c>
      <c r="O168" s="233" t="str">
        <f t="shared" ref="O168:S168" si="138">IFERROR(I168/C168-1,"")</f>
        <v/>
      </c>
      <c r="P168" s="233" t="str">
        <f t="shared" si="138"/>
        <v/>
      </c>
      <c r="Q168" s="233">
        <f t="shared" si="138"/>
        <v>0</v>
      </c>
      <c r="R168" s="233">
        <f t="shared" si="138"/>
        <v>0.4486979746</v>
      </c>
      <c r="S168" s="233">
        <f t="shared" si="138"/>
        <v>0.3944433575</v>
      </c>
    </row>
    <row r="169" ht="15.75" customHeight="1">
      <c r="B169" s="230" t="s">
        <v>54</v>
      </c>
      <c r="C169" s="231">
        <v>0.0</v>
      </c>
      <c r="D169" s="231">
        <v>0.0</v>
      </c>
      <c r="E169" s="231">
        <v>7.55</v>
      </c>
      <c r="F169" s="231">
        <v>64.31</v>
      </c>
      <c r="G169" s="232">
        <f t="shared" si="135"/>
        <v>71.86</v>
      </c>
      <c r="I169" s="231">
        <v>0.0</v>
      </c>
      <c r="J169" s="231">
        <v>0.0</v>
      </c>
      <c r="K169" s="231">
        <v>7.55</v>
      </c>
      <c r="L169" s="231">
        <v>83.03</v>
      </c>
      <c r="M169" s="232">
        <f t="shared" si="136"/>
        <v>90.58</v>
      </c>
      <c r="O169" s="233" t="str">
        <f t="shared" ref="O169:S169" si="139">IFERROR(I169/C169-1,"")</f>
        <v/>
      </c>
      <c r="P169" s="233" t="str">
        <f t="shared" si="139"/>
        <v/>
      </c>
      <c r="Q169" s="233">
        <f t="shared" si="139"/>
        <v>0</v>
      </c>
      <c r="R169" s="233">
        <f t="shared" si="139"/>
        <v>0.2910900327</v>
      </c>
      <c r="S169" s="233">
        <f t="shared" si="139"/>
        <v>0.2605065405</v>
      </c>
    </row>
    <row r="170" ht="15.75" customHeight="1">
      <c r="B170" s="230" t="s">
        <v>55</v>
      </c>
      <c r="C170" s="231">
        <v>0.0</v>
      </c>
      <c r="D170" s="231">
        <v>0.0</v>
      </c>
      <c r="E170" s="231">
        <v>5.52</v>
      </c>
      <c r="F170" s="231">
        <v>79.05</v>
      </c>
      <c r="G170" s="232">
        <f t="shared" si="135"/>
        <v>84.57</v>
      </c>
      <c r="I170" s="231">
        <v>0.0</v>
      </c>
      <c r="J170" s="231">
        <v>0.0</v>
      </c>
      <c r="K170" s="231">
        <v>5.52</v>
      </c>
      <c r="L170" s="231">
        <v>82.66</v>
      </c>
      <c r="M170" s="232">
        <f t="shared" si="136"/>
        <v>88.18</v>
      </c>
      <c r="O170" s="233" t="str">
        <f t="shared" ref="O170:S170" si="140">IFERROR(I170/C170-1,"")</f>
        <v/>
      </c>
      <c r="P170" s="233" t="str">
        <f t="shared" si="140"/>
        <v/>
      </c>
      <c r="Q170" s="233">
        <f t="shared" si="140"/>
        <v>0</v>
      </c>
      <c r="R170" s="233">
        <f t="shared" si="140"/>
        <v>0.04566729918</v>
      </c>
      <c r="S170" s="233">
        <f t="shared" si="140"/>
        <v>0.04268653187</v>
      </c>
    </row>
    <row r="171" ht="15.75" customHeight="1"/>
    <row r="172" ht="15.75" customHeight="1"/>
    <row r="173" ht="15.75" customHeight="1">
      <c r="B173" s="222" t="s">
        <v>349</v>
      </c>
      <c r="C173" s="222"/>
      <c r="D173" s="222"/>
      <c r="E173" s="222"/>
      <c r="F173" s="222"/>
      <c r="G173" s="222"/>
      <c r="H173" s="222"/>
      <c r="I173" s="222"/>
      <c r="J173" s="222"/>
      <c r="K173" s="222"/>
      <c r="L173" s="222"/>
      <c r="M173" s="222"/>
      <c r="N173" s="222"/>
      <c r="O173" s="222"/>
      <c r="P173" s="222"/>
      <c r="Q173" s="222"/>
      <c r="R173" s="222"/>
      <c r="S173" s="222"/>
    </row>
    <row r="174" ht="15.75" customHeight="1">
      <c r="C174" s="223" t="s">
        <v>331</v>
      </c>
      <c r="D174" s="223"/>
      <c r="E174" s="223"/>
      <c r="F174" s="223"/>
      <c r="G174" s="223"/>
      <c r="I174" s="224" t="s">
        <v>332</v>
      </c>
      <c r="J174" s="224"/>
      <c r="K174" s="224"/>
      <c r="L174" s="224"/>
      <c r="M174" s="224"/>
      <c r="O174" s="225" t="s">
        <v>333</v>
      </c>
      <c r="P174" s="225"/>
      <c r="Q174" s="225"/>
      <c r="R174" s="225"/>
      <c r="S174" s="225"/>
    </row>
    <row r="175" ht="15.75" customHeight="1">
      <c r="B175" s="134" t="s">
        <v>334</v>
      </c>
      <c r="C175" s="226" t="s">
        <v>335</v>
      </c>
      <c r="D175" s="226" t="s">
        <v>336</v>
      </c>
      <c r="E175" s="226" t="s">
        <v>337</v>
      </c>
      <c r="F175" s="226" t="s">
        <v>338</v>
      </c>
      <c r="G175" s="226" t="s">
        <v>85</v>
      </c>
      <c r="I175" s="227" t="s">
        <v>335</v>
      </c>
      <c r="J175" s="227" t="s">
        <v>336</v>
      </c>
      <c r="K175" s="227" t="s">
        <v>337</v>
      </c>
      <c r="L175" s="227" t="s">
        <v>338</v>
      </c>
      <c r="M175" s="227" t="s">
        <v>85</v>
      </c>
      <c r="O175" s="228" t="s">
        <v>335</v>
      </c>
      <c r="P175" s="228" t="s">
        <v>336</v>
      </c>
      <c r="Q175" s="228" t="s">
        <v>337</v>
      </c>
      <c r="R175" s="228" t="s">
        <v>338</v>
      </c>
      <c r="S175" s="228" t="s">
        <v>85</v>
      </c>
    </row>
    <row r="176" ht="15.75" customHeight="1">
      <c r="B176" s="229" t="s">
        <v>137</v>
      </c>
    </row>
    <row r="177" ht="15.75" customHeight="1">
      <c r="B177" s="230" t="s">
        <v>51</v>
      </c>
      <c r="C177" s="231">
        <v>0.0</v>
      </c>
      <c r="D177" s="231">
        <v>6.35</v>
      </c>
      <c r="E177" s="231">
        <v>199.78</v>
      </c>
      <c r="F177" s="231">
        <v>241.12</v>
      </c>
      <c r="G177" s="232">
        <f t="shared" ref="G177:G181" si="142">SUM(C177:F177)</f>
        <v>447.25</v>
      </c>
      <c r="I177" s="231">
        <v>0.0</v>
      </c>
      <c r="J177" s="231">
        <v>6.35</v>
      </c>
      <c r="K177" s="231">
        <v>199.78</v>
      </c>
      <c r="L177" s="231">
        <v>308.38</v>
      </c>
      <c r="M177" s="232">
        <f t="shared" ref="M177:M181" si="143">SUM(I177:L177)</f>
        <v>514.51</v>
      </c>
      <c r="O177" s="233" t="str">
        <f t="shared" ref="O177:S177" si="141">IFERROR(I177/C177-1,"")</f>
        <v/>
      </c>
      <c r="P177" s="233">
        <f t="shared" si="141"/>
        <v>0</v>
      </c>
      <c r="Q177" s="233">
        <f t="shared" si="141"/>
        <v>0</v>
      </c>
      <c r="R177" s="233">
        <f t="shared" si="141"/>
        <v>0.2789482415</v>
      </c>
      <c r="S177" s="233">
        <f t="shared" si="141"/>
        <v>0.1503856903</v>
      </c>
    </row>
    <row r="178" ht="15.75" customHeight="1">
      <c r="B178" s="230" t="s">
        <v>52</v>
      </c>
      <c r="C178" s="231">
        <v>0.0</v>
      </c>
      <c r="D178" s="231">
        <v>7.97</v>
      </c>
      <c r="E178" s="231">
        <v>268.2</v>
      </c>
      <c r="F178" s="231">
        <v>296.69</v>
      </c>
      <c r="G178" s="232">
        <f t="shared" si="142"/>
        <v>572.86</v>
      </c>
      <c r="I178" s="231">
        <v>0.0</v>
      </c>
      <c r="J178" s="231">
        <v>7.97</v>
      </c>
      <c r="K178" s="231">
        <v>268.2</v>
      </c>
      <c r="L178" s="231">
        <v>435.01</v>
      </c>
      <c r="M178" s="232">
        <f t="shared" si="143"/>
        <v>711.18</v>
      </c>
      <c r="O178" s="233" t="str">
        <f t="shared" ref="O178:S178" si="144">IFERROR(I178/C178-1,"")</f>
        <v/>
      </c>
      <c r="P178" s="233">
        <f t="shared" si="144"/>
        <v>0</v>
      </c>
      <c r="Q178" s="233">
        <f t="shared" si="144"/>
        <v>0</v>
      </c>
      <c r="R178" s="233">
        <f t="shared" si="144"/>
        <v>0.4662105228</v>
      </c>
      <c r="S178" s="233">
        <f t="shared" si="144"/>
        <v>0.2414551548</v>
      </c>
    </row>
    <row r="179" ht="15.75" customHeight="1">
      <c r="B179" s="230" t="s">
        <v>53</v>
      </c>
      <c r="C179" s="231">
        <v>0.0</v>
      </c>
      <c r="D179" s="231">
        <v>7.57</v>
      </c>
      <c r="E179" s="231">
        <v>367.0</v>
      </c>
      <c r="F179" s="231">
        <v>335.98</v>
      </c>
      <c r="G179" s="232">
        <f t="shared" si="142"/>
        <v>710.55</v>
      </c>
      <c r="I179" s="231">
        <v>0.0</v>
      </c>
      <c r="J179" s="231">
        <v>7.57</v>
      </c>
      <c r="K179" s="231">
        <v>367.0</v>
      </c>
      <c r="L179" s="231">
        <v>518.89</v>
      </c>
      <c r="M179" s="232">
        <f t="shared" si="143"/>
        <v>893.46</v>
      </c>
      <c r="O179" s="233" t="str">
        <f t="shared" ref="O179:S179" si="145">IFERROR(I179/C179-1,"")</f>
        <v/>
      </c>
      <c r="P179" s="233">
        <f t="shared" si="145"/>
        <v>0</v>
      </c>
      <c r="Q179" s="233">
        <f t="shared" si="145"/>
        <v>0</v>
      </c>
      <c r="R179" s="233">
        <f t="shared" si="145"/>
        <v>0.5444074052</v>
      </c>
      <c r="S179" s="233">
        <f t="shared" si="145"/>
        <v>0.2574203082</v>
      </c>
    </row>
    <row r="180" ht="15.75" customHeight="1">
      <c r="B180" s="230" t="s">
        <v>54</v>
      </c>
      <c r="C180" s="231">
        <v>0.0</v>
      </c>
      <c r="D180" s="231">
        <v>10.13</v>
      </c>
      <c r="E180" s="231">
        <v>669.95</v>
      </c>
      <c r="F180" s="231">
        <v>428.32</v>
      </c>
      <c r="G180" s="232">
        <f t="shared" si="142"/>
        <v>1108.4</v>
      </c>
      <c r="I180" s="231">
        <v>0.0</v>
      </c>
      <c r="J180" s="231">
        <v>10.13</v>
      </c>
      <c r="K180" s="231">
        <v>669.95</v>
      </c>
      <c r="L180" s="231">
        <v>713.4</v>
      </c>
      <c r="M180" s="232">
        <f t="shared" si="143"/>
        <v>1393.48</v>
      </c>
      <c r="O180" s="233" t="str">
        <f t="shared" ref="O180:S180" si="146">IFERROR(I180/C180-1,"")</f>
        <v/>
      </c>
      <c r="P180" s="233">
        <f t="shared" si="146"/>
        <v>0</v>
      </c>
      <c r="Q180" s="233">
        <f t="shared" si="146"/>
        <v>0</v>
      </c>
      <c r="R180" s="233">
        <f t="shared" si="146"/>
        <v>0.6655771386</v>
      </c>
      <c r="S180" s="233">
        <f t="shared" si="146"/>
        <v>0.2571995669</v>
      </c>
    </row>
    <row r="181" ht="15.75" customHeight="1">
      <c r="B181" s="230" t="s">
        <v>55</v>
      </c>
      <c r="C181" s="231">
        <v>0.0</v>
      </c>
      <c r="D181" s="231">
        <v>13.49</v>
      </c>
      <c r="E181" s="231">
        <v>1049.81</v>
      </c>
      <c r="F181" s="231">
        <v>385.14</v>
      </c>
      <c r="G181" s="232">
        <f t="shared" si="142"/>
        <v>1448.44</v>
      </c>
      <c r="I181" s="231">
        <v>0.0</v>
      </c>
      <c r="J181" s="231">
        <v>13.49</v>
      </c>
      <c r="K181" s="231">
        <v>1049.81</v>
      </c>
      <c r="L181" s="231">
        <v>719.11</v>
      </c>
      <c r="M181" s="232">
        <f t="shared" si="143"/>
        <v>1782.41</v>
      </c>
      <c r="O181" s="233" t="str">
        <f t="shared" ref="O181:S181" si="147">IFERROR(I181/C181-1,"")</f>
        <v/>
      </c>
      <c r="P181" s="233">
        <f t="shared" si="147"/>
        <v>0</v>
      </c>
      <c r="Q181" s="233">
        <f t="shared" si="147"/>
        <v>0</v>
      </c>
      <c r="R181" s="233">
        <f t="shared" si="147"/>
        <v>0.8671392221</v>
      </c>
      <c r="S181" s="233">
        <f t="shared" si="147"/>
        <v>0.2305722018</v>
      </c>
    </row>
    <row r="182" ht="15.75" customHeight="1">
      <c r="B182" s="229" t="s">
        <v>339</v>
      </c>
    </row>
    <row r="183" ht="15.75" customHeight="1">
      <c r="B183" s="230" t="s">
        <v>51</v>
      </c>
      <c r="C183" s="231">
        <v>0.0</v>
      </c>
      <c r="D183" s="231">
        <v>11.86</v>
      </c>
      <c r="E183" s="231">
        <v>251.87</v>
      </c>
      <c r="F183" s="231">
        <v>347.25</v>
      </c>
      <c r="G183" s="232">
        <f t="shared" ref="G183:G187" si="149">SUM(C183:F183)</f>
        <v>610.98</v>
      </c>
      <c r="I183" s="231">
        <v>0.0</v>
      </c>
      <c r="J183" s="231">
        <v>11.86</v>
      </c>
      <c r="K183" s="231">
        <v>251.87</v>
      </c>
      <c r="L183" s="231">
        <v>431.39</v>
      </c>
      <c r="M183" s="232">
        <f t="shared" ref="M183:M187" si="150">SUM(I183:L183)</f>
        <v>695.12</v>
      </c>
      <c r="O183" s="233" t="str">
        <f t="shared" ref="O183:S183" si="148">IFERROR(I183/C183-1,"")</f>
        <v/>
      </c>
      <c r="P183" s="233">
        <f t="shared" si="148"/>
        <v>0</v>
      </c>
      <c r="Q183" s="233">
        <f t="shared" si="148"/>
        <v>0</v>
      </c>
      <c r="R183" s="233">
        <f t="shared" si="148"/>
        <v>0.2423038157</v>
      </c>
      <c r="S183" s="233">
        <f t="shared" si="148"/>
        <v>0.1377131821</v>
      </c>
    </row>
    <row r="184" ht="15.75" customHeight="1">
      <c r="B184" s="230" t="s">
        <v>52</v>
      </c>
      <c r="C184" s="231">
        <v>0.0</v>
      </c>
      <c r="D184" s="231">
        <v>9.53</v>
      </c>
      <c r="E184" s="231">
        <v>260.32</v>
      </c>
      <c r="F184" s="231">
        <v>380.74</v>
      </c>
      <c r="G184" s="232">
        <f t="shared" si="149"/>
        <v>650.59</v>
      </c>
      <c r="I184" s="231">
        <v>0.0</v>
      </c>
      <c r="J184" s="231">
        <v>9.53</v>
      </c>
      <c r="K184" s="231">
        <v>260.32</v>
      </c>
      <c r="L184" s="231">
        <v>527.21</v>
      </c>
      <c r="M184" s="232">
        <f t="shared" si="150"/>
        <v>797.06</v>
      </c>
      <c r="O184" s="233" t="str">
        <f t="shared" ref="O184:S184" si="151">IFERROR(I184/C184-1,"")</f>
        <v/>
      </c>
      <c r="P184" s="233">
        <f t="shared" si="151"/>
        <v>0</v>
      </c>
      <c r="Q184" s="233">
        <f t="shared" si="151"/>
        <v>0</v>
      </c>
      <c r="R184" s="233">
        <f t="shared" si="151"/>
        <v>0.3846982193</v>
      </c>
      <c r="S184" s="233">
        <f t="shared" si="151"/>
        <v>0.225134109</v>
      </c>
    </row>
    <row r="185" ht="15.75" customHeight="1">
      <c r="B185" s="230" t="s">
        <v>53</v>
      </c>
      <c r="C185" s="231">
        <v>0.0</v>
      </c>
      <c r="D185" s="231">
        <v>8.02</v>
      </c>
      <c r="E185" s="231">
        <v>332.3</v>
      </c>
      <c r="F185" s="231">
        <v>446.0</v>
      </c>
      <c r="G185" s="232">
        <f t="shared" si="149"/>
        <v>786.32</v>
      </c>
      <c r="I185" s="231">
        <v>0.0</v>
      </c>
      <c r="J185" s="231">
        <v>8.02</v>
      </c>
      <c r="K185" s="231">
        <v>332.3</v>
      </c>
      <c r="L185" s="231">
        <v>627.63</v>
      </c>
      <c r="M185" s="232">
        <f t="shared" si="150"/>
        <v>967.95</v>
      </c>
      <c r="O185" s="233" t="str">
        <f t="shared" ref="O185:S185" si="152">IFERROR(I185/C185-1,"")</f>
        <v/>
      </c>
      <c r="P185" s="233">
        <f t="shared" si="152"/>
        <v>0</v>
      </c>
      <c r="Q185" s="233">
        <f t="shared" si="152"/>
        <v>0</v>
      </c>
      <c r="R185" s="233">
        <f t="shared" si="152"/>
        <v>0.4072421525</v>
      </c>
      <c r="S185" s="233">
        <f t="shared" si="152"/>
        <v>0.2309873843</v>
      </c>
    </row>
    <row r="186" ht="15.75" customHeight="1">
      <c r="B186" s="230" t="s">
        <v>54</v>
      </c>
      <c r="C186" s="231">
        <v>0.0</v>
      </c>
      <c r="D186" s="231">
        <v>8.45</v>
      </c>
      <c r="E186" s="231">
        <v>561.13</v>
      </c>
      <c r="F186" s="231">
        <v>593.84</v>
      </c>
      <c r="G186" s="232">
        <f t="shared" si="149"/>
        <v>1163.42</v>
      </c>
      <c r="I186" s="231">
        <v>0.0</v>
      </c>
      <c r="J186" s="231">
        <v>8.45</v>
      </c>
      <c r="K186" s="231">
        <v>561.13</v>
      </c>
      <c r="L186" s="231">
        <v>865.11</v>
      </c>
      <c r="M186" s="232">
        <f t="shared" si="150"/>
        <v>1434.69</v>
      </c>
      <c r="O186" s="233" t="str">
        <f t="shared" ref="O186:S186" si="153">IFERROR(I186/C186-1,"")</f>
        <v/>
      </c>
      <c r="P186" s="233">
        <f t="shared" si="153"/>
        <v>0</v>
      </c>
      <c r="Q186" s="233">
        <f t="shared" si="153"/>
        <v>0</v>
      </c>
      <c r="R186" s="233">
        <f t="shared" si="153"/>
        <v>0.4568065472</v>
      </c>
      <c r="S186" s="233">
        <f t="shared" si="153"/>
        <v>0.2331660106</v>
      </c>
    </row>
    <row r="187" ht="15.75" customHeight="1">
      <c r="B187" s="230" t="s">
        <v>55</v>
      </c>
      <c r="C187" s="231">
        <v>0.0</v>
      </c>
      <c r="D187" s="231">
        <v>7.94</v>
      </c>
      <c r="E187" s="231">
        <v>918.87</v>
      </c>
      <c r="F187" s="231">
        <v>626.34</v>
      </c>
      <c r="G187" s="232">
        <f t="shared" si="149"/>
        <v>1553.15</v>
      </c>
      <c r="I187" s="231">
        <v>0.0</v>
      </c>
      <c r="J187" s="231">
        <v>7.94</v>
      </c>
      <c r="K187" s="231">
        <v>918.87</v>
      </c>
      <c r="L187" s="231">
        <v>984.72</v>
      </c>
      <c r="M187" s="232">
        <f t="shared" si="150"/>
        <v>1911.53</v>
      </c>
      <c r="O187" s="233" t="str">
        <f t="shared" ref="O187:S187" si="154">IFERROR(I187/C187-1,"")</f>
        <v/>
      </c>
      <c r="P187" s="233">
        <f t="shared" si="154"/>
        <v>0</v>
      </c>
      <c r="Q187" s="233">
        <f t="shared" si="154"/>
        <v>0</v>
      </c>
      <c r="R187" s="233">
        <f t="shared" si="154"/>
        <v>0.5721812434</v>
      </c>
      <c r="S187" s="233">
        <f t="shared" si="154"/>
        <v>0.2307439719</v>
      </c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1:S1000">
    <cfRule type="cellIs" dxfId="4" priority="1" operator="lessThan">
      <formula>0</formula>
    </cfRule>
  </conditionalFormatting>
  <conditionalFormatting sqref="O1:S1000">
    <cfRule type="cellIs" dxfId="1" priority="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3" width="7.25"/>
    <col customWidth="1" min="4" max="27" width="7.63"/>
    <col customWidth="1" min="28" max="29" width="9.13"/>
    <col customWidth="1" min="30" max="30" width="7.63"/>
    <col customWidth="1" min="31" max="32" width="9.13"/>
    <col customWidth="1" min="33" max="33" width="7.63"/>
  </cols>
  <sheetData>
    <row r="2">
      <c r="B2" s="234" t="s">
        <v>350</v>
      </c>
    </row>
    <row r="3">
      <c r="B3" s="235" t="s">
        <v>136</v>
      </c>
      <c r="C3" s="236" t="s">
        <v>137</v>
      </c>
      <c r="D3" s="237"/>
    </row>
    <row r="5">
      <c r="AB5" s="238" t="s">
        <v>351</v>
      </c>
    </row>
    <row r="6" ht="15.75" customHeight="1">
      <c r="B6" s="239" t="s">
        <v>51</v>
      </c>
      <c r="C6" s="238" t="s">
        <v>352</v>
      </c>
      <c r="O6" s="238" t="s">
        <v>353</v>
      </c>
      <c r="AB6" s="37" t="s">
        <v>354</v>
      </c>
      <c r="AE6" s="37" t="s">
        <v>355</v>
      </c>
    </row>
    <row r="7" ht="28.5" customHeight="1">
      <c r="A7" s="240"/>
      <c r="B7" s="241" t="s">
        <v>356</v>
      </c>
      <c r="C7" s="242" t="s">
        <v>357</v>
      </c>
      <c r="D7" s="242" t="s">
        <v>9</v>
      </c>
      <c r="E7" s="242" t="s">
        <v>10</v>
      </c>
      <c r="F7" s="242" t="s">
        <v>11</v>
      </c>
      <c r="G7" s="242" t="s">
        <v>6</v>
      </c>
      <c r="H7" s="242" t="s">
        <v>7</v>
      </c>
      <c r="I7" s="242" t="s">
        <v>8</v>
      </c>
      <c r="J7" s="242" t="s">
        <v>358</v>
      </c>
      <c r="K7" s="242" t="s">
        <v>359</v>
      </c>
      <c r="L7" s="242" t="s">
        <v>360</v>
      </c>
      <c r="M7" s="242" t="s">
        <v>12</v>
      </c>
      <c r="N7" s="240"/>
      <c r="O7" s="242" t="s">
        <v>357</v>
      </c>
      <c r="P7" s="242" t="s">
        <v>9</v>
      </c>
      <c r="Q7" s="242" t="s">
        <v>10</v>
      </c>
      <c r="R7" s="242" t="s">
        <v>11</v>
      </c>
      <c r="S7" s="242" t="s">
        <v>6</v>
      </c>
      <c r="T7" s="242" t="s">
        <v>7</v>
      </c>
      <c r="U7" s="242" t="s">
        <v>8</v>
      </c>
      <c r="V7" s="242" t="s">
        <v>358</v>
      </c>
      <c r="W7" s="242" t="s">
        <v>359</v>
      </c>
      <c r="X7" s="242" t="s">
        <v>360</v>
      </c>
      <c r="Y7" s="242" t="s">
        <v>12</v>
      </c>
      <c r="Z7" s="240"/>
      <c r="AA7" s="240"/>
      <c r="AB7" s="242" t="s">
        <v>361</v>
      </c>
      <c r="AC7" s="242" t="s">
        <v>362</v>
      </c>
      <c r="AD7" s="240"/>
      <c r="AE7" s="242" t="s">
        <v>361</v>
      </c>
      <c r="AF7" s="242" t="s">
        <v>362</v>
      </c>
      <c r="AG7" s="240"/>
    </row>
    <row r="8" ht="15.75" customHeight="1">
      <c r="B8" s="243" t="s">
        <v>363</v>
      </c>
      <c r="C8" s="244">
        <f>LET(payer, $C$3, segment, $B$6, ECOGAINS_SIM(payer, segment))</f>
        <v>18.7604</v>
      </c>
      <c r="D8" s="244">
        <v>0.5735</v>
      </c>
      <c r="E8" s="244">
        <v>0.6043</v>
      </c>
      <c r="F8" s="244">
        <v>0.3611</v>
      </c>
      <c r="G8" s="244">
        <v>0.0</v>
      </c>
      <c r="H8" s="244">
        <v>0.0</v>
      </c>
      <c r="I8" s="244">
        <v>0.0</v>
      </c>
      <c r="J8" s="244">
        <v>0.0</v>
      </c>
      <c r="K8" s="244">
        <v>0.0</v>
      </c>
      <c r="L8" s="244">
        <v>0.0</v>
      </c>
      <c r="M8" s="244">
        <v>6.3496</v>
      </c>
      <c r="O8" s="245">
        <f>LET(payer, $C$3, segment, $B$6, ECOGAINS_DIFF(payer, segment))</f>
        <v>0</v>
      </c>
      <c r="P8" s="245">
        <v>0.0</v>
      </c>
      <c r="Q8" s="245">
        <v>0.0</v>
      </c>
      <c r="R8" s="245">
        <v>0.0</v>
      </c>
      <c r="S8" s="245">
        <v>0.0</v>
      </c>
      <c r="T8" s="245">
        <v>0.0</v>
      </c>
      <c r="U8" s="245">
        <v>0.0</v>
      </c>
      <c r="V8" s="245">
        <v>0.0</v>
      </c>
      <c r="W8" s="245">
        <v>0.0</v>
      </c>
      <c r="X8" s="245">
        <v>0.0</v>
      </c>
      <c r="Y8" s="245">
        <v>0.0</v>
      </c>
      <c r="AB8" s="246" t="str">
        <f>ECOGAINS_CAL_STATS("cal_curr")</f>
        <v/>
      </c>
      <c r="AC8" s="246" t="s">
        <v>364</v>
      </c>
      <c r="AD8" s="246"/>
      <c r="AE8" s="246" t="str">
        <f>ECOGAINS_CAL_STATS("cal_new")</f>
        <v/>
      </c>
      <c r="AF8" s="246" t="s">
        <v>364</v>
      </c>
    </row>
    <row r="9" ht="15.75" customHeight="1">
      <c r="B9" s="247" t="s">
        <v>284</v>
      </c>
      <c r="C9" s="248">
        <v>1.3054140892055952</v>
      </c>
      <c r="D9" s="248">
        <v>0.17722509158089206</v>
      </c>
      <c r="E9" s="248">
        <v>0.056884931834257066</v>
      </c>
      <c r="F9" s="248">
        <v>0.004149660680918449</v>
      </c>
      <c r="G9" s="248">
        <v>0.0</v>
      </c>
      <c r="H9" s="248">
        <v>0.0</v>
      </c>
      <c r="I9" s="248">
        <v>0.0</v>
      </c>
      <c r="J9" s="248">
        <v>0.0</v>
      </c>
      <c r="K9" s="248">
        <v>0.0</v>
      </c>
      <c r="L9" s="248">
        <v>0.0</v>
      </c>
      <c r="M9" s="248">
        <v>0.0</v>
      </c>
      <c r="O9" s="245">
        <v>-0.2045859107944048</v>
      </c>
      <c r="P9" s="245">
        <v>-0.02777490841910793</v>
      </c>
      <c r="Q9" s="245">
        <v>-0.008915068165742931</v>
      </c>
      <c r="R9" s="245">
        <v>-6.503393190815509E-4</v>
      </c>
      <c r="S9" s="245">
        <v>0.0</v>
      </c>
      <c r="T9" s="245">
        <v>0.0</v>
      </c>
      <c r="U9" s="245">
        <v>0.0</v>
      </c>
      <c r="V9" s="245">
        <v>0.0</v>
      </c>
      <c r="W9" s="245">
        <v>0.0</v>
      </c>
      <c r="X9" s="245">
        <v>0.0</v>
      </c>
      <c r="Y9" s="245">
        <v>0.0</v>
      </c>
      <c r="AB9" s="246">
        <v>4.0</v>
      </c>
      <c r="AC9" s="246">
        <v>4.0</v>
      </c>
      <c r="AD9" s="246"/>
      <c r="AE9" s="246">
        <v>2.0</v>
      </c>
      <c r="AF9" s="246">
        <v>4.0</v>
      </c>
    </row>
    <row r="10" ht="15.75" customHeight="1">
      <c r="B10" s="247" t="s">
        <v>163</v>
      </c>
      <c r="C10" s="248">
        <v>0.18509550499858565</v>
      </c>
      <c r="D10" s="248">
        <v>7.87975755634677E-5</v>
      </c>
      <c r="E10" s="248">
        <v>0.0</v>
      </c>
      <c r="F10" s="248">
        <v>0.0</v>
      </c>
      <c r="G10" s="248">
        <v>7.091781800712094E-4</v>
      </c>
      <c r="H10" s="248">
        <v>0.18170720924935654</v>
      </c>
      <c r="I10" s="248">
        <v>0.0</v>
      </c>
      <c r="J10" s="248">
        <v>0.11244414032906841</v>
      </c>
      <c r="K10" s="248">
        <v>0.9003410983881821</v>
      </c>
      <c r="L10" s="248">
        <v>1.3093793131381428</v>
      </c>
      <c r="M10" s="248">
        <v>0.7706402890107141</v>
      </c>
      <c r="O10" s="245">
        <v>-0.049804495001414345</v>
      </c>
      <c r="P10" s="245">
        <v>-2.1202424436532298E-5</v>
      </c>
      <c r="Q10" s="245">
        <v>0.0</v>
      </c>
      <c r="R10" s="245">
        <v>0.0</v>
      </c>
      <c r="S10" s="245">
        <v>-1.9082181992879053E-4</v>
      </c>
      <c r="T10" s="245">
        <v>-0.048892790750643456</v>
      </c>
      <c r="U10" s="245">
        <v>0.0</v>
      </c>
      <c r="V10" s="245">
        <v>-0.030255859670931584</v>
      </c>
      <c r="W10" s="245">
        <v>-0.24225890161181796</v>
      </c>
      <c r="X10" s="245">
        <v>-0.35232068686185714</v>
      </c>
      <c r="Y10" s="245">
        <v>-0.20735971098928585</v>
      </c>
      <c r="AB10" s="246">
        <v>1.0</v>
      </c>
      <c r="AC10" s="246">
        <v>4.0</v>
      </c>
      <c r="AD10" s="246"/>
      <c r="AE10" s="246">
        <v>1.0</v>
      </c>
      <c r="AF10" s="246">
        <v>3.0</v>
      </c>
    </row>
    <row r="11" ht="15.75" customHeight="1">
      <c r="B11" s="247" t="s">
        <v>283</v>
      </c>
      <c r="C11" s="248">
        <v>0.9287599840000001</v>
      </c>
      <c r="D11" s="248">
        <v>0.14897987200000004</v>
      </c>
      <c r="E11" s="248">
        <v>0.043652336000000014</v>
      </c>
      <c r="F11" s="248">
        <v>0.0028096480000000005</v>
      </c>
      <c r="G11" s="248">
        <v>0.0</v>
      </c>
      <c r="H11" s="248">
        <v>0.0</v>
      </c>
      <c r="I11" s="248">
        <v>0.0</v>
      </c>
      <c r="J11" s="248">
        <v>0.0</v>
      </c>
      <c r="K11" s="248">
        <v>0.0</v>
      </c>
      <c r="L11" s="248">
        <v>0.0</v>
      </c>
      <c r="M11" s="248">
        <v>0.0</v>
      </c>
      <c r="O11" s="245">
        <v>-0.4265400159999998</v>
      </c>
      <c r="P11" s="245">
        <v>-0.06842012799999997</v>
      </c>
      <c r="Q11" s="245">
        <v>-0.020047663999999993</v>
      </c>
      <c r="R11" s="245">
        <v>-0.0012903519999999998</v>
      </c>
      <c r="S11" s="245">
        <v>0.0</v>
      </c>
      <c r="T11" s="245">
        <v>0.0</v>
      </c>
      <c r="U11" s="245">
        <v>0.0</v>
      </c>
      <c r="V11" s="245">
        <v>0.0</v>
      </c>
      <c r="W11" s="245">
        <v>0.0</v>
      </c>
      <c r="X11" s="245">
        <v>0.0</v>
      </c>
      <c r="Y11" s="245">
        <v>0.0</v>
      </c>
      <c r="AB11" s="246">
        <v>5.0</v>
      </c>
      <c r="AC11" s="246">
        <v>5.0</v>
      </c>
      <c r="AD11" s="246"/>
      <c r="AE11" s="246">
        <v>2.0</v>
      </c>
      <c r="AF11" s="246">
        <v>4.0</v>
      </c>
    </row>
    <row r="12" ht="15.75" customHeight="1">
      <c r="B12" s="243" t="s">
        <v>365</v>
      </c>
      <c r="C12" s="244">
        <v>19.8784</v>
      </c>
      <c r="D12" s="244">
        <v>0.2061</v>
      </c>
      <c r="E12" s="244">
        <v>0.3198</v>
      </c>
      <c r="F12" s="244">
        <v>0.1737</v>
      </c>
      <c r="G12" s="244">
        <v>0.0817</v>
      </c>
      <c r="H12" s="244">
        <v>0.0902</v>
      </c>
      <c r="I12" s="244">
        <v>0.0926</v>
      </c>
      <c r="J12" s="244">
        <v>0.0</v>
      </c>
      <c r="K12" s="244">
        <v>0.0</v>
      </c>
      <c r="L12" s="244">
        <v>0.0</v>
      </c>
      <c r="M12" s="244">
        <v>12.7441</v>
      </c>
      <c r="O12" s="245">
        <v>0.0</v>
      </c>
      <c r="P12" s="245">
        <v>0.0</v>
      </c>
      <c r="Q12" s="245">
        <v>0.0</v>
      </c>
      <c r="R12" s="245">
        <v>0.0</v>
      </c>
      <c r="S12" s="245">
        <v>0.0</v>
      </c>
      <c r="T12" s="245">
        <v>0.0</v>
      </c>
      <c r="U12" s="245">
        <v>0.0</v>
      </c>
      <c r="V12" s="245">
        <v>0.0</v>
      </c>
      <c r="W12" s="245">
        <v>0.0</v>
      </c>
      <c r="X12" s="245">
        <v>0.0</v>
      </c>
      <c r="Y12" s="245">
        <v>0.0</v>
      </c>
      <c r="AB12" s="246" t="s">
        <v>364</v>
      </c>
      <c r="AC12" s="246" t="s">
        <v>364</v>
      </c>
      <c r="AD12" s="246"/>
      <c r="AE12" s="246" t="s">
        <v>364</v>
      </c>
      <c r="AF12" s="246" t="s">
        <v>364</v>
      </c>
    </row>
    <row r="13" ht="15.75" customHeight="1">
      <c r="B13" s="247" t="s">
        <v>366</v>
      </c>
      <c r="C13" s="248">
        <v>100.28167217847768</v>
      </c>
      <c r="D13" s="248">
        <v>1.5657</v>
      </c>
      <c r="E13" s="248">
        <v>1.0711</v>
      </c>
      <c r="F13" s="248">
        <v>0.2139</v>
      </c>
      <c r="G13" s="248">
        <v>0.0</v>
      </c>
      <c r="H13" s="248">
        <v>0.0</v>
      </c>
      <c r="I13" s="248">
        <v>0.0</v>
      </c>
      <c r="J13" s="248">
        <v>26.1346</v>
      </c>
      <c r="K13" s="248">
        <v>11.3093</v>
      </c>
      <c r="L13" s="248">
        <v>8.9843</v>
      </c>
      <c r="M13" s="248">
        <v>114.3437</v>
      </c>
      <c r="O13" s="245">
        <v>-35.68742782152232</v>
      </c>
      <c r="P13" s="245">
        <v>0.0</v>
      </c>
      <c r="Q13" s="245">
        <v>0.0</v>
      </c>
      <c r="R13" s="245">
        <v>0.0</v>
      </c>
      <c r="S13" s="245">
        <v>0.0</v>
      </c>
      <c r="T13" s="245">
        <v>0.0</v>
      </c>
      <c r="U13" s="245">
        <v>0.0</v>
      </c>
      <c r="V13" s="245">
        <v>0.0</v>
      </c>
      <c r="W13" s="245">
        <v>0.0</v>
      </c>
      <c r="X13" s="245">
        <v>0.0</v>
      </c>
      <c r="Y13" s="245">
        <v>0.0</v>
      </c>
      <c r="AB13" s="246" t="s">
        <v>364</v>
      </c>
      <c r="AC13" s="246" t="s">
        <v>364</v>
      </c>
      <c r="AD13" s="246"/>
      <c r="AE13" s="246" t="s">
        <v>364</v>
      </c>
      <c r="AF13" s="246" t="s">
        <v>364</v>
      </c>
    </row>
    <row r="14" ht="15.75" customHeight="1">
      <c r="B14" s="243" t="s">
        <v>367</v>
      </c>
      <c r="C14" s="244">
        <v>9.1482</v>
      </c>
      <c r="D14" s="244">
        <v>0.0627</v>
      </c>
      <c r="E14" s="244">
        <v>1.0E-4</v>
      </c>
      <c r="F14" s="244">
        <v>1.0E-4</v>
      </c>
      <c r="G14" s="244">
        <v>0.182</v>
      </c>
      <c r="H14" s="244">
        <v>0.0492</v>
      </c>
      <c r="I14" s="244">
        <v>1.0E-4</v>
      </c>
      <c r="J14" s="244">
        <v>0.0</v>
      </c>
      <c r="K14" s="244">
        <v>4.0E-4</v>
      </c>
      <c r="L14" s="244">
        <v>1.0E-4</v>
      </c>
      <c r="M14" s="244">
        <v>15.2367</v>
      </c>
      <c r="O14" s="245">
        <v>0.0</v>
      </c>
      <c r="P14" s="245">
        <v>0.0</v>
      </c>
      <c r="Q14" s="245">
        <v>0.0</v>
      </c>
      <c r="R14" s="245">
        <v>0.0</v>
      </c>
      <c r="S14" s="245">
        <v>0.0</v>
      </c>
      <c r="T14" s="245">
        <v>0.0</v>
      </c>
      <c r="U14" s="245">
        <v>0.0</v>
      </c>
      <c r="V14" s="245">
        <v>0.0</v>
      </c>
      <c r="W14" s="245">
        <v>0.0</v>
      </c>
      <c r="X14" s="245">
        <v>0.0</v>
      </c>
      <c r="Y14" s="245">
        <v>0.0</v>
      </c>
      <c r="AB14" s="246">
        <v>33.0</v>
      </c>
      <c r="AC14" s="246">
        <v>33.0</v>
      </c>
      <c r="AD14" s="246"/>
      <c r="AE14" s="246">
        <v>33.0</v>
      </c>
      <c r="AF14" s="246">
        <v>33.0</v>
      </c>
    </row>
    <row r="15" ht="15.75" customHeight="1">
      <c r="B15" s="243" t="s">
        <v>44</v>
      </c>
      <c r="C15" s="244">
        <v>0.0</v>
      </c>
      <c r="D15" s="244">
        <v>0.2074</v>
      </c>
      <c r="E15" s="244">
        <v>0.0</v>
      </c>
      <c r="F15" s="244">
        <v>0.0</v>
      </c>
      <c r="G15" s="244">
        <v>0.1726</v>
      </c>
      <c r="H15" s="244">
        <v>0.163</v>
      </c>
      <c r="I15" s="244">
        <v>0.2078</v>
      </c>
      <c r="J15" s="244">
        <v>0.0</v>
      </c>
      <c r="K15" s="244">
        <v>0.0</v>
      </c>
      <c r="L15" s="244">
        <v>0.0</v>
      </c>
      <c r="M15" s="244">
        <v>111.5439</v>
      </c>
      <c r="O15" s="245">
        <v>0.0</v>
      </c>
      <c r="P15" s="245">
        <v>0.0</v>
      </c>
      <c r="Q15" s="245">
        <v>0.0</v>
      </c>
      <c r="R15" s="245">
        <v>0.0</v>
      </c>
      <c r="S15" s="245">
        <v>0.0</v>
      </c>
      <c r="T15" s="245">
        <v>0.0</v>
      </c>
      <c r="U15" s="245">
        <v>0.0</v>
      </c>
      <c r="V15" s="245">
        <v>0.0</v>
      </c>
      <c r="W15" s="245">
        <v>0.0</v>
      </c>
      <c r="X15" s="245">
        <v>0.0</v>
      </c>
      <c r="Y15" s="245">
        <v>0.0</v>
      </c>
      <c r="AB15" s="246">
        <v>18.0</v>
      </c>
      <c r="AC15" s="246">
        <v>18.0</v>
      </c>
      <c r="AD15" s="246"/>
      <c r="AE15" s="246">
        <v>18.0</v>
      </c>
      <c r="AF15" s="246">
        <v>18.0</v>
      </c>
    </row>
    <row r="16" ht="15.75" customHeight="1">
      <c r="B16" s="247" t="s">
        <v>39</v>
      </c>
      <c r="C16" s="248">
        <v>2.52232004082211</v>
      </c>
      <c r="D16" s="248">
        <v>0.012517717324179205</v>
      </c>
      <c r="E16" s="248">
        <v>0.047289154335788106</v>
      </c>
      <c r="F16" s="248">
        <v>0.007533811352515261</v>
      </c>
      <c r="G16" s="248">
        <v>1.0884618832533974</v>
      </c>
      <c r="H16" s="248">
        <v>0.24258872555099145</v>
      </c>
      <c r="I16" s="248">
        <v>0.045086963325052874</v>
      </c>
      <c r="J16" s="248">
        <v>0.0</v>
      </c>
      <c r="K16" s="248">
        <v>0.06873154049294693</v>
      </c>
      <c r="L16" s="248">
        <v>0.12100460080039899</v>
      </c>
      <c r="M16" s="248">
        <v>59.28344562815256</v>
      </c>
      <c r="O16" s="245">
        <v>0.3461200408221097</v>
      </c>
      <c r="P16" s="245">
        <v>0.0017177173241792049</v>
      </c>
      <c r="Q16" s="245">
        <v>0.006489154335788103</v>
      </c>
      <c r="R16" s="245">
        <v>0.0010338113525152617</v>
      </c>
      <c r="S16" s="245">
        <v>0.1493618832533974</v>
      </c>
      <c r="T16" s="245">
        <v>0.03328872555099144</v>
      </c>
      <c r="U16" s="245">
        <v>0.006186963325052877</v>
      </c>
      <c r="V16" s="245">
        <v>0.0</v>
      </c>
      <c r="W16" s="245">
        <v>0.009431540492946928</v>
      </c>
      <c r="X16" s="245">
        <v>0.01660460080039898</v>
      </c>
      <c r="Y16" s="245">
        <v>8.135045628152561</v>
      </c>
      <c r="AB16" s="246">
        <v>5.0</v>
      </c>
      <c r="AC16" s="246">
        <v>14.0</v>
      </c>
      <c r="AD16" s="246"/>
      <c r="AE16" s="246">
        <v>5.0</v>
      </c>
      <c r="AF16" s="246">
        <v>18.0</v>
      </c>
    </row>
    <row r="17" ht="15.75" customHeight="1">
      <c r="B17" s="247" t="s">
        <v>368</v>
      </c>
      <c r="C17" s="248">
        <v>0.4129715885327677</v>
      </c>
      <c r="D17" s="248">
        <v>7.56635376571579E-5</v>
      </c>
      <c r="E17" s="248">
        <v>0.0</v>
      </c>
      <c r="F17" s="248">
        <v>0.0</v>
      </c>
      <c r="G17" s="248">
        <v>0.002950877968629158</v>
      </c>
      <c r="H17" s="248">
        <v>0.5337305946335917</v>
      </c>
      <c r="I17" s="248">
        <v>0.0</v>
      </c>
      <c r="J17" s="248">
        <v>0.20065970186678272</v>
      </c>
      <c r="K17" s="248">
        <v>3.3114147255655153</v>
      </c>
      <c r="L17" s="248">
        <v>4.49971058447118</v>
      </c>
      <c r="M17" s="248">
        <v>2.4465804901442003</v>
      </c>
      <c r="O17" s="245">
        <v>-0.13282841146723223</v>
      </c>
      <c r="P17" s="245">
        <v>-2.4336462342842104E-5</v>
      </c>
      <c r="Q17" s="245">
        <v>0.0</v>
      </c>
      <c r="R17" s="245">
        <v>0.0</v>
      </c>
      <c r="S17" s="245">
        <v>-9.491220313708418E-4</v>
      </c>
      <c r="T17" s="245">
        <v>-0.1716694053664083</v>
      </c>
      <c r="U17" s="245">
        <v>0.0</v>
      </c>
      <c r="V17" s="245">
        <v>-0.06454029813321727</v>
      </c>
      <c r="W17" s="245">
        <v>-1.0650852744344848</v>
      </c>
      <c r="X17" s="245">
        <v>-1.4472894155288198</v>
      </c>
      <c r="Y17" s="245">
        <v>-0.7869195098557995</v>
      </c>
      <c r="AB17" s="246">
        <v>3.0</v>
      </c>
      <c r="AC17" s="246">
        <v>11.0</v>
      </c>
      <c r="AD17" s="246"/>
      <c r="AE17" s="246">
        <v>3.0</v>
      </c>
      <c r="AF17" s="246">
        <v>9.0</v>
      </c>
    </row>
    <row r="18" ht="15.75" customHeight="1">
      <c r="B18" s="247" t="s">
        <v>38</v>
      </c>
      <c r="C18" s="248">
        <v>0.10428672490338081</v>
      </c>
      <c r="D18" s="248">
        <v>0.0027964674582177202</v>
      </c>
      <c r="E18" s="248">
        <v>9.464966781659975E-4</v>
      </c>
      <c r="F18" s="248">
        <v>1.2906772884081785E-4</v>
      </c>
      <c r="G18" s="248">
        <v>0.0021081062377333584</v>
      </c>
      <c r="H18" s="248">
        <v>0.0016778804749306318</v>
      </c>
      <c r="I18" s="248">
        <v>0.0016778804749306318</v>
      </c>
      <c r="J18" s="248">
        <v>0.0</v>
      </c>
      <c r="K18" s="248">
        <v>0.0</v>
      </c>
      <c r="L18" s="248">
        <v>0.0</v>
      </c>
      <c r="M18" s="248">
        <v>3.8437230100321162</v>
      </c>
      <c r="O18" s="245">
        <v>-0.1381132750966192</v>
      </c>
      <c r="P18" s="245">
        <v>-0.0037035325417822795</v>
      </c>
      <c r="Q18" s="245">
        <v>-0.0012535033218340026</v>
      </c>
      <c r="R18" s="245">
        <v>-1.7093227115918213E-4</v>
      </c>
      <c r="S18" s="245">
        <v>-0.0027918937622666415</v>
      </c>
      <c r="T18" s="245">
        <v>-0.002222119525069368</v>
      </c>
      <c r="U18" s="245">
        <v>-0.002222119525069368</v>
      </c>
      <c r="V18" s="245">
        <v>0.0</v>
      </c>
      <c r="W18" s="245">
        <v>0.0</v>
      </c>
      <c r="X18" s="245">
        <v>0.0</v>
      </c>
      <c r="Y18" s="245">
        <v>-5.090476989967884</v>
      </c>
      <c r="AB18" s="246">
        <v>3.0</v>
      </c>
      <c r="AC18" s="246">
        <v>17.0</v>
      </c>
      <c r="AD18" s="246"/>
      <c r="AE18" s="246">
        <v>5.0</v>
      </c>
      <c r="AF18" s="246">
        <v>15.0</v>
      </c>
    </row>
    <row r="19" ht="15.75" customHeight="1">
      <c r="B19" s="247" t="s">
        <v>45</v>
      </c>
      <c r="C19" s="248">
        <v>8.094345414452363</v>
      </c>
      <c r="D19" s="248">
        <v>0.08126418833465296</v>
      </c>
      <c r="E19" s="248">
        <v>0.08204224971232515</v>
      </c>
      <c r="F19" s="248">
        <v>0.07106293916072842</v>
      </c>
      <c r="G19" s="248">
        <v>0.013313494684613356</v>
      </c>
      <c r="H19" s="248">
        <v>0.02757795327527052</v>
      </c>
      <c r="I19" s="248">
        <v>0.06319587411982054</v>
      </c>
      <c r="J19" s="248">
        <v>0.0</v>
      </c>
      <c r="K19" s="248">
        <v>0.0</v>
      </c>
      <c r="L19" s="248">
        <v>0.0</v>
      </c>
      <c r="M19" s="248">
        <v>0.12474917422011088</v>
      </c>
      <c r="O19" s="245">
        <v>-1.268554585547637</v>
      </c>
      <c r="P19" s="245">
        <v>-0.012735811665347041</v>
      </c>
      <c r="Q19" s="245">
        <v>-0.012857750287674843</v>
      </c>
      <c r="R19" s="245">
        <v>-0.011137060839271573</v>
      </c>
      <c r="S19" s="245">
        <v>-0.0020865053153866445</v>
      </c>
      <c r="T19" s="245">
        <v>-0.004322046724729477</v>
      </c>
      <c r="U19" s="245">
        <v>-0.009904125880179457</v>
      </c>
      <c r="V19" s="245">
        <v>0.0</v>
      </c>
      <c r="W19" s="245">
        <v>0.0</v>
      </c>
      <c r="X19" s="245">
        <v>0.0</v>
      </c>
      <c r="Y19" s="245">
        <v>-0.019550825779889133</v>
      </c>
      <c r="AB19" s="246">
        <v>4.0</v>
      </c>
      <c r="AC19" s="246">
        <v>4.0</v>
      </c>
      <c r="AD19" s="246"/>
      <c r="AE19" s="246">
        <v>2.0</v>
      </c>
      <c r="AF19" s="246">
        <v>4.0</v>
      </c>
    </row>
    <row r="20" ht="15.75" customHeight="1">
      <c r="B20" s="243" t="s">
        <v>369</v>
      </c>
      <c r="C20" s="244">
        <v>7.3686</v>
      </c>
      <c r="D20" s="244">
        <v>0.2713</v>
      </c>
      <c r="E20" s="244">
        <v>0.1295</v>
      </c>
      <c r="F20" s="244">
        <v>0.0643</v>
      </c>
      <c r="G20" s="244">
        <v>1.2426</v>
      </c>
      <c r="H20" s="244">
        <v>1.1601</v>
      </c>
      <c r="I20" s="244">
        <v>1.4768</v>
      </c>
      <c r="J20" s="244">
        <v>2.274</v>
      </c>
      <c r="K20" s="244">
        <v>0.497</v>
      </c>
      <c r="L20" s="244">
        <v>0.3953</v>
      </c>
      <c r="M20" s="244">
        <v>1.6269</v>
      </c>
      <c r="O20" s="245">
        <v>0.0</v>
      </c>
      <c r="P20" s="245">
        <v>0.0</v>
      </c>
      <c r="Q20" s="245">
        <v>0.0</v>
      </c>
      <c r="R20" s="245">
        <v>0.0</v>
      </c>
      <c r="S20" s="245">
        <v>0.0</v>
      </c>
      <c r="T20" s="245">
        <v>0.0</v>
      </c>
      <c r="U20" s="245">
        <v>0.0</v>
      </c>
      <c r="V20" s="245">
        <v>0.0</v>
      </c>
      <c r="W20" s="245">
        <v>0.0</v>
      </c>
      <c r="X20" s="245">
        <v>0.0</v>
      </c>
      <c r="Y20" s="245">
        <v>0.0</v>
      </c>
      <c r="AB20" s="246" t="s">
        <v>364</v>
      </c>
      <c r="AC20" s="246" t="s">
        <v>364</v>
      </c>
      <c r="AD20" s="246"/>
      <c r="AE20" s="246" t="s">
        <v>364</v>
      </c>
      <c r="AF20" s="246" t="s">
        <v>364</v>
      </c>
    </row>
    <row r="21" ht="15.75" customHeight="1">
      <c r="B21" s="247" t="s">
        <v>30</v>
      </c>
      <c r="C21" s="248">
        <v>0.1613446964580008</v>
      </c>
      <c r="D21" s="248">
        <v>0.0</v>
      </c>
      <c r="E21" s="248">
        <v>0.0</v>
      </c>
      <c r="F21" s="248">
        <v>0.0</v>
      </c>
      <c r="G21" s="248">
        <v>3.052879781608341E-4</v>
      </c>
      <c r="H21" s="248">
        <v>0.05044883839107784</v>
      </c>
      <c r="I21" s="248">
        <v>0.0</v>
      </c>
      <c r="J21" s="248">
        <v>0.0014501178962639618</v>
      </c>
      <c r="K21" s="248">
        <v>0.0025949478143670896</v>
      </c>
      <c r="L21" s="248">
        <v>0.0295366118870607</v>
      </c>
      <c r="M21" s="248">
        <v>0.6374412983998216</v>
      </c>
      <c r="O21" s="245">
        <v>-0.05005530354199919</v>
      </c>
      <c r="P21" s="245">
        <v>0.0</v>
      </c>
      <c r="Q21" s="245">
        <v>0.0</v>
      </c>
      <c r="R21" s="245">
        <v>0.0</v>
      </c>
      <c r="S21" s="245">
        <v>-9.471202183916594E-5</v>
      </c>
      <c r="T21" s="245">
        <v>-0.015651161608922166</v>
      </c>
      <c r="U21" s="245">
        <v>0.0</v>
      </c>
      <c r="V21" s="245">
        <v>-4.498821037360382E-4</v>
      </c>
      <c r="W21" s="245">
        <v>-8.050521856329102E-4</v>
      </c>
      <c r="X21" s="245">
        <v>-0.009163388112939298</v>
      </c>
      <c r="Y21" s="245">
        <v>-0.1977587016001785</v>
      </c>
      <c r="AB21" s="246">
        <v>1.0</v>
      </c>
      <c r="AC21" s="246">
        <v>4.0</v>
      </c>
      <c r="AD21" s="246"/>
      <c r="AE21" s="246">
        <v>1.0</v>
      </c>
      <c r="AF21" s="246">
        <v>3.0</v>
      </c>
    </row>
    <row r="22" ht="15.75" customHeight="1">
      <c r="B22" s="247" t="s">
        <v>282</v>
      </c>
      <c r="C22" s="248">
        <v>1.8045836886144102</v>
      </c>
      <c r="D22" s="248">
        <v>0.290216893871734</v>
      </c>
      <c r="E22" s="248">
        <v>0.08467901326999208</v>
      </c>
      <c r="F22" s="248">
        <v>0.005187075851148061</v>
      </c>
      <c r="G22" s="248">
        <v>0.0</v>
      </c>
      <c r="H22" s="248">
        <v>0.0</v>
      </c>
      <c r="I22" s="248">
        <v>0.0</v>
      </c>
      <c r="J22" s="248">
        <v>0.0</v>
      </c>
      <c r="K22" s="248">
        <v>0.0</v>
      </c>
      <c r="L22" s="248">
        <v>0.0</v>
      </c>
      <c r="M22" s="248">
        <v>0.0</v>
      </c>
      <c r="O22" s="245">
        <v>0.41298368861441026</v>
      </c>
      <c r="P22" s="245">
        <v>0.066416893871734</v>
      </c>
      <c r="Q22" s="245">
        <v>0.019379013269992085</v>
      </c>
      <c r="R22" s="245">
        <v>0.001187075851148061</v>
      </c>
      <c r="S22" s="245">
        <v>0.0</v>
      </c>
      <c r="T22" s="245">
        <v>0.0</v>
      </c>
      <c r="U22" s="245">
        <v>0.0</v>
      </c>
      <c r="V22" s="245">
        <v>0.0</v>
      </c>
      <c r="W22" s="245">
        <v>0.0</v>
      </c>
      <c r="X22" s="245">
        <v>0.0</v>
      </c>
      <c r="Y22" s="245">
        <v>0.0</v>
      </c>
      <c r="AB22" s="246">
        <v>4.0</v>
      </c>
      <c r="AC22" s="246">
        <v>4.0</v>
      </c>
      <c r="AD22" s="246"/>
      <c r="AE22" s="246">
        <v>3.0</v>
      </c>
      <c r="AF22" s="246">
        <v>6.0</v>
      </c>
    </row>
    <row r="23" ht="15.75" customHeight="1">
      <c r="B23" s="247" t="s">
        <v>108</v>
      </c>
      <c r="C23" s="248">
        <v>0.0</v>
      </c>
      <c r="D23" s="248">
        <v>0.0</v>
      </c>
      <c r="E23" s="248">
        <v>0.0</v>
      </c>
      <c r="F23" s="248">
        <v>0.0</v>
      </c>
      <c r="G23" s="248">
        <v>0.0</v>
      </c>
      <c r="H23" s="248">
        <v>0.0</v>
      </c>
      <c r="I23" s="248">
        <v>0.0</v>
      </c>
      <c r="J23" s="248">
        <v>0.0</v>
      </c>
      <c r="K23" s="248">
        <v>0.0</v>
      </c>
      <c r="L23" s="248">
        <v>0.0</v>
      </c>
      <c r="M23" s="248">
        <v>0.0</v>
      </c>
      <c r="O23" s="245">
        <v>-2.7552</v>
      </c>
      <c r="P23" s="245">
        <v>-0.0016</v>
      </c>
      <c r="Q23" s="245">
        <v>-0.1012</v>
      </c>
      <c r="R23" s="245">
        <v>-0.0925</v>
      </c>
      <c r="S23" s="245">
        <v>-0.0137</v>
      </c>
      <c r="T23" s="245">
        <v>-0.0271</v>
      </c>
      <c r="U23" s="245">
        <v>-0.0362</v>
      </c>
      <c r="V23" s="245">
        <v>-1.5591</v>
      </c>
      <c r="W23" s="245">
        <v>-0.5586</v>
      </c>
      <c r="X23" s="245">
        <v>-0.2143</v>
      </c>
      <c r="Y23" s="245">
        <v>-0.1351</v>
      </c>
      <c r="AB23" s="246">
        <v>0.0</v>
      </c>
      <c r="AC23" s="246">
        <v>0.0</v>
      </c>
      <c r="AD23" s="246"/>
      <c r="AE23" s="246">
        <v>0.0</v>
      </c>
      <c r="AF23" s="246">
        <v>0.0</v>
      </c>
    </row>
    <row r="24" ht="15.75" customHeight="1">
      <c r="B24" s="247" t="s">
        <v>370</v>
      </c>
      <c r="C24" s="248">
        <v>24.38567857142857</v>
      </c>
      <c r="D24" s="248">
        <v>0.52045</v>
      </c>
      <c r="E24" s="248">
        <v>1.0957</v>
      </c>
      <c r="F24" s="248">
        <v>1.3712</v>
      </c>
      <c r="G24" s="248">
        <v>1.2844499999999999</v>
      </c>
      <c r="H24" s="248">
        <v>1.6146</v>
      </c>
      <c r="I24" s="248">
        <v>0.7653</v>
      </c>
      <c r="J24" s="248">
        <v>0.0</v>
      </c>
      <c r="K24" s="248">
        <v>0.0</v>
      </c>
      <c r="L24" s="248">
        <v>1.0E-4</v>
      </c>
      <c r="M24" s="248">
        <v>101.51125333333333</v>
      </c>
      <c r="O24" s="245">
        <v>-43.89422142857143</v>
      </c>
      <c r="P24" s="245">
        <v>-0.52045</v>
      </c>
      <c r="Q24" s="245">
        <v>0.0</v>
      </c>
      <c r="R24" s="245">
        <v>0.6856</v>
      </c>
      <c r="S24" s="245">
        <v>-0.42815000000000003</v>
      </c>
      <c r="T24" s="245">
        <v>0.0</v>
      </c>
      <c r="U24" s="245">
        <v>0.2551</v>
      </c>
      <c r="V24" s="245">
        <v>0.0</v>
      </c>
      <c r="W24" s="245">
        <v>0.0</v>
      </c>
      <c r="X24" s="245">
        <v>0.0</v>
      </c>
      <c r="Y24" s="245">
        <v>44.052053333333326</v>
      </c>
      <c r="AB24" s="246" t="s">
        <v>364</v>
      </c>
      <c r="AC24" s="246" t="s">
        <v>364</v>
      </c>
      <c r="AD24" s="246"/>
      <c r="AE24" s="246" t="s">
        <v>364</v>
      </c>
      <c r="AF24" s="246" t="s">
        <v>364</v>
      </c>
    </row>
    <row r="25" ht="15.75" customHeight="1">
      <c r="B25" s="243" t="s">
        <v>371</v>
      </c>
      <c r="C25" s="244">
        <v>25.6274</v>
      </c>
      <c r="D25" s="244">
        <v>0.1053</v>
      </c>
      <c r="E25" s="244">
        <v>0.405</v>
      </c>
      <c r="F25" s="244">
        <v>0.0</v>
      </c>
      <c r="G25" s="244">
        <v>1.5029</v>
      </c>
      <c r="H25" s="244">
        <v>1.7096</v>
      </c>
      <c r="I25" s="244">
        <v>0.2509</v>
      </c>
      <c r="J25" s="244">
        <v>0.1093</v>
      </c>
      <c r="K25" s="244">
        <v>14.5483</v>
      </c>
      <c r="L25" s="244">
        <v>15.5659</v>
      </c>
      <c r="M25" s="244">
        <v>59.7584</v>
      </c>
      <c r="O25" s="245">
        <v>0.0</v>
      </c>
      <c r="P25" s="245">
        <v>0.0</v>
      </c>
      <c r="Q25" s="245">
        <v>0.0</v>
      </c>
      <c r="R25" s="245">
        <v>0.0</v>
      </c>
      <c r="S25" s="245">
        <v>0.0</v>
      </c>
      <c r="T25" s="245">
        <v>0.0</v>
      </c>
      <c r="U25" s="245">
        <v>0.0</v>
      </c>
      <c r="V25" s="245">
        <v>0.0</v>
      </c>
      <c r="W25" s="245">
        <v>0.0</v>
      </c>
      <c r="X25" s="245">
        <v>0.0</v>
      </c>
      <c r="Y25" s="245">
        <v>0.0</v>
      </c>
      <c r="AB25" s="246" t="s">
        <v>364</v>
      </c>
      <c r="AC25" s="246" t="s">
        <v>364</v>
      </c>
      <c r="AD25" s="246"/>
      <c r="AE25" s="246" t="s">
        <v>364</v>
      </c>
      <c r="AF25" s="246" t="s">
        <v>364</v>
      </c>
    </row>
    <row r="26" ht="15.75" customHeight="1">
      <c r="B26" s="247" t="s">
        <v>27</v>
      </c>
      <c r="C26" s="248">
        <v>0.5243796614588173</v>
      </c>
      <c r="D26" s="248">
        <v>0.09877261529544526</v>
      </c>
      <c r="E26" s="248">
        <v>0.031058299507891383</v>
      </c>
      <c r="F26" s="248">
        <v>0.0012640005613676725</v>
      </c>
      <c r="G26" s="248">
        <v>0.0012640005613676725</v>
      </c>
      <c r="H26" s="248">
        <v>5.417145263004311E-4</v>
      </c>
      <c r="I26" s="248">
        <v>3.6114301753362074E-4</v>
      </c>
      <c r="J26" s="248">
        <v>0.0</v>
      </c>
      <c r="K26" s="248">
        <v>0.0</v>
      </c>
      <c r="L26" s="248">
        <v>0.0</v>
      </c>
      <c r="M26" s="248">
        <v>5.016637656559525</v>
      </c>
      <c r="O26" s="245">
        <v>0.23397966145881732</v>
      </c>
      <c r="P26" s="245">
        <v>0.04407261529544526</v>
      </c>
      <c r="Q26" s="245">
        <v>0.013858299507891383</v>
      </c>
      <c r="R26" s="245">
        <v>5.640005613676726E-4</v>
      </c>
      <c r="S26" s="245">
        <v>5.640005613676726E-4</v>
      </c>
      <c r="T26" s="245">
        <v>2.417145263004311E-4</v>
      </c>
      <c r="U26" s="245">
        <v>1.6114301753362073E-4</v>
      </c>
      <c r="V26" s="245">
        <v>0.0</v>
      </c>
      <c r="W26" s="245">
        <v>0.0</v>
      </c>
      <c r="X26" s="245">
        <v>0.0</v>
      </c>
      <c r="Y26" s="245">
        <v>2.238437656559525</v>
      </c>
      <c r="AB26" s="246">
        <v>3.0</v>
      </c>
      <c r="AC26" s="246">
        <v>16.0</v>
      </c>
      <c r="AD26" s="246"/>
      <c r="AE26" s="246">
        <v>15.0</v>
      </c>
      <c r="AF26" s="246">
        <v>15.0</v>
      </c>
    </row>
    <row r="27" ht="15.75" customHeight="1">
      <c r="B27" s="243" t="s">
        <v>35</v>
      </c>
      <c r="C27" s="244">
        <v>21.3069</v>
      </c>
      <c r="D27" s="244">
        <v>0.4293</v>
      </c>
      <c r="E27" s="244">
        <v>0.2225</v>
      </c>
      <c r="F27" s="244">
        <v>0.0786</v>
      </c>
      <c r="G27" s="244">
        <v>0.0</v>
      </c>
      <c r="H27" s="244">
        <v>0.0</v>
      </c>
      <c r="I27" s="244">
        <v>0.0</v>
      </c>
      <c r="J27" s="244">
        <v>0.0</v>
      </c>
      <c r="K27" s="244">
        <v>3.0E-4</v>
      </c>
      <c r="L27" s="244">
        <v>3.0E-4</v>
      </c>
      <c r="M27" s="244">
        <v>0.0011</v>
      </c>
      <c r="O27" s="245">
        <v>0.0</v>
      </c>
      <c r="P27" s="245">
        <v>0.0</v>
      </c>
      <c r="Q27" s="245">
        <v>0.0</v>
      </c>
      <c r="R27" s="245">
        <v>0.0</v>
      </c>
      <c r="S27" s="245">
        <v>0.0</v>
      </c>
      <c r="T27" s="245">
        <v>0.0</v>
      </c>
      <c r="U27" s="245">
        <v>0.0</v>
      </c>
      <c r="V27" s="245">
        <v>0.0</v>
      </c>
      <c r="W27" s="245">
        <v>0.0</v>
      </c>
      <c r="X27" s="245">
        <v>0.0</v>
      </c>
      <c r="Y27" s="245">
        <v>0.0</v>
      </c>
      <c r="AB27" s="246" t="s">
        <v>364</v>
      </c>
      <c r="AC27" s="246" t="s">
        <v>364</v>
      </c>
      <c r="AD27" s="246"/>
      <c r="AE27" s="246" t="s">
        <v>364</v>
      </c>
      <c r="AF27" s="246" t="s">
        <v>364</v>
      </c>
    </row>
    <row r="28" ht="15.75" customHeight="1">
      <c r="B28" s="243" t="s">
        <v>37</v>
      </c>
      <c r="C28" s="244">
        <v>38.5487</v>
      </c>
      <c r="D28" s="244">
        <v>0.348</v>
      </c>
      <c r="E28" s="244">
        <v>0.4935</v>
      </c>
      <c r="F28" s="244">
        <v>1.0013</v>
      </c>
      <c r="G28" s="244">
        <v>0.0677</v>
      </c>
      <c r="H28" s="244">
        <v>0.1306</v>
      </c>
      <c r="I28" s="244">
        <v>0.4249</v>
      </c>
      <c r="J28" s="244">
        <v>0.0</v>
      </c>
      <c r="K28" s="244">
        <v>0.0</v>
      </c>
      <c r="L28" s="244">
        <v>0.0</v>
      </c>
      <c r="M28" s="244">
        <v>5.0E-4</v>
      </c>
      <c r="O28" s="245">
        <v>0.0</v>
      </c>
      <c r="P28" s="245">
        <v>0.0</v>
      </c>
      <c r="Q28" s="245">
        <v>0.0</v>
      </c>
      <c r="R28" s="245">
        <v>0.0</v>
      </c>
      <c r="S28" s="245">
        <v>0.0</v>
      </c>
      <c r="T28" s="245">
        <v>0.0</v>
      </c>
      <c r="U28" s="245">
        <v>0.0</v>
      </c>
      <c r="V28" s="245">
        <v>0.0</v>
      </c>
      <c r="W28" s="245">
        <v>0.0</v>
      </c>
      <c r="X28" s="245">
        <v>0.0</v>
      </c>
      <c r="Y28" s="245">
        <v>0.0</v>
      </c>
      <c r="AB28" s="246" t="s">
        <v>364</v>
      </c>
      <c r="AC28" s="246" t="s">
        <v>364</v>
      </c>
      <c r="AD28" s="246"/>
      <c r="AE28" s="246" t="s">
        <v>364</v>
      </c>
      <c r="AF28" s="246" t="s">
        <v>364</v>
      </c>
    </row>
    <row r="29" ht="15.75" customHeight="1">
      <c r="B29" s="247" t="s">
        <v>41</v>
      </c>
      <c r="C29" s="248">
        <v>0.0</v>
      </c>
      <c r="D29" s="248">
        <v>0.0</v>
      </c>
      <c r="E29" s="248">
        <v>0.0</v>
      </c>
      <c r="F29" s="248">
        <v>0.0</v>
      </c>
      <c r="G29" s="248">
        <v>0.0</v>
      </c>
      <c r="H29" s="248">
        <v>0.0</v>
      </c>
      <c r="I29" s="248">
        <v>0.0</v>
      </c>
      <c r="J29" s="248">
        <v>0.0</v>
      </c>
      <c r="K29" s="248">
        <v>9.87491065046462E-5</v>
      </c>
      <c r="L29" s="248">
        <v>0.0</v>
      </c>
      <c r="M29" s="248">
        <v>1.974982130092924E-4</v>
      </c>
      <c r="O29" s="245">
        <v>0.0</v>
      </c>
      <c r="P29" s="245">
        <v>0.0</v>
      </c>
      <c r="Q29" s="245">
        <v>0.0</v>
      </c>
      <c r="R29" s="245">
        <v>0.0</v>
      </c>
      <c r="S29" s="245">
        <v>0.0</v>
      </c>
      <c r="T29" s="245">
        <v>0.0</v>
      </c>
      <c r="U29" s="245">
        <v>0.0</v>
      </c>
      <c r="V29" s="245">
        <v>0.0</v>
      </c>
      <c r="W29" s="245">
        <v>-1.2508934953538116E-6</v>
      </c>
      <c r="X29" s="245">
        <v>0.0</v>
      </c>
      <c r="Y29" s="245">
        <v>-2.501786990707623E-6</v>
      </c>
      <c r="AB29" s="246">
        <v>15.0</v>
      </c>
      <c r="AC29" s="246">
        <v>15.0</v>
      </c>
      <c r="AD29" s="246"/>
      <c r="AE29" s="246">
        <v>15.0</v>
      </c>
      <c r="AF29" s="246">
        <v>15.0</v>
      </c>
    </row>
    <row r="30" ht="15.75" customHeight="1">
      <c r="B30" s="243" t="s">
        <v>372</v>
      </c>
      <c r="C30" s="244">
        <v>0.0</v>
      </c>
      <c r="D30" s="244">
        <v>0.0</v>
      </c>
      <c r="E30" s="244">
        <v>0.0</v>
      </c>
      <c r="F30" s="244">
        <v>0.0</v>
      </c>
      <c r="G30" s="244">
        <v>0.0</v>
      </c>
      <c r="H30" s="244">
        <v>0.0</v>
      </c>
      <c r="I30" s="244">
        <v>1.0E-4</v>
      </c>
      <c r="J30" s="244">
        <v>0.0</v>
      </c>
      <c r="K30" s="244">
        <v>0.0</v>
      </c>
      <c r="L30" s="244">
        <v>9.0E-4</v>
      </c>
      <c r="M30" s="244">
        <v>1.0E-4</v>
      </c>
      <c r="O30" s="245">
        <v>0.0</v>
      </c>
      <c r="P30" s="245">
        <v>0.0</v>
      </c>
      <c r="Q30" s="245">
        <v>0.0</v>
      </c>
      <c r="R30" s="245">
        <v>0.0</v>
      </c>
      <c r="S30" s="245">
        <v>0.0</v>
      </c>
      <c r="T30" s="245">
        <v>0.0</v>
      </c>
      <c r="U30" s="245">
        <v>0.0</v>
      </c>
      <c r="V30" s="245">
        <v>0.0</v>
      </c>
      <c r="W30" s="245">
        <v>0.0</v>
      </c>
      <c r="X30" s="245">
        <v>0.0</v>
      </c>
      <c r="Y30" s="245">
        <v>0.0</v>
      </c>
      <c r="AB30" s="246" t="s">
        <v>364</v>
      </c>
      <c r="AC30" s="246" t="s">
        <v>364</v>
      </c>
      <c r="AD30" s="246"/>
      <c r="AE30" s="246" t="s">
        <v>364</v>
      </c>
      <c r="AF30" s="246" t="s">
        <v>364</v>
      </c>
    </row>
    <row r="31" ht="15.75" customHeight="1">
      <c r="B31" s="247" t="s">
        <v>49</v>
      </c>
      <c r="C31" s="248">
        <v>59.73288571832346</v>
      </c>
      <c r="D31" s="248">
        <v>3.4748512691446534</v>
      </c>
      <c r="E31" s="248">
        <v>0.22521100693610047</v>
      </c>
      <c r="F31" s="248">
        <v>0.0</v>
      </c>
      <c r="G31" s="248">
        <v>5.079640083627757</v>
      </c>
      <c r="H31" s="248">
        <v>6.085948203536672</v>
      </c>
      <c r="I31" s="248">
        <v>2.3917781514760335</v>
      </c>
      <c r="J31" s="248">
        <v>0.0</v>
      </c>
      <c r="K31" s="248">
        <v>0.0</v>
      </c>
      <c r="L31" s="248">
        <v>0.8987524750987249</v>
      </c>
      <c r="M31" s="248">
        <v>63.323425952470565</v>
      </c>
      <c r="O31" s="245">
        <v>59.73288571832346</v>
      </c>
      <c r="P31" s="245">
        <v>3.4748512691446534</v>
      </c>
      <c r="Q31" s="245">
        <v>0.22521100693610047</v>
      </c>
      <c r="R31" s="245">
        <v>0.0</v>
      </c>
      <c r="S31" s="245">
        <v>5.079640083627757</v>
      </c>
      <c r="T31" s="245">
        <v>6.085948203536672</v>
      </c>
      <c r="U31" s="245">
        <v>2.3917781514760335</v>
      </c>
      <c r="V31" s="245">
        <v>0.0</v>
      </c>
      <c r="W31" s="245">
        <v>0.0</v>
      </c>
      <c r="X31" s="245">
        <v>0.8985524750987249</v>
      </c>
      <c r="Y31" s="245">
        <v>63.323425952470565</v>
      </c>
      <c r="AB31" s="246">
        <v>0.0</v>
      </c>
      <c r="AC31" s="246">
        <v>0.0</v>
      </c>
      <c r="AD31" s="246"/>
      <c r="AE31" s="246">
        <v>5.0</v>
      </c>
      <c r="AF31" s="246">
        <v>18.0</v>
      </c>
    </row>
    <row r="32" ht="15.75" customHeight="1">
      <c r="B32" s="243" t="s">
        <v>373</v>
      </c>
      <c r="C32" s="244">
        <v>0.0</v>
      </c>
      <c r="D32" s="244">
        <v>0.0</v>
      </c>
      <c r="E32" s="244">
        <v>0.0</v>
      </c>
      <c r="F32" s="244">
        <v>0.0</v>
      </c>
      <c r="G32" s="244">
        <v>0.0</v>
      </c>
      <c r="H32" s="244">
        <v>0.0</v>
      </c>
      <c r="I32" s="244">
        <v>0.0</v>
      </c>
      <c r="J32" s="244">
        <v>0.0</v>
      </c>
      <c r="K32" s="244">
        <v>0.0</v>
      </c>
      <c r="L32" s="244">
        <v>1.0E-4</v>
      </c>
      <c r="M32" s="244">
        <v>7.0E-4</v>
      </c>
      <c r="O32" s="245">
        <v>0.0</v>
      </c>
      <c r="P32" s="245">
        <v>0.0</v>
      </c>
      <c r="Q32" s="245">
        <v>0.0</v>
      </c>
      <c r="R32" s="245">
        <v>0.0</v>
      </c>
      <c r="S32" s="245">
        <v>0.0</v>
      </c>
      <c r="T32" s="245">
        <v>0.0</v>
      </c>
      <c r="U32" s="245">
        <v>0.0</v>
      </c>
      <c r="V32" s="245">
        <v>0.0</v>
      </c>
      <c r="W32" s="245">
        <v>0.0</v>
      </c>
      <c r="X32" s="245">
        <v>0.0</v>
      </c>
      <c r="Y32" s="245">
        <v>0.0</v>
      </c>
      <c r="AB32" s="155" t="s">
        <v>364</v>
      </c>
      <c r="AC32" s="155" t="s">
        <v>364</v>
      </c>
      <c r="AE32" s="155" t="s">
        <v>364</v>
      </c>
      <c r="AF32" s="155" t="s">
        <v>364</v>
      </c>
    </row>
    <row r="33" ht="15.75" customHeight="1">
      <c r="AB33" s="249">
        <f t="shared" ref="AB33:AC33" si="1">SUM(AB8:AB32)</f>
        <v>99</v>
      </c>
      <c r="AC33" s="249">
        <f t="shared" si="1"/>
        <v>149</v>
      </c>
      <c r="AE33" s="249">
        <f t="shared" ref="AE33:AF33" si="2">SUM(AE8:AE32)</f>
        <v>110</v>
      </c>
      <c r="AF33" s="249">
        <f t="shared" si="2"/>
        <v>165</v>
      </c>
    </row>
    <row r="34" ht="15.75" customHeight="1"/>
    <row r="35" ht="15.75" customHeight="1">
      <c r="B35" s="239" t="s">
        <v>52</v>
      </c>
      <c r="C35" s="238" t="s">
        <v>374</v>
      </c>
      <c r="O35" s="238" t="s">
        <v>375</v>
      </c>
    </row>
    <row r="36" ht="28.5" customHeight="1">
      <c r="A36" s="240"/>
      <c r="B36" s="241" t="s">
        <v>356</v>
      </c>
      <c r="C36" s="242" t="s">
        <v>357</v>
      </c>
      <c r="D36" s="242" t="s">
        <v>9</v>
      </c>
      <c r="E36" s="242" t="s">
        <v>10</v>
      </c>
      <c r="F36" s="242" t="s">
        <v>11</v>
      </c>
      <c r="G36" s="242" t="s">
        <v>6</v>
      </c>
      <c r="H36" s="242" t="s">
        <v>7</v>
      </c>
      <c r="I36" s="242" t="s">
        <v>8</v>
      </c>
      <c r="J36" s="242" t="s">
        <v>358</v>
      </c>
      <c r="K36" s="242" t="s">
        <v>359</v>
      </c>
      <c r="L36" s="242" t="s">
        <v>360</v>
      </c>
      <c r="M36" s="242" t="s">
        <v>12</v>
      </c>
      <c r="N36" s="240"/>
      <c r="O36" s="242" t="s">
        <v>357</v>
      </c>
      <c r="P36" s="242" t="s">
        <v>9</v>
      </c>
      <c r="Q36" s="242" t="s">
        <v>10</v>
      </c>
      <c r="R36" s="242" t="s">
        <v>11</v>
      </c>
      <c r="S36" s="242" t="s">
        <v>6</v>
      </c>
      <c r="T36" s="242" t="s">
        <v>7</v>
      </c>
      <c r="U36" s="242" t="s">
        <v>8</v>
      </c>
      <c r="V36" s="242" t="s">
        <v>358</v>
      </c>
      <c r="W36" s="242" t="s">
        <v>359</v>
      </c>
      <c r="X36" s="242" t="s">
        <v>360</v>
      </c>
      <c r="Y36" s="242" t="s">
        <v>12</v>
      </c>
      <c r="Z36" s="240"/>
      <c r="AA36" s="240"/>
      <c r="AG36" s="240"/>
    </row>
    <row r="37" ht="15.75" customHeight="1">
      <c r="B37" s="243" t="s">
        <v>363</v>
      </c>
      <c r="C37" s="244">
        <f>LET(payer, $C$3, segment, $B$35, ECOGAINS_SIM(payer, segment))</f>
        <v>23.5941</v>
      </c>
      <c r="D37" s="244">
        <v>0.6335</v>
      </c>
      <c r="E37" s="244">
        <v>0.6357</v>
      </c>
      <c r="F37" s="244">
        <v>0.3579</v>
      </c>
      <c r="G37" s="244">
        <v>0.0</v>
      </c>
      <c r="H37" s="244">
        <v>0.0</v>
      </c>
      <c r="I37" s="244">
        <v>0.0</v>
      </c>
      <c r="J37" s="244">
        <v>0.0</v>
      </c>
      <c r="K37" s="244">
        <v>0.0</v>
      </c>
      <c r="L37" s="244">
        <v>0.0</v>
      </c>
      <c r="M37" s="244">
        <v>7.9676</v>
      </c>
      <c r="O37" s="245">
        <f>LET(payer, $C$3, segment, $B$35, ECOGAINS_DIFF(payer, segment))</f>
        <v>0</v>
      </c>
      <c r="P37" s="245">
        <v>0.0</v>
      </c>
      <c r="Q37" s="245">
        <v>0.0</v>
      </c>
      <c r="R37" s="245">
        <v>0.0</v>
      </c>
      <c r="S37" s="245">
        <v>0.0</v>
      </c>
      <c r="T37" s="245">
        <v>0.0</v>
      </c>
      <c r="U37" s="245">
        <v>0.0</v>
      </c>
      <c r="V37" s="245">
        <v>0.0</v>
      </c>
      <c r="W37" s="245">
        <v>0.0</v>
      </c>
      <c r="X37" s="245">
        <v>0.0</v>
      </c>
      <c r="Y37" s="245">
        <v>0.0</v>
      </c>
    </row>
    <row r="38" ht="15.75" customHeight="1">
      <c r="B38" s="247" t="s">
        <v>284</v>
      </c>
      <c r="C38" s="248">
        <v>5.661499658569615</v>
      </c>
      <c r="D38" s="248">
        <v>0.22557602852306394</v>
      </c>
      <c r="E38" s="248">
        <v>0.14118307441388067</v>
      </c>
      <c r="F38" s="248">
        <v>0.016011311451544646</v>
      </c>
      <c r="G38" s="248">
        <v>0.0</v>
      </c>
      <c r="H38" s="248">
        <v>0.0</v>
      </c>
      <c r="I38" s="248">
        <v>0.0</v>
      </c>
      <c r="J38" s="248">
        <v>0.0</v>
      </c>
      <c r="K38" s="248">
        <v>0.0</v>
      </c>
      <c r="L38" s="248">
        <v>0.0</v>
      </c>
      <c r="M38" s="248">
        <v>0.0</v>
      </c>
      <c r="O38" s="245">
        <v>-1.1275003414303848</v>
      </c>
      <c r="P38" s="245">
        <v>-0.04492397147693608</v>
      </c>
      <c r="Q38" s="245">
        <v>-0.028116925586119335</v>
      </c>
      <c r="R38" s="245">
        <v>-0.0031886885484553526</v>
      </c>
      <c r="S38" s="245">
        <v>0.0</v>
      </c>
      <c r="T38" s="245">
        <v>0.0</v>
      </c>
      <c r="U38" s="245">
        <v>0.0</v>
      </c>
      <c r="V38" s="245">
        <v>0.0</v>
      </c>
      <c r="W38" s="245">
        <v>0.0</v>
      </c>
      <c r="X38" s="245">
        <v>0.0</v>
      </c>
      <c r="Y38" s="245">
        <v>0.0</v>
      </c>
    </row>
    <row r="39" ht="15.75" customHeight="1">
      <c r="B39" s="247" t="s">
        <v>163</v>
      </c>
      <c r="C39" s="248">
        <v>1.678604057329573</v>
      </c>
      <c r="D39" s="248">
        <v>1.4695592535168072E-4</v>
      </c>
      <c r="E39" s="248">
        <v>7.347796267584036E-5</v>
      </c>
      <c r="F39" s="248">
        <v>7.347796267584036E-5</v>
      </c>
      <c r="G39" s="248">
        <v>0.01881035844501513</v>
      </c>
      <c r="H39" s="248">
        <v>0.17730232393680276</v>
      </c>
      <c r="I39" s="248">
        <v>7.347796267584036E-5</v>
      </c>
      <c r="J39" s="248">
        <v>1.471910548322434</v>
      </c>
      <c r="K39" s="248">
        <v>1.84010861929107</v>
      </c>
      <c r="L39" s="248">
        <v>1.9381282215006412</v>
      </c>
      <c r="M39" s="248">
        <v>3.392551014706225</v>
      </c>
      <c r="O39" s="245">
        <v>-0.6058959426704269</v>
      </c>
      <c r="P39" s="245">
        <v>-5.3044074648319294E-5</v>
      </c>
      <c r="Q39" s="245">
        <v>-2.6522037324159647E-5</v>
      </c>
      <c r="R39" s="245">
        <v>-2.6522037324159647E-5</v>
      </c>
      <c r="S39" s="245">
        <v>-0.00678964155498487</v>
      </c>
      <c r="T39" s="245">
        <v>-0.06399767606319723</v>
      </c>
      <c r="U39" s="245">
        <v>-2.6522037324159647E-5</v>
      </c>
      <c r="V39" s="245">
        <v>-0.5312894516775661</v>
      </c>
      <c r="W39" s="245">
        <v>-0.6641913807089301</v>
      </c>
      <c r="X39" s="245">
        <v>-0.6995717784993589</v>
      </c>
      <c r="Y39" s="245">
        <v>-1.2245489852937745</v>
      </c>
    </row>
    <row r="40" ht="15.75" customHeight="1">
      <c r="B40" s="247" t="s">
        <v>283</v>
      </c>
      <c r="C40" s="248">
        <v>4.469725736</v>
      </c>
      <c r="D40" s="248">
        <v>0.18230128</v>
      </c>
      <c r="E40" s="248">
        <v>0.11869256</v>
      </c>
      <c r="F40" s="248">
        <v>0.011738104</v>
      </c>
      <c r="G40" s="248">
        <v>0.0</v>
      </c>
      <c r="H40" s="248">
        <v>0.0</v>
      </c>
      <c r="I40" s="248">
        <v>0.0</v>
      </c>
      <c r="J40" s="248">
        <v>0.0</v>
      </c>
      <c r="K40" s="248">
        <v>0.0</v>
      </c>
      <c r="L40" s="248">
        <v>0.0</v>
      </c>
      <c r="M40" s="248">
        <v>0.0</v>
      </c>
      <c r="O40" s="245">
        <v>-2.3463742639999996</v>
      </c>
      <c r="P40" s="245">
        <v>-0.09569872000000001</v>
      </c>
      <c r="Q40" s="245">
        <v>-0.06230743999999999</v>
      </c>
      <c r="R40" s="245">
        <v>-0.006161896</v>
      </c>
      <c r="S40" s="245">
        <v>0.0</v>
      </c>
      <c r="T40" s="245">
        <v>0.0</v>
      </c>
      <c r="U40" s="245">
        <v>0.0</v>
      </c>
      <c r="V40" s="245">
        <v>0.0</v>
      </c>
      <c r="W40" s="245">
        <v>0.0</v>
      </c>
      <c r="X40" s="245">
        <v>0.0</v>
      </c>
      <c r="Y40" s="245">
        <v>0.0</v>
      </c>
    </row>
    <row r="41" ht="15.75" customHeight="1">
      <c r="B41" s="243" t="s">
        <v>365</v>
      </c>
      <c r="C41" s="244">
        <v>40.4494</v>
      </c>
      <c r="D41" s="244">
        <v>0.3631</v>
      </c>
      <c r="E41" s="244">
        <v>0.5406</v>
      </c>
      <c r="F41" s="244">
        <v>0.2652</v>
      </c>
      <c r="G41" s="244">
        <v>0.1557</v>
      </c>
      <c r="H41" s="244">
        <v>0.1763</v>
      </c>
      <c r="I41" s="244">
        <v>0.1718</v>
      </c>
      <c r="J41" s="244">
        <v>0.0</v>
      </c>
      <c r="K41" s="244">
        <v>0.0</v>
      </c>
      <c r="L41" s="244">
        <v>0.0</v>
      </c>
      <c r="M41" s="244">
        <v>25.5108</v>
      </c>
      <c r="O41" s="245">
        <v>0.0</v>
      </c>
      <c r="P41" s="245">
        <v>0.0</v>
      </c>
      <c r="Q41" s="245">
        <v>0.0</v>
      </c>
      <c r="R41" s="245">
        <v>0.0</v>
      </c>
      <c r="S41" s="245">
        <v>0.0</v>
      </c>
      <c r="T41" s="245">
        <v>0.0</v>
      </c>
      <c r="U41" s="245">
        <v>0.0</v>
      </c>
      <c r="V41" s="245">
        <v>0.0</v>
      </c>
      <c r="W41" s="245">
        <v>0.0</v>
      </c>
      <c r="X41" s="245">
        <v>0.0</v>
      </c>
      <c r="Y41" s="245">
        <v>0.0</v>
      </c>
    </row>
    <row r="42" ht="15.75" customHeight="1">
      <c r="B42" s="247" t="s">
        <v>366</v>
      </c>
      <c r="C42" s="248">
        <v>89.75048009478672</v>
      </c>
      <c r="D42" s="248">
        <v>1.2363</v>
      </c>
      <c r="E42" s="248">
        <v>0.8222</v>
      </c>
      <c r="F42" s="248">
        <v>0.152</v>
      </c>
      <c r="G42" s="248">
        <v>0.0</v>
      </c>
      <c r="H42" s="248">
        <v>0.0</v>
      </c>
      <c r="I42" s="248">
        <v>0.0</v>
      </c>
      <c r="J42" s="248">
        <v>14.0056</v>
      </c>
      <c r="K42" s="248">
        <v>9.4033</v>
      </c>
      <c r="L42" s="248">
        <v>7.7535</v>
      </c>
      <c r="M42" s="248">
        <v>99.2553</v>
      </c>
      <c r="O42" s="245">
        <v>-27.872819905213277</v>
      </c>
      <c r="P42" s="245">
        <v>0.0</v>
      </c>
      <c r="Q42" s="245">
        <v>0.0</v>
      </c>
      <c r="R42" s="245">
        <v>0.0</v>
      </c>
      <c r="S42" s="245">
        <v>0.0</v>
      </c>
      <c r="T42" s="245">
        <v>0.0</v>
      </c>
      <c r="U42" s="245">
        <v>0.0</v>
      </c>
      <c r="V42" s="245">
        <v>0.0</v>
      </c>
      <c r="W42" s="245">
        <v>0.0</v>
      </c>
      <c r="X42" s="245">
        <v>0.0</v>
      </c>
      <c r="Y42" s="245">
        <v>0.0</v>
      </c>
    </row>
    <row r="43" ht="15.75" customHeight="1">
      <c r="B43" s="243" t="s">
        <v>367</v>
      </c>
      <c r="C43" s="244">
        <v>23.1999</v>
      </c>
      <c r="D43" s="244">
        <v>0.1952</v>
      </c>
      <c r="E43" s="244">
        <v>2.0E-4</v>
      </c>
      <c r="F43" s="244">
        <v>2.0E-4</v>
      </c>
      <c r="G43" s="244">
        <v>0.5588</v>
      </c>
      <c r="H43" s="244">
        <v>0.1707</v>
      </c>
      <c r="I43" s="244">
        <v>0.0</v>
      </c>
      <c r="J43" s="244">
        <v>3.0E-4</v>
      </c>
      <c r="K43" s="244">
        <v>5.0E-4</v>
      </c>
      <c r="L43" s="244">
        <v>1.0E-4</v>
      </c>
      <c r="M43" s="244">
        <v>24.9749</v>
      </c>
      <c r="O43" s="245">
        <v>0.0</v>
      </c>
      <c r="P43" s="245">
        <v>0.0</v>
      </c>
      <c r="Q43" s="245">
        <v>0.0</v>
      </c>
      <c r="R43" s="245">
        <v>0.0</v>
      </c>
      <c r="S43" s="245">
        <v>0.0</v>
      </c>
      <c r="T43" s="245">
        <v>0.0</v>
      </c>
      <c r="U43" s="245">
        <v>0.0</v>
      </c>
      <c r="V43" s="245">
        <v>0.0</v>
      </c>
      <c r="W43" s="245">
        <v>0.0</v>
      </c>
      <c r="X43" s="245">
        <v>0.0</v>
      </c>
      <c r="Y43" s="245">
        <v>0.0</v>
      </c>
    </row>
    <row r="44" ht="15.75" customHeight="1">
      <c r="B44" s="243" t="s">
        <v>44</v>
      </c>
      <c r="C44" s="244">
        <v>0.0</v>
      </c>
      <c r="D44" s="244">
        <v>0.4768</v>
      </c>
      <c r="E44" s="244">
        <v>0.0</v>
      </c>
      <c r="F44" s="244">
        <v>0.0</v>
      </c>
      <c r="G44" s="244">
        <v>0.4213</v>
      </c>
      <c r="H44" s="244">
        <v>0.417</v>
      </c>
      <c r="I44" s="244">
        <v>0.4871</v>
      </c>
      <c r="J44" s="244">
        <v>0.0</v>
      </c>
      <c r="K44" s="244">
        <v>0.0</v>
      </c>
      <c r="L44" s="244">
        <v>0.0</v>
      </c>
      <c r="M44" s="244">
        <v>122.8309</v>
      </c>
      <c r="O44" s="245">
        <v>0.0</v>
      </c>
      <c r="P44" s="245">
        <v>0.0</v>
      </c>
      <c r="Q44" s="245">
        <v>0.0</v>
      </c>
      <c r="R44" s="245">
        <v>0.0</v>
      </c>
      <c r="S44" s="245">
        <v>0.0</v>
      </c>
      <c r="T44" s="245">
        <v>0.0</v>
      </c>
      <c r="U44" s="245">
        <v>0.0</v>
      </c>
      <c r="V44" s="245">
        <v>0.0</v>
      </c>
      <c r="W44" s="245">
        <v>0.0</v>
      </c>
      <c r="X44" s="245">
        <v>0.0</v>
      </c>
      <c r="Y44" s="245">
        <v>0.0</v>
      </c>
    </row>
    <row r="45" ht="15.75" customHeight="1">
      <c r="B45" s="247" t="s">
        <v>39</v>
      </c>
      <c r="C45" s="248">
        <v>8.700427024856955</v>
      </c>
      <c r="D45" s="248">
        <v>0.09247868853528762</v>
      </c>
      <c r="E45" s="248">
        <v>0.39037666421261713</v>
      </c>
      <c r="F45" s="248">
        <v>0.02434852986157758</v>
      </c>
      <c r="G45" s="248">
        <v>1.1473530245101136</v>
      </c>
      <c r="H45" s="248">
        <v>0.7257690896298407</v>
      </c>
      <c r="I45" s="248">
        <v>0.39906440256698283</v>
      </c>
      <c r="J45" s="248">
        <v>0.0</v>
      </c>
      <c r="K45" s="248">
        <v>0.2403988652530406</v>
      </c>
      <c r="L45" s="248">
        <v>0.9819430587368612</v>
      </c>
      <c r="M45" s="248">
        <v>75.21318030414699</v>
      </c>
      <c r="O45" s="245">
        <v>1.0893270248569547</v>
      </c>
      <c r="P45" s="245">
        <v>0.011578688535287623</v>
      </c>
      <c r="Q45" s="245">
        <v>0.048876664212617105</v>
      </c>
      <c r="R45" s="245">
        <v>0.0030485298615775813</v>
      </c>
      <c r="S45" s="245">
        <v>0.14365302451011353</v>
      </c>
      <c r="T45" s="245">
        <v>0.09086908962984064</v>
      </c>
      <c r="U45" s="245">
        <v>0.04996440256698281</v>
      </c>
      <c r="V45" s="245">
        <v>0.0</v>
      </c>
      <c r="W45" s="245">
        <v>0.03009886525304062</v>
      </c>
      <c r="X45" s="245">
        <v>0.12294305873686118</v>
      </c>
      <c r="Y45" s="245">
        <v>9.416980304146989</v>
      </c>
    </row>
    <row r="46" ht="15.75" customHeight="1">
      <c r="B46" s="247" t="s">
        <v>368</v>
      </c>
      <c r="C46" s="248">
        <v>5.602277693959866</v>
      </c>
      <c r="D46" s="248">
        <v>5.933123492722823E-4</v>
      </c>
      <c r="E46" s="248">
        <v>0.0</v>
      </c>
      <c r="F46" s="248">
        <v>3.708202182951765E-4</v>
      </c>
      <c r="G46" s="248">
        <v>0.10924363630975896</v>
      </c>
      <c r="H46" s="248">
        <v>0.4769489647712559</v>
      </c>
      <c r="I46" s="248">
        <v>2.966561746361412E-4</v>
      </c>
      <c r="J46" s="248">
        <v>4.193160864438196</v>
      </c>
      <c r="K46" s="248">
        <v>5.665168802982729</v>
      </c>
      <c r="L46" s="248">
        <v>5.664056342327843</v>
      </c>
      <c r="M46" s="248">
        <v>12.228612502763694</v>
      </c>
      <c r="O46" s="245">
        <v>-1.9516223060401332</v>
      </c>
      <c r="P46" s="245">
        <v>-2.066876507277177E-4</v>
      </c>
      <c r="Q46" s="245">
        <v>0.0</v>
      </c>
      <c r="R46" s="245">
        <v>-1.2917978170482353E-4</v>
      </c>
      <c r="S46" s="245">
        <v>-0.03805636369024103</v>
      </c>
      <c r="T46" s="245">
        <v>-0.16615103522874408</v>
      </c>
      <c r="U46" s="245">
        <v>-1.0334382536385885E-4</v>
      </c>
      <c r="V46" s="245">
        <v>-1.4607391355618038</v>
      </c>
      <c r="W46" s="245">
        <v>-1.9735311970172713</v>
      </c>
      <c r="X46" s="245">
        <v>-1.973143657672157</v>
      </c>
      <c r="Y46" s="245">
        <v>-4.259987497236308</v>
      </c>
    </row>
    <row r="47" ht="15.75" customHeight="1">
      <c r="B47" s="247" t="s">
        <v>38</v>
      </c>
      <c r="C47" s="248">
        <v>0.45946339321022045</v>
      </c>
      <c r="D47" s="248">
        <v>0.012660414610045129</v>
      </c>
      <c r="E47" s="248">
        <v>0.0038379997046199808</v>
      </c>
      <c r="F47" s="248">
        <v>2.990649120483101E-4</v>
      </c>
      <c r="G47" s="248">
        <v>0.0060311423929742545</v>
      </c>
      <c r="H47" s="248">
        <v>0.0059314540889581525</v>
      </c>
      <c r="I47" s="248">
        <v>0.006579428065062823</v>
      </c>
      <c r="J47" s="248">
        <v>0.0</v>
      </c>
      <c r="K47" s="248">
        <v>0.0</v>
      </c>
      <c r="L47" s="248">
        <v>0.0</v>
      </c>
      <c r="M47" s="248">
        <v>6.31166528047557</v>
      </c>
      <c r="O47" s="245">
        <v>-0.4623366067897795</v>
      </c>
      <c r="P47" s="245">
        <v>-0.01273958538995487</v>
      </c>
      <c r="Q47" s="245">
        <v>-0.0038620002953800195</v>
      </c>
      <c r="R47" s="245">
        <v>-3.009350879516898E-4</v>
      </c>
      <c r="S47" s="245">
        <v>-0.006068857607025745</v>
      </c>
      <c r="T47" s="245">
        <v>-0.005968545911041848</v>
      </c>
      <c r="U47" s="245">
        <v>-0.006620571934937177</v>
      </c>
      <c r="V47" s="245">
        <v>0.0</v>
      </c>
      <c r="W47" s="245">
        <v>0.0</v>
      </c>
      <c r="X47" s="245">
        <v>0.0</v>
      </c>
      <c r="Y47" s="245">
        <v>-6.35113471952443</v>
      </c>
    </row>
    <row r="48" ht="15.75" customHeight="1">
      <c r="B48" s="247" t="s">
        <v>45</v>
      </c>
      <c r="C48" s="248">
        <v>31.10272302484977</v>
      </c>
      <c r="D48" s="248">
        <v>0.2349993524502751</v>
      </c>
      <c r="E48" s="248">
        <v>0.2474247972746509</v>
      </c>
      <c r="F48" s="248">
        <v>0.23274776177740164</v>
      </c>
      <c r="G48" s="248">
        <v>0.03519152829454084</v>
      </c>
      <c r="H48" s="248">
        <v>0.0818911866948794</v>
      </c>
      <c r="I48" s="248">
        <v>0.17537389574269996</v>
      </c>
      <c r="J48" s="248">
        <v>0.0</v>
      </c>
      <c r="K48" s="248">
        <v>0.0</v>
      </c>
      <c r="L48" s="248">
        <v>0.0</v>
      </c>
      <c r="M48" s="248">
        <v>0.27652869152771903</v>
      </c>
      <c r="O48" s="245">
        <v>-6.194176975150231</v>
      </c>
      <c r="P48" s="245">
        <v>-0.046800647549724905</v>
      </c>
      <c r="Q48" s="245">
        <v>-0.04927520272534913</v>
      </c>
      <c r="R48" s="245">
        <v>-0.046352238222598374</v>
      </c>
      <c r="S48" s="245">
        <v>-0.007008471705459159</v>
      </c>
      <c r="T48" s="245">
        <v>-0.0163088133051206</v>
      </c>
      <c r="U48" s="245">
        <v>-0.03492610425730003</v>
      </c>
      <c r="V48" s="245">
        <v>0.0</v>
      </c>
      <c r="W48" s="245">
        <v>0.0</v>
      </c>
      <c r="X48" s="245">
        <v>0.0</v>
      </c>
      <c r="Y48" s="245">
        <v>-0.05507130847228098</v>
      </c>
    </row>
    <row r="49" ht="15.75" customHeight="1">
      <c r="B49" s="243" t="s">
        <v>369</v>
      </c>
      <c r="C49" s="244">
        <v>22.7494</v>
      </c>
      <c r="D49" s="244">
        <v>0.4263</v>
      </c>
      <c r="E49" s="244">
        <v>0.3391</v>
      </c>
      <c r="F49" s="244">
        <v>0.1342</v>
      </c>
      <c r="G49" s="244">
        <v>1.0701</v>
      </c>
      <c r="H49" s="244">
        <v>1.0477</v>
      </c>
      <c r="I49" s="244">
        <v>1.2218</v>
      </c>
      <c r="J49" s="244">
        <v>1.2662</v>
      </c>
      <c r="K49" s="244">
        <v>0.4437</v>
      </c>
      <c r="L49" s="244">
        <v>0.3945</v>
      </c>
      <c r="M49" s="244">
        <v>2.8137</v>
      </c>
      <c r="O49" s="245">
        <v>0.0</v>
      </c>
      <c r="P49" s="245">
        <v>0.0</v>
      </c>
      <c r="Q49" s="245">
        <v>0.0</v>
      </c>
      <c r="R49" s="245">
        <v>0.0</v>
      </c>
      <c r="S49" s="245">
        <v>0.0</v>
      </c>
      <c r="T49" s="245">
        <v>0.0</v>
      </c>
      <c r="U49" s="245">
        <v>0.0</v>
      </c>
      <c r="V49" s="245">
        <v>0.0</v>
      </c>
      <c r="W49" s="245">
        <v>0.0</v>
      </c>
      <c r="X49" s="245">
        <v>0.0</v>
      </c>
      <c r="Y49" s="245">
        <v>0.0</v>
      </c>
    </row>
    <row r="50" ht="15.75" customHeight="1">
      <c r="B50" s="247" t="s">
        <v>30</v>
      </c>
      <c r="C50" s="248">
        <v>1.1381592303778671</v>
      </c>
      <c r="D50" s="248">
        <v>0.0</v>
      </c>
      <c r="E50" s="248">
        <v>1.4697304111284442E-4</v>
      </c>
      <c r="F50" s="248">
        <v>0.0</v>
      </c>
      <c r="G50" s="248">
        <v>0.011904816330140398</v>
      </c>
      <c r="H50" s="248">
        <v>0.10765775261515853</v>
      </c>
      <c r="I50" s="248">
        <v>7.348652055642221E-5</v>
      </c>
      <c r="J50" s="248">
        <v>0.018812549262444085</v>
      </c>
      <c r="K50" s="248">
        <v>0.07547065661144561</v>
      </c>
      <c r="L50" s="248">
        <v>0.46112791649154933</v>
      </c>
      <c r="M50" s="248">
        <v>3.001924364729847</v>
      </c>
      <c r="O50" s="245">
        <v>-0.4106407696221328</v>
      </c>
      <c r="P50" s="245">
        <v>0.0</v>
      </c>
      <c r="Q50" s="245">
        <v>-5.3026958887155594E-5</v>
      </c>
      <c r="R50" s="245">
        <v>0.0</v>
      </c>
      <c r="S50" s="245">
        <v>-0.004295183669859601</v>
      </c>
      <c r="T50" s="245">
        <v>-0.03884224738484146</v>
      </c>
      <c r="U50" s="245">
        <v>-2.6513479443577797E-5</v>
      </c>
      <c r="V50" s="245">
        <v>-0.006787450737555916</v>
      </c>
      <c r="W50" s="245">
        <v>-0.027229343388554386</v>
      </c>
      <c r="X50" s="245">
        <v>-0.16637208350845062</v>
      </c>
      <c r="Y50" s="245">
        <v>-1.083075635270153</v>
      </c>
    </row>
    <row r="51" ht="15.75" customHeight="1">
      <c r="B51" s="247" t="s">
        <v>282</v>
      </c>
      <c r="C51" s="248">
        <v>11.167514472340246</v>
      </c>
      <c r="D51" s="248">
        <v>0.3781421446720271</v>
      </c>
      <c r="E51" s="248">
        <v>0.27331809001269575</v>
      </c>
      <c r="F51" s="248">
        <v>0.031272092678798144</v>
      </c>
      <c r="G51" s="248">
        <v>0.0</v>
      </c>
      <c r="H51" s="248">
        <v>0.0</v>
      </c>
      <c r="I51" s="248">
        <v>0.0</v>
      </c>
      <c r="J51" s="248">
        <v>0.0</v>
      </c>
      <c r="K51" s="248">
        <v>0.0</v>
      </c>
      <c r="L51" s="248">
        <v>0.0</v>
      </c>
      <c r="M51" s="248">
        <v>0.0</v>
      </c>
      <c r="O51" s="245">
        <v>2.239814472340246</v>
      </c>
      <c r="P51" s="245">
        <v>0.0758421446720271</v>
      </c>
      <c r="Q51" s="245">
        <v>0.05481809001269575</v>
      </c>
      <c r="R51" s="245">
        <v>0.006272092678798143</v>
      </c>
      <c r="S51" s="245">
        <v>0.0</v>
      </c>
      <c r="T51" s="245">
        <v>0.0</v>
      </c>
      <c r="U51" s="245">
        <v>0.0</v>
      </c>
      <c r="V51" s="245">
        <v>0.0</v>
      </c>
      <c r="W51" s="245">
        <v>0.0</v>
      </c>
      <c r="X51" s="245">
        <v>0.0</v>
      </c>
      <c r="Y51" s="245">
        <v>0.0</v>
      </c>
    </row>
    <row r="52" ht="15.75" customHeight="1">
      <c r="B52" s="247" t="s">
        <v>108</v>
      </c>
      <c r="C52" s="248">
        <v>0.0</v>
      </c>
      <c r="D52" s="248">
        <v>0.0</v>
      </c>
      <c r="E52" s="248">
        <v>0.0</v>
      </c>
      <c r="F52" s="248">
        <v>0.0</v>
      </c>
      <c r="G52" s="248">
        <v>0.0</v>
      </c>
      <c r="H52" s="248">
        <v>0.0</v>
      </c>
      <c r="I52" s="248">
        <v>0.0</v>
      </c>
      <c r="J52" s="248">
        <v>0.0</v>
      </c>
      <c r="K52" s="248">
        <v>0.0</v>
      </c>
      <c r="L52" s="248">
        <v>0.0</v>
      </c>
      <c r="M52" s="248">
        <v>0.0</v>
      </c>
      <c r="O52" s="245">
        <v>-8.3753</v>
      </c>
      <c r="P52" s="245">
        <v>-0.0353</v>
      </c>
      <c r="Q52" s="245">
        <v>-0.1916</v>
      </c>
      <c r="R52" s="245">
        <v>-0.2175</v>
      </c>
      <c r="S52" s="245">
        <v>-0.0754</v>
      </c>
      <c r="T52" s="245">
        <v>-0.0631</v>
      </c>
      <c r="U52" s="245">
        <v>-0.0599</v>
      </c>
      <c r="V52" s="245">
        <v>-4.3239</v>
      </c>
      <c r="W52" s="245">
        <v>-1.524</v>
      </c>
      <c r="X52" s="245">
        <v>-1.0768</v>
      </c>
      <c r="Y52" s="245">
        <v>-0.5024</v>
      </c>
    </row>
    <row r="53" ht="15.75" customHeight="1">
      <c r="B53" s="247" t="s">
        <v>370</v>
      </c>
      <c r="C53" s="248">
        <v>51.04882142857143</v>
      </c>
      <c r="D53" s="248">
        <v>0.93045</v>
      </c>
      <c r="E53" s="248">
        <v>1.8662</v>
      </c>
      <c r="F53" s="248">
        <v>2.2978</v>
      </c>
      <c r="G53" s="248">
        <v>2.521125</v>
      </c>
      <c r="H53" s="248">
        <v>3.3105</v>
      </c>
      <c r="I53" s="248">
        <v>1.45575</v>
      </c>
      <c r="J53" s="248">
        <v>0.0</v>
      </c>
      <c r="K53" s="248">
        <v>1.0E-4</v>
      </c>
      <c r="L53" s="248">
        <v>4.0E-4</v>
      </c>
      <c r="M53" s="248">
        <v>209.27509333333333</v>
      </c>
      <c r="O53" s="245">
        <v>-91.88787857142857</v>
      </c>
      <c r="P53" s="245">
        <v>-0.93045</v>
      </c>
      <c r="Q53" s="245">
        <v>0.0</v>
      </c>
      <c r="R53" s="245">
        <v>1.1489</v>
      </c>
      <c r="S53" s="245">
        <v>-0.8403749999999999</v>
      </c>
      <c r="T53" s="245">
        <v>0.0</v>
      </c>
      <c r="U53" s="245">
        <v>0.48525000000000007</v>
      </c>
      <c r="V53" s="245">
        <v>0.0</v>
      </c>
      <c r="W53" s="245">
        <v>0.0</v>
      </c>
      <c r="X53" s="245">
        <v>0.0</v>
      </c>
      <c r="Y53" s="245">
        <v>90.81749333333333</v>
      </c>
    </row>
    <row r="54" ht="15.75" customHeight="1">
      <c r="B54" s="243" t="s">
        <v>371</v>
      </c>
      <c r="C54" s="244">
        <v>35.8591</v>
      </c>
      <c r="D54" s="244">
        <v>0.2209</v>
      </c>
      <c r="E54" s="244">
        <v>0.6139</v>
      </c>
      <c r="F54" s="244">
        <v>0.0</v>
      </c>
      <c r="G54" s="244">
        <v>1.7365</v>
      </c>
      <c r="H54" s="244">
        <v>1.8956</v>
      </c>
      <c r="I54" s="244">
        <v>0.4702</v>
      </c>
      <c r="J54" s="244">
        <v>0.0488</v>
      </c>
      <c r="K54" s="244">
        <v>11.6985</v>
      </c>
      <c r="L54" s="244">
        <v>16.3237</v>
      </c>
      <c r="M54" s="244">
        <v>63.9719</v>
      </c>
      <c r="O54" s="245">
        <v>0.0</v>
      </c>
      <c r="P54" s="245">
        <v>0.0</v>
      </c>
      <c r="Q54" s="245">
        <v>0.0</v>
      </c>
      <c r="R54" s="245">
        <v>0.0</v>
      </c>
      <c r="S54" s="245">
        <v>0.0</v>
      </c>
      <c r="T54" s="245">
        <v>0.0</v>
      </c>
      <c r="U54" s="245">
        <v>0.0</v>
      </c>
      <c r="V54" s="245">
        <v>0.0</v>
      </c>
      <c r="W54" s="245">
        <v>0.0</v>
      </c>
      <c r="X54" s="245">
        <v>0.0</v>
      </c>
      <c r="Y54" s="245">
        <v>0.0</v>
      </c>
    </row>
    <row r="55" ht="15.75" customHeight="1">
      <c r="B55" s="247" t="s">
        <v>27</v>
      </c>
      <c r="C55" s="248">
        <v>3.109946633127942</v>
      </c>
      <c r="D55" s="248">
        <v>0.11744419849511435</v>
      </c>
      <c r="E55" s="248">
        <v>0.08651655241980885</v>
      </c>
      <c r="F55" s="248">
        <v>0.007681376149422281</v>
      </c>
      <c r="G55" s="248">
        <v>0.0012128488656982547</v>
      </c>
      <c r="H55" s="248">
        <v>8.085659104655034E-4</v>
      </c>
      <c r="I55" s="248">
        <v>4.042829552327517E-4</v>
      </c>
      <c r="J55" s="248">
        <v>0.0</v>
      </c>
      <c r="K55" s="248">
        <v>0.0</v>
      </c>
      <c r="L55" s="248">
        <v>0.0</v>
      </c>
      <c r="M55" s="248">
        <v>5.235464270264133</v>
      </c>
      <c r="O55" s="245">
        <v>1.571446633127942</v>
      </c>
      <c r="P55" s="245">
        <v>0.05934419849511435</v>
      </c>
      <c r="Q55" s="245">
        <v>0.04371655241980885</v>
      </c>
      <c r="R55" s="245">
        <v>0.003881376149422281</v>
      </c>
      <c r="S55" s="245">
        <v>6.128488656982548E-4</v>
      </c>
      <c r="T55" s="245">
        <v>4.0856591046550334E-4</v>
      </c>
      <c r="U55" s="245">
        <v>2.0428295523275167E-4</v>
      </c>
      <c r="V55" s="245">
        <v>0.0</v>
      </c>
      <c r="W55" s="245">
        <v>0.0</v>
      </c>
      <c r="X55" s="245">
        <v>0.0</v>
      </c>
      <c r="Y55" s="245">
        <v>2.6454642702641333</v>
      </c>
    </row>
    <row r="56" ht="15.75" customHeight="1">
      <c r="B56" s="243" t="s">
        <v>35</v>
      </c>
      <c r="C56" s="244">
        <v>24.8211</v>
      </c>
      <c r="D56" s="244">
        <v>0.4313</v>
      </c>
      <c r="E56" s="244">
        <v>0.2028</v>
      </c>
      <c r="F56" s="244">
        <v>0.0766</v>
      </c>
      <c r="G56" s="244">
        <v>0.0</v>
      </c>
      <c r="H56" s="244">
        <v>0.0</v>
      </c>
      <c r="I56" s="244">
        <v>0.0</v>
      </c>
      <c r="J56" s="244">
        <v>0.0</v>
      </c>
      <c r="K56" s="244">
        <v>0.0</v>
      </c>
      <c r="L56" s="244">
        <v>0.0</v>
      </c>
      <c r="M56" s="244">
        <v>9.0E-4</v>
      </c>
      <c r="O56" s="245">
        <v>0.0</v>
      </c>
      <c r="P56" s="245">
        <v>0.0</v>
      </c>
      <c r="Q56" s="245">
        <v>0.0</v>
      </c>
      <c r="R56" s="245">
        <v>0.0</v>
      </c>
      <c r="S56" s="245">
        <v>0.0</v>
      </c>
      <c r="T56" s="245">
        <v>0.0</v>
      </c>
      <c r="U56" s="245">
        <v>0.0</v>
      </c>
      <c r="V56" s="245">
        <v>0.0</v>
      </c>
      <c r="W56" s="245">
        <v>0.0</v>
      </c>
      <c r="X56" s="245">
        <v>0.0</v>
      </c>
      <c r="Y56" s="245">
        <v>0.0</v>
      </c>
    </row>
    <row r="57" ht="15.75" customHeight="1">
      <c r="B57" s="243" t="s">
        <v>37</v>
      </c>
      <c r="C57" s="244">
        <v>41.557</v>
      </c>
      <c r="D57" s="244">
        <v>0.3354</v>
      </c>
      <c r="E57" s="244">
        <v>0.4481</v>
      </c>
      <c r="F57" s="244">
        <v>0.8691</v>
      </c>
      <c r="G57" s="244">
        <v>0.0545</v>
      </c>
      <c r="H57" s="244">
        <v>0.106</v>
      </c>
      <c r="I57" s="244">
        <v>0.3674</v>
      </c>
      <c r="J57" s="244">
        <v>0.0</v>
      </c>
      <c r="K57" s="244">
        <v>1.0E-4</v>
      </c>
      <c r="L57" s="244">
        <v>3.0E-4</v>
      </c>
      <c r="M57" s="244">
        <v>6.0E-4</v>
      </c>
      <c r="O57" s="245">
        <v>0.0</v>
      </c>
      <c r="P57" s="245">
        <v>0.0</v>
      </c>
      <c r="Q57" s="245">
        <v>0.0</v>
      </c>
      <c r="R57" s="245">
        <v>0.0</v>
      </c>
      <c r="S57" s="245">
        <v>0.0</v>
      </c>
      <c r="T57" s="245">
        <v>0.0</v>
      </c>
      <c r="U57" s="245">
        <v>0.0</v>
      </c>
      <c r="V57" s="245">
        <v>0.0</v>
      </c>
      <c r="W57" s="245">
        <v>0.0</v>
      </c>
      <c r="X57" s="245">
        <v>0.0</v>
      </c>
      <c r="Y57" s="245">
        <v>0.0</v>
      </c>
    </row>
    <row r="58" ht="15.75" customHeight="1">
      <c r="B58" s="247" t="s">
        <v>41</v>
      </c>
      <c r="C58" s="248">
        <v>0.0</v>
      </c>
      <c r="D58" s="248">
        <v>0.0</v>
      </c>
      <c r="E58" s="248">
        <v>0.0</v>
      </c>
      <c r="F58" s="248">
        <v>0.0</v>
      </c>
      <c r="G58" s="248">
        <v>0.0</v>
      </c>
      <c r="H58" s="248">
        <v>0.0</v>
      </c>
      <c r="I58" s="248">
        <v>0.0</v>
      </c>
      <c r="J58" s="248">
        <v>0.0</v>
      </c>
      <c r="K58" s="248">
        <v>9.761766414875074E-5</v>
      </c>
      <c r="L58" s="248">
        <v>0.0</v>
      </c>
      <c r="M58" s="248">
        <v>1.9523532829750147E-4</v>
      </c>
      <c r="O58" s="245">
        <v>0.0</v>
      </c>
      <c r="P58" s="245">
        <v>0.0</v>
      </c>
      <c r="Q58" s="245">
        <v>0.0</v>
      </c>
      <c r="R58" s="245">
        <v>0.0</v>
      </c>
      <c r="S58" s="245">
        <v>0.0</v>
      </c>
      <c r="T58" s="245">
        <v>0.0</v>
      </c>
      <c r="U58" s="245">
        <v>0.0</v>
      </c>
      <c r="V58" s="245">
        <v>0.0</v>
      </c>
      <c r="W58" s="245">
        <v>-2.382335851249269E-6</v>
      </c>
      <c r="X58" s="245">
        <v>0.0</v>
      </c>
      <c r="Y58" s="245">
        <v>-4.764671702498538E-6</v>
      </c>
    </row>
    <row r="59" ht="15.75" customHeight="1">
      <c r="B59" s="243" t="s">
        <v>372</v>
      </c>
      <c r="C59" s="244">
        <v>0.0</v>
      </c>
      <c r="D59" s="244">
        <v>0.0</v>
      </c>
      <c r="E59" s="244">
        <v>0.0</v>
      </c>
      <c r="F59" s="244">
        <v>1.0E-4</v>
      </c>
      <c r="G59" s="244">
        <v>0.0</v>
      </c>
      <c r="H59" s="244">
        <v>1.0E-4</v>
      </c>
      <c r="I59" s="244">
        <v>2.0E-4</v>
      </c>
      <c r="J59" s="244">
        <v>0.0</v>
      </c>
      <c r="K59" s="244">
        <v>0.0</v>
      </c>
      <c r="L59" s="244">
        <v>0.001</v>
      </c>
      <c r="M59" s="244">
        <v>4.0E-4</v>
      </c>
      <c r="O59" s="245">
        <v>0.0</v>
      </c>
      <c r="P59" s="245">
        <v>0.0</v>
      </c>
      <c r="Q59" s="245">
        <v>0.0</v>
      </c>
      <c r="R59" s="245">
        <v>0.0</v>
      </c>
      <c r="S59" s="245">
        <v>0.0</v>
      </c>
      <c r="T59" s="245">
        <v>0.0</v>
      </c>
      <c r="U59" s="245">
        <v>0.0</v>
      </c>
      <c r="V59" s="245">
        <v>0.0</v>
      </c>
      <c r="W59" s="245">
        <v>0.0</v>
      </c>
      <c r="X59" s="245">
        <v>0.0</v>
      </c>
      <c r="Y59" s="245">
        <v>0.0</v>
      </c>
    </row>
    <row r="60" ht="15.75" customHeight="1">
      <c r="B60" s="247" t="s">
        <v>49</v>
      </c>
      <c r="C60" s="248">
        <v>161.82475791601237</v>
      </c>
      <c r="D60" s="248">
        <v>9.517612761958373</v>
      </c>
      <c r="E60" s="248">
        <v>1.8407503641701746</v>
      </c>
      <c r="F60" s="248">
        <v>0.5858217147130469</v>
      </c>
      <c r="G60" s="248">
        <v>10.02801216198009</v>
      </c>
      <c r="H60" s="248">
        <v>11.412967749000368</v>
      </c>
      <c r="I60" s="248">
        <v>4.211796322027637</v>
      </c>
      <c r="J60" s="248">
        <v>0.0</v>
      </c>
      <c r="K60" s="248">
        <v>0.0</v>
      </c>
      <c r="L60" s="248">
        <v>16.497424433392055</v>
      </c>
      <c r="M60" s="248">
        <v>139.719076363748</v>
      </c>
      <c r="O60" s="245">
        <v>161.82475791601237</v>
      </c>
      <c r="P60" s="245">
        <v>9.517612761958373</v>
      </c>
      <c r="Q60" s="245">
        <v>1.8407503641701746</v>
      </c>
      <c r="R60" s="245">
        <v>0.5858217147130469</v>
      </c>
      <c r="S60" s="245">
        <v>10.02801216198009</v>
      </c>
      <c r="T60" s="245">
        <v>11.412967749000368</v>
      </c>
      <c r="U60" s="245">
        <v>4.211796322027637</v>
      </c>
      <c r="V60" s="245">
        <v>0.0</v>
      </c>
      <c r="W60" s="245">
        <v>0.0</v>
      </c>
      <c r="X60" s="245">
        <v>16.497424433392055</v>
      </c>
      <c r="Y60" s="245">
        <v>139.719076363748</v>
      </c>
    </row>
    <row r="61" ht="15.75" customHeight="1">
      <c r="B61" s="243" t="s">
        <v>373</v>
      </c>
      <c r="C61" s="244">
        <v>0.0</v>
      </c>
      <c r="D61" s="244">
        <v>0.0</v>
      </c>
      <c r="E61" s="244">
        <v>0.0</v>
      </c>
      <c r="F61" s="244">
        <v>0.0</v>
      </c>
      <c r="G61" s="244">
        <v>0.0</v>
      </c>
      <c r="H61" s="244">
        <v>0.0</v>
      </c>
      <c r="I61" s="244">
        <v>0.0</v>
      </c>
      <c r="J61" s="244">
        <v>0.0</v>
      </c>
      <c r="K61" s="244">
        <v>0.0</v>
      </c>
      <c r="L61" s="244">
        <v>0.0</v>
      </c>
      <c r="M61" s="244">
        <v>0.0</v>
      </c>
      <c r="O61" s="245">
        <v>0.0</v>
      </c>
      <c r="P61" s="245">
        <v>0.0</v>
      </c>
      <c r="Q61" s="245">
        <v>0.0</v>
      </c>
      <c r="R61" s="245">
        <v>0.0</v>
      </c>
      <c r="S61" s="245">
        <v>0.0</v>
      </c>
      <c r="T61" s="245">
        <v>0.0</v>
      </c>
      <c r="U61" s="245">
        <v>0.0</v>
      </c>
      <c r="V61" s="245">
        <v>0.0</v>
      </c>
      <c r="W61" s="245">
        <v>0.0</v>
      </c>
      <c r="X61" s="245">
        <v>0.0</v>
      </c>
      <c r="Y61" s="245">
        <v>0.0</v>
      </c>
    </row>
    <row r="62" ht="15.75" customHeight="1"/>
    <row r="63" ht="15.75" customHeight="1"/>
    <row r="64" ht="15.75" customHeight="1">
      <c r="B64" s="239" t="s">
        <v>53</v>
      </c>
      <c r="C64" s="238" t="s">
        <v>376</v>
      </c>
      <c r="O64" s="238" t="s">
        <v>377</v>
      </c>
    </row>
    <row r="65" ht="28.5" customHeight="1">
      <c r="A65" s="240"/>
      <c r="B65" s="241" t="s">
        <v>356</v>
      </c>
      <c r="C65" s="242" t="s">
        <v>357</v>
      </c>
      <c r="D65" s="242" t="s">
        <v>9</v>
      </c>
      <c r="E65" s="242" t="s">
        <v>10</v>
      </c>
      <c r="F65" s="242" t="s">
        <v>11</v>
      </c>
      <c r="G65" s="242" t="s">
        <v>6</v>
      </c>
      <c r="H65" s="242" t="s">
        <v>7</v>
      </c>
      <c r="I65" s="242" t="s">
        <v>8</v>
      </c>
      <c r="J65" s="242" t="s">
        <v>358</v>
      </c>
      <c r="K65" s="242" t="s">
        <v>359</v>
      </c>
      <c r="L65" s="242" t="s">
        <v>360</v>
      </c>
      <c r="M65" s="242" t="s">
        <v>12</v>
      </c>
      <c r="N65" s="240"/>
      <c r="O65" s="242" t="s">
        <v>357</v>
      </c>
      <c r="P65" s="242" t="s">
        <v>9</v>
      </c>
      <c r="Q65" s="242" t="s">
        <v>10</v>
      </c>
      <c r="R65" s="242" t="s">
        <v>11</v>
      </c>
      <c r="S65" s="242" t="s">
        <v>6</v>
      </c>
      <c r="T65" s="242" t="s">
        <v>7</v>
      </c>
      <c r="U65" s="242" t="s">
        <v>8</v>
      </c>
      <c r="V65" s="242" t="s">
        <v>358</v>
      </c>
      <c r="W65" s="242" t="s">
        <v>359</v>
      </c>
      <c r="X65" s="242" t="s">
        <v>360</v>
      </c>
      <c r="Y65" s="242" t="s">
        <v>12</v>
      </c>
      <c r="Z65" s="240"/>
      <c r="AA65" s="240"/>
      <c r="AG65" s="240"/>
    </row>
    <row r="66" ht="15.75" customHeight="1">
      <c r="B66" s="243" t="s">
        <v>363</v>
      </c>
      <c r="C66" s="244">
        <f>LET(payer, $C$3, segment, $B$64, ECOGAINS_SIM(payer, segment))</f>
        <v>22.5928</v>
      </c>
      <c r="D66" s="244">
        <v>0.5653</v>
      </c>
      <c r="E66" s="244">
        <v>0.5508</v>
      </c>
      <c r="F66" s="244">
        <v>0.2962</v>
      </c>
      <c r="G66" s="244">
        <v>0.0</v>
      </c>
      <c r="H66" s="244">
        <v>0.0</v>
      </c>
      <c r="I66" s="244">
        <v>0.0</v>
      </c>
      <c r="J66" s="244">
        <v>0.0</v>
      </c>
      <c r="K66" s="244">
        <v>0.0</v>
      </c>
      <c r="L66" s="244">
        <v>0.0</v>
      </c>
      <c r="M66" s="244">
        <v>7.5653</v>
      </c>
      <c r="O66" s="245">
        <f>LET(payer, $C$3, segment, $B$64, ECOGAINS_DIFF(payer, segment))</f>
        <v>0</v>
      </c>
      <c r="P66" s="245">
        <v>0.0</v>
      </c>
      <c r="Q66" s="245">
        <v>0.0</v>
      </c>
      <c r="R66" s="245">
        <v>0.0</v>
      </c>
      <c r="S66" s="245">
        <v>0.0</v>
      </c>
      <c r="T66" s="245">
        <v>0.0</v>
      </c>
      <c r="U66" s="245">
        <v>0.0</v>
      </c>
      <c r="V66" s="245">
        <v>0.0</v>
      </c>
      <c r="W66" s="245">
        <v>0.0</v>
      </c>
      <c r="X66" s="245">
        <v>0.0</v>
      </c>
      <c r="Y66" s="245">
        <v>0.0</v>
      </c>
    </row>
    <row r="67" ht="15.75" customHeight="1">
      <c r="B67" s="247" t="s">
        <v>284</v>
      </c>
      <c r="C67" s="248">
        <v>15.850813628150291</v>
      </c>
      <c r="D67" s="248">
        <v>0.20624737041527233</v>
      </c>
      <c r="E67" s="248">
        <v>0.22620679335868576</v>
      </c>
      <c r="F67" s="248">
        <v>0.04977223189686645</v>
      </c>
      <c r="G67" s="248">
        <v>0.0</v>
      </c>
      <c r="H67" s="248">
        <v>0.0</v>
      </c>
      <c r="I67" s="248">
        <v>8.42169744447825E-5</v>
      </c>
      <c r="J67" s="248">
        <v>0.0</v>
      </c>
      <c r="K67" s="248">
        <v>0.0</v>
      </c>
      <c r="L67" s="248">
        <v>0.0</v>
      </c>
      <c r="M67" s="248">
        <v>0.0</v>
      </c>
      <c r="O67" s="245">
        <v>-2.970586371849709</v>
      </c>
      <c r="P67" s="245">
        <v>-0.03865262958472768</v>
      </c>
      <c r="Q67" s="245">
        <v>-0.04239320664131424</v>
      </c>
      <c r="R67" s="245">
        <v>-0.00932776810313355</v>
      </c>
      <c r="S67" s="245">
        <v>0.0</v>
      </c>
      <c r="T67" s="245">
        <v>0.0</v>
      </c>
      <c r="U67" s="245">
        <v>-1.578302555521751E-5</v>
      </c>
      <c r="V67" s="245">
        <v>0.0</v>
      </c>
      <c r="W67" s="245">
        <v>0.0</v>
      </c>
      <c r="X67" s="245">
        <v>0.0</v>
      </c>
      <c r="Y67" s="245">
        <v>0.0</v>
      </c>
    </row>
    <row r="68" ht="15.75" customHeight="1">
      <c r="B68" s="247" t="s">
        <v>163</v>
      </c>
      <c r="C68" s="248">
        <v>3.1021664461517298</v>
      </c>
      <c r="D68" s="248">
        <v>0.0010061935047639</v>
      </c>
      <c r="E68" s="248">
        <v>1.4374192925198574E-4</v>
      </c>
      <c r="F68" s="248">
        <v>2.1561289387797856E-4</v>
      </c>
      <c r="G68" s="248">
        <v>0.0743864483879026</v>
      </c>
      <c r="H68" s="248">
        <v>0.1568224448139164</v>
      </c>
      <c r="I68" s="248">
        <v>1.4374192925198574E-4</v>
      </c>
      <c r="J68" s="248">
        <v>2.2716255789337563</v>
      </c>
      <c r="K68" s="248">
        <v>2.016124299688352</v>
      </c>
      <c r="L68" s="248">
        <v>2.3204259639148055</v>
      </c>
      <c r="M68" s="248">
        <v>6.746239965583445</v>
      </c>
      <c r="O68" s="245">
        <v>-1.2141335538482703</v>
      </c>
      <c r="P68" s="245">
        <v>-3.938064952361E-4</v>
      </c>
      <c r="Q68" s="245">
        <v>-5.6258070748014275E-5</v>
      </c>
      <c r="R68" s="245">
        <v>-8.438710612202141E-5</v>
      </c>
      <c r="S68" s="245">
        <v>-0.029113551612097388</v>
      </c>
      <c r="T68" s="245">
        <v>-0.06137755518608359</v>
      </c>
      <c r="U68" s="245">
        <v>-5.6258070748014275E-5</v>
      </c>
      <c r="V68" s="245">
        <v>-0.8890744210662436</v>
      </c>
      <c r="W68" s="245">
        <v>-0.7890757003116482</v>
      </c>
      <c r="X68" s="245">
        <v>-0.9081740360851946</v>
      </c>
      <c r="Y68" s="245">
        <v>-2.6403600344165543</v>
      </c>
    </row>
    <row r="69" ht="15.75" customHeight="1">
      <c r="B69" s="247" t="s">
        <v>283</v>
      </c>
      <c r="C69" s="248">
        <v>13.656934872</v>
      </c>
      <c r="D69" s="248">
        <v>0.12877732</v>
      </c>
      <c r="E69" s="248">
        <v>0.184425136</v>
      </c>
      <c r="F69" s="248">
        <v>0.043437324000000006</v>
      </c>
      <c r="G69" s="248">
        <v>0.0</v>
      </c>
      <c r="H69" s="248">
        <v>0.0</v>
      </c>
      <c r="I69" s="248">
        <v>0.0</v>
      </c>
      <c r="J69" s="248">
        <v>0.0</v>
      </c>
      <c r="K69" s="248">
        <v>0.0</v>
      </c>
      <c r="L69" s="248">
        <v>0.0</v>
      </c>
      <c r="M69" s="248">
        <v>0.0</v>
      </c>
      <c r="O69" s="245">
        <v>-6.810865128</v>
      </c>
      <c r="P69" s="245">
        <v>-0.06422268</v>
      </c>
      <c r="Q69" s="245">
        <v>-0.09197486399999999</v>
      </c>
      <c r="R69" s="245">
        <v>-0.021662676</v>
      </c>
      <c r="S69" s="245">
        <v>0.0</v>
      </c>
      <c r="T69" s="245">
        <v>0.0</v>
      </c>
      <c r="U69" s="245">
        <v>0.0</v>
      </c>
      <c r="V69" s="245">
        <v>0.0</v>
      </c>
      <c r="W69" s="245">
        <v>0.0</v>
      </c>
      <c r="X69" s="245">
        <v>0.0</v>
      </c>
      <c r="Y69" s="245">
        <v>0.0</v>
      </c>
    </row>
    <row r="70" ht="15.75" customHeight="1">
      <c r="B70" s="243" t="s">
        <v>365</v>
      </c>
      <c r="C70" s="244">
        <v>76.6749</v>
      </c>
      <c r="D70" s="244">
        <v>0.6349</v>
      </c>
      <c r="E70" s="244">
        <v>0.9307</v>
      </c>
      <c r="F70" s="244">
        <v>0.4305</v>
      </c>
      <c r="G70" s="244">
        <v>0.291</v>
      </c>
      <c r="H70" s="244">
        <v>0.3264</v>
      </c>
      <c r="I70" s="244">
        <v>0.3123</v>
      </c>
      <c r="J70" s="244">
        <v>0.0</v>
      </c>
      <c r="K70" s="244">
        <v>0.0</v>
      </c>
      <c r="L70" s="244">
        <v>0.0</v>
      </c>
      <c r="M70" s="244">
        <v>47.997</v>
      </c>
      <c r="O70" s="245">
        <v>0.0</v>
      </c>
      <c r="P70" s="245">
        <v>0.0</v>
      </c>
      <c r="Q70" s="245">
        <v>0.0</v>
      </c>
      <c r="R70" s="245">
        <v>0.0</v>
      </c>
      <c r="S70" s="245">
        <v>0.0</v>
      </c>
      <c r="T70" s="245">
        <v>0.0</v>
      </c>
      <c r="U70" s="245">
        <v>0.0</v>
      </c>
      <c r="V70" s="245">
        <v>0.0</v>
      </c>
      <c r="W70" s="245">
        <v>0.0</v>
      </c>
      <c r="X70" s="245">
        <v>0.0</v>
      </c>
      <c r="Y70" s="245">
        <v>0.0</v>
      </c>
    </row>
    <row r="71" ht="15.75" customHeight="1">
      <c r="B71" s="247" t="s">
        <v>366</v>
      </c>
      <c r="C71" s="248">
        <v>82.04725268817204</v>
      </c>
      <c r="D71" s="248">
        <v>1.0348</v>
      </c>
      <c r="E71" s="248">
        <v>0.6789</v>
      </c>
      <c r="F71" s="248">
        <v>0.1147</v>
      </c>
      <c r="G71" s="248">
        <v>0.0</v>
      </c>
      <c r="H71" s="248">
        <v>0.0</v>
      </c>
      <c r="I71" s="248">
        <v>0.0</v>
      </c>
      <c r="J71" s="248">
        <v>7.3478</v>
      </c>
      <c r="K71" s="248">
        <v>8.3748</v>
      </c>
      <c r="L71" s="248">
        <v>7.2514</v>
      </c>
      <c r="M71" s="248">
        <v>88.7954</v>
      </c>
      <c r="O71" s="245">
        <v>-24.094247311827957</v>
      </c>
      <c r="P71" s="245">
        <v>0.0</v>
      </c>
      <c r="Q71" s="245">
        <v>0.0</v>
      </c>
      <c r="R71" s="245">
        <v>0.0</v>
      </c>
      <c r="S71" s="245">
        <v>0.0</v>
      </c>
      <c r="T71" s="245">
        <v>0.0</v>
      </c>
      <c r="U71" s="245">
        <v>0.0</v>
      </c>
      <c r="V71" s="245">
        <v>0.0</v>
      </c>
      <c r="W71" s="245">
        <v>0.0</v>
      </c>
      <c r="X71" s="245">
        <v>0.0</v>
      </c>
      <c r="Y71" s="245">
        <v>0.0</v>
      </c>
    </row>
    <row r="72" ht="15.75" customHeight="1">
      <c r="B72" s="243" t="s">
        <v>367</v>
      </c>
      <c r="C72" s="244">
        <v>40.19</v>
      </c>
      <c r="D72" s="244">
        <v>0.4525</v>
      </c>
      <c r="E72" s="244">
        <v>2.0E-4</v>
      </c>
      <c r="F72" s="244">
        <v>1.0E-4</v>
      </c>
      <c r="G72" s="244">
        <v>0.9008</v>
      </c>
      <c r="H72" s="244">
        <v>0.4178</v>
      </c>
      <c r="I72" s="244">
        <v>1.0E-4</v>
      </c>
      <c r="J72" s="244">
        <v>3.0E-4</v>
      </c>
      <c r="K72" s="244">
        <v>0.0011</v>
      </c>
      <c r="L72" s="244">
        <v>1.0E-4</v>
      </c>
      <c r="M72" s="244">
        <v>27.1417</v>
      </c>
      <c r="O72" s="245">
        <v>0.0</v>
      </c>
      <c r="P72" s="245">
        <v>0.0</v>
      </c>
      <c r="Q72" s="245">
        <v>0.0</v>
      </c>
      <c r="R72" s="245">
        <v>0.0</v>
      </c>
      <c r="S72" s="245">
        <v>0.0</v>
      </c>
      <c r="T72" s="245">
        <v>0.0</v>
      </c>
      <c r="U72" s="245">
        <v>0.0</v>
      </c>
      <c r="V72" s="245">
        <v>0.0</v>
      </c>
      <c r="W72" s="245">
        <v>0.0</v>
      </c>
      <c r="X72" s="245">
        <v>0.0</v>
      </c>
      <c r="Y72" s="245">
        <v>0.0</v>
      </c>
    </row>
    <row r="73" ht="15.75" customHeight="1">
      <c r="B73" s="243" t="s">
        <v>44</v>
      </c>
      <c r="C73" s="244">
        <v>0.0</v>
      </c>
      <c r="D73" s="244">
        <v>0.7188</v>
      </c>
      <c r="E73" s="244">
        <v>0.0</v>
      </c>
      <c r="F73" s="244">
        <v>0.0</v>
      </c>
      <c r="G73" s="244">
        <v>0.6657</v>
      </c>
      <c r="H73" s="244">
        <v>0.6639</v>
      </c>
      <c r="I73" s="244">
        <v>0.7304</v>
      </c>
      <c r="J73" s="244">
        <v>0.0</v>
      </c>
      <c r="K73" s="244">
        <v>0.0</v>
      </c>
      <c r="L73" s="244">
        <v>0.0</v>
      </c>
      <c r="M73" s="244">
        <v>122.7231</v>
      </c>
      <c r="O73" s="245">
        <v>0.0</v>
      </c>
      <c r="P73" s="245">
        <v>0.0</v>
      </c>
      <c r="Q73" s="245">
        <v>0.0</v>
      </c>
      <c r="R73" s="245">
        <v>0.0</v>
      </c>
      <c r="S73" s="245">
        <v>0.0</v>
      </c>
      <c r="T73" s="245">
        <v>0.0</v>
      </c>
      <c r="U73" s="245">
        <v>0.0</v>
      </c>
      <c r="V73" s="245">
        <v>0.0</v>
      </c>
      <c r="W73" s="245">
        <v>0.0</v>
      </c>
      <c r="X73" s="245">
        <v>0.0</v>
      </c>
      <c r="Y73" s="245">
        <v>0.0</v>
      </c>
    </row>
    <row r="74" ht="15.75" customHeight="1">
      <c r="B74" s="247" t="s">
        <v>39</v>
      </c>
      <c r="C74" s="248">
        <v>20.951682675682783</v>
      </c>
      <c r="D74" s="248">
        <v>0.4479718122935546</v>
      </c>
      <c r="E74" s="248">
        <v>0.7059087866151741</v>
      </c>
      <c r="F74" s="248">
        <v>0.20564321495164448</v>
      </c>
      <c r="G74" s="248">
        <v>1.07788944967175</v>
      </c>
      <c r="H74" s="248">
        <v>0.8700815692995618</v>
      </c>
      <c r="I74" s="248">
        <v>0.729606176482178</v>
      </c>
      <c r="J74" s="248">
        <v>0.0</v>
      </c>
      <c r="K74" s="248">
        <v>2.252163475437179</v>
      </c>
      <c r="L74" s="248">
        <v>4.883029469710516</v>
      </c>
      <c r="M74" s="248">
        <v>82.06463075822941</v>
      </c>
      <c r="O74" s="245">
        <v>2.561682675682782</v>
      </c>
      <c r="P74" s="245">
        <v>0.0547718122935546</v>
      </c>
      <c r="Q74" s="245">
        <v>0.08630878661517405</v>
      </c>
      <c r="R74" s="245">
        <v>0.025143214951644483</v>
      </c>
      <c r="S74" s="245">
        <v>0.13178944967174988</v>
      </c>
      <c r="T74" s="245">
        <v>0.10638156929956177</v>
      </c>
      <c r="U74" s="245">
        <v>0.08920617648217799</v>
      </c>
      <c r="V74" s="245">
        <v>0.0</v>
      </c>
      <c r="W74" s="245">
        <v>0.275363475437179</v>
      </c>
      <c r="X74" s="245">
        <v>0.5970294697105167</v>
      </c>
      <c r="Y74" s="245">
        <v>10.03373075822941</v>
      </c>
    </row>
    <row r="75" ht="15.75" customHeight="1">
      <c r="B75" s="247" t="s">
        <v>368</v>
      </c>
      <c r="C75" s="248">
        <v>10.548142727163336</v>
      </c>
      <c r="D75" s="248">
        <v>0.011810345156322118</v>
      </c>
      <c r="E75" s="248">
        <v>0.0</v>
      </c>
      <c r="F75" s="248">
        <v>0.002783329750216041</v>
      </c>
      <c r="G75" s="248">
        <v>0.30210411559101674</v>
      </c>
      <c r="H75" s="248">
        <v>0.4226899963909171</v>
      </c>
      <c r="I75" s="248">
        <v>0.0025576543650633887</v>
      </c>
      <c r="J75" s="248">
        <v>7.215744764870894</v>
      </c>
      <c r="K75" s="248">
        <v>6.048927798503299</v>
      </c>
      <c r="L75" s="248">
        <v>7.7053851255237635</v>
      </c>
      <c r="M75" s="248">
        <v>25.266917022204453</v>
      </c>
      <c r="O75" s="245">
        <v>-3.473957272836664</v>
      </c>
      <c r="P75" s="245">
        <v>-0.0038896548436778804</v>
      </c>
      <c r="Q75" s="245">
        <v>0.0</v>
      </c>
      <c r="R75" s="245">
        <v>-9.166702497839592E-4</v>
      </c>
      <c r="S75" s="245">
        <v>-0.09949588440898327</v>
      </c>
      <c r="T75" s="245">
        <v>-0.13921000360908287</v>
      </c>
      <c r="U75" s="245">
        <v>-8.423456349366111E-4</v>
      </c>
      <c r="V75" s="245">
        <v>-2.3764552351291064</v>
      </c>
      <c r="W75" s="245">
        <v>-1.9921722014967012</v>
      </c>
      <c r="X75" s="245">
        <v>-2.5377148744762366</v>
      </c>
      <c r="Y75" s="245">
        <v>-8.321482977795547</v>
      </c>
    </row>
    <row r="76" ht="15.75" customHeight="1">
      <c r="B76" s="247" t="s">
        <v>38</v>
      </c>
      <c r="C76" s="248">
        <v>2.7521971809305716</v>
      </c>
      <c r="D76" s="248">
        <v>0.027701933273638114</v>
      </c>
      <c r="E76" s="248">
        <v>0.01860275811076428</v>
      </c>
      <c r="F76" s="248">
        <v>0.002325344763845535</v>
      </c>
      <c r="G76" s="248">
        <v>0.00768374791531568</v>
      </c>
      <c r="H76" s="248">
        <v>0.008239808619713525</v>
      </c>
      <c r="I76" s="248">
        <v>0.010009092679161216</v>
      </c>
      <c r="J76" s="248">
        <v>0.0</v>
      </c>
      <c r="K76" s="248">
        <v>0.0</v>
      </c>
      <c r="L76" s="248">
        <v>0.0</v>
      </c>
      <c r="M76" s="248">
        <v>7.02557424520114</v>
      </c>
      <c r="O76" s="245">
        <v>-2.6922028190694283</v>
      </c>
      <c r="P76" s="245">
        <v>-0.027098066726361888</v>
      </c>
      <c r="Q76" s="245">
        <v>-0.01819724188923572</v>
      </c>
      <c r="R76" s="245">
        <v>-0.002274655236154465</v>
      </c>
      <c r="S76" s="245">
        <v>-0.00751625208468432</v>
      </c>
      <c r="T76" s="245">
        <v>-0.008060191380286474</v>
      </c>
      <c r="U76" s="245">
        <v>-0.009790907320838786</v>
      </c>
      <c r="V76" s="245">
        <v>0.0</v>
      </c>
      <c r="W76" s="245">
        <v>0.0</v>
      </c>
      <c r="X76" s="245">
        <v>0.0</v>
      </c>
      <c r="Y76" s="245">
        <v>-6.87242575479886</v>
      </c>
    </row>
    <row r="77" ht="15.75" customHeight="1">
      <c r="B77" s="247" t="s">
        <v>45</v>
      </c>
      <c r="C77" s="248">
        <v>49.44142762124734</v>
      </c>
      <c r="D77" s="248">
        <v>0.2881904865500457</v>
      </c>
      <c r="E77" s="248">
        <v>0.33324656787800433</v>
      </c>
      <c r="F77" s="248">
        <v>0.3505110476391847</v>
      </c>
      <c r="G77" s="248">
        <v>0.03907667614237907</v>
      </c>
      <c r="H77" s="248">
        <v>0.09314397373592943</v>
      </c>
      <c r="I77" s="248">
        <v>0.19757302204745972</v>
      </c>
      <c r="J77" s="248">
        <v>0.0</v>
      </c>
      <c r="K77" s="248">
        <v>0.0</v>
      </c>
      <c r="L77" s="248">
        <v>0.0</v>
      </c>
      <c r="M77" s="248">
        <v>0.36432263144812904</v>
      </c>
      <c r="O77" s="245">
        <v>-9.265772378752658</v>
      </c>
      <c r="P77" s="245">
        <v>-0.054009513449954305</v>
      </c>
      <c r="Q77" s="245">
        <v>-0.06245343212199567</v>
      </c>
      <c r="R77" s="245">
        <v>-0.06568895236081529</v>
      </c>
      <c r="S77" s="245">
        <v>-0.007323323857620925</v>
      </c>
      <c r="T77" s="245">
        <v>-0.01745602626407057</v>
      </c>
      <c r="U77" s="245">
        <v>-0.037026977952540285</v>
      </c>
      <c r="V77" s="245">
        <v>0.0</v>
      </c>
      <c r="W77" s="245">
        <v>0.0</v>
      </c>
      <c r="X77" s="245">
        <v>0.0</v>
      </c>
      <c r="Y77" s="245">
        <v>-0.06827736855187094</v>
      </c>
    </row>
    <row r="78" ht="15.75" customHeight="1">
      <c r="B78" s="243" t="s">
        <v>369</v>
      </c>
      <c r="C78" s="244">
        <v>53.042</v>
      </c>
      <c r="D78" s="244">
        <v>0.401</v>
      </c>
      <c r="E78" s="244">
        <v>0.5511</v>
      </c>
      <c r="F78" s="244">
        <v>0.2449</v>
      </c>
      <c r="G78" s="244">
        <v>1.0793</v>
      </c>
      <c r="H78" s="244">
        <v>1.064</v>
      </c>
      <c r="I78" s="244">
        <v>1.1695</v>
      </c>
      <c r="J78" s="244">
        <v>0.9913</v>
      </c>
      <c r="K78" s="244">
        <v>0.5582</v>
      </c>
      <c r="L78" s="244">
        <v>0.4967</v>
      </c>
      <c r="M78" s="244">
        <v>4.5991</v>
      </c>
      <c r="O78" s="245">
        <v>0.0</v>
      </c>
      <c r="P78" s="245">
        <v>0.0</v>
      </c>
      <c r="Q78" s="245">
        <v>0.0</v>
      </c>
      <c r="R78" s="245">
        <v>0.0</v>
      </c>
      <c r="S78" s="245">
        <v>0.0</v>
      </c>
      <c r="T78" s="245">
        <v>0.0</v>
      </c>
      <c r="U78" s="245">
        <v>0.0</v>
      </c>
      <c r="V78" s="245">
        <v>0.0</v>
      </c>
      <c r="W78" s="245">
        <v>0.0</v>
      </c>
      <c r="X78" s="245">
        <v>0.0</v>
      </c>
      <c r="Y78" s="245">
        <v>0.0</v>
      </c>
    </row>
    <row r="79" ht="15.75" customHeight="1">
      <c r="B79" s="247" t="s">
        <v>30</v>
      </c>
      <c r="C79" s="248">
        <v>2.6019656557207673</v>
      </c>
      <c r="D79" s="248">
        <v>0.0</v>
      </c>
      <c r="E79" s="248">
        <v>0.0034674005202697195</v>
      </c>
      <c r="F79" s="248">
        <v>0.0</v>
      </c>
      <c r="G79" s="248">
        <v>0.05038345245779675</v>
      </c>
      <c r="H79" s="248">
        <v>0.12093443855389696</v>
      </c>
      <c r="I79" s="248">
        <v>9.199225870103338E-4</v>
      </c>
      <c r="J79" s="248">
        <v>0.2895633250804835</v>
      </c>
      <c r="K79" s="248">
        <v>0.6644671609251565</v>
      </c>
      <c r="L79" s="248">
        <v>1.1904505908672958</v>
      </c>
      <c r="M79" s="248">
        <v>6.57348375367215</v>
      </c>
      <c r="O79" s="245">
        <v>-1.0750343442792327</v>
      </c>
      <c r="P79" s="245">
        <v>0.0</v>
      </c>
      <c r="Q79" s="245">
        <v>-0.0014325994797302804</v>
      </c>
      <c r="R79" s="245">
        <v>0.0</v>
      </c>
      <c r="S79" s="245">
        <v>-0.020816547542203252</v>
      </c>
      <c r="T79" s="245">
        <v>-0.049965561446103035</v>
      </c>
      <c r="U79" s="245">
        <v>-3.8007741298966616E-4</v>
      </c>
      <c r="V79" s="245">
        <v>-0.11963667491951652</v>
      </c>
      <c r="W79" s="245">
        <v>-0.2745328390748435</v>
      </c>
      <c r="X79" s="245">
        <v>-0.49184940913270414</v>
      </c>
      <c r="Y79" s="245">
        <v>-2.7159162463278506</v>
      </c>
    </row>
    <row r="80" ht="15.75" customHeight="1">
      <c r="B80" s="247" t="s">
        <v>282</v>
      </c>
      <c r="C80" s="248">
        <v>31.1574171674384</v>
      </c>
      <c r="D80" s="248">
        <v>0.2633885875760572</v>
      </c>
      <c r="E80" s="248">
        <v>0.40613635925996355</v>
      </c>
      <c r="F80" s="248">
        <v>0.1005550674870703</v>
      </c>
      <c r="G80" s="248">
        <v>0.0</v>
      </c>
      <c r="H80" s="248">
        <v>0.0</v>
      </c>
      <c r="I80" s="248">
        <v>0.0</v>
      </c>
      <c r="J80" s="248">
        <v>0.0</v>
      </c>
      <c r="K80" s="248">
        <v>0.0</v>
      </c>
      <c r="L80" s="248">
        <v>0.0</v>
      </c>
      <c r="M80" s="248">
        <v>0.0</v>
      </c>
      <c r="O80" s="245">
        <v>6.493017167438399</v>
      </c>
      <c r="P80" s="245">
        <v>0.05488858757605722</v>
      </c>
      <c r="Q80" s="245">
        <v>0.08463635925996355</v>
      </c>
      <c r="R80" s="245">
        <v>0.020955067487070295</v>
      </c>
      <c r="S80" s="245">
        <v>0.0</v>
      </c>
      <c r="T80" s="245">
        <v>0.0</v>
      </c>
      <c r="U80" s="245">
        <v>0.0</v>
      </c>
      <c r="V80" s="245">
        <v>0.0</v>
      </c>
      <c r="W80" s="245">
        <v>0.0</v>
      </c>
      <c r="X80" s="245">
        <v>0.0</v>
      </c>
      <c r="Y80" s="245">
        <v>0.0</v>
      </c>
    </row>
    <row r="81" ht="15.75" customHeight="1">
      <c r="B81" s="247" t="s">
        <v>108</v>
      </c>
      <c r="C81" s="248">
        <v>0.0</v>
      </c>
      <c r="D81" s="248">
        <v>0.0</v>
      </c>
      <c r="E81" s="248">
        <v>0.0</v>
      </c>
      <c r="F81" s="248">
        <v>0.0</v>
      </c>
      <c r="G81" s="248">
        <v>0.0</v>
      </c>
      <c r="H81" s="248">
        <v>0.0</v>
      </c>
      <c r="I81" s="248">
        <v>0.0</v>
      </c>
      <c r="J81" s="248">
        <v>0.0</v>
      </c>
      <c r="K81" s="248">
        <v>0.0</v>
      </c>
      <c r="L81" s="248">
        <v>0.0</v>
      </c>
      <c r="M81" s="248">
        <v>0.0</v>
      </c>
      <c r="O81" s="245">
        <v>-18.3164</v>
      </c>
      <c r="P81" s="245">
        <v>-0.1488</v>
      </c>
      <c r="Q81" s="245">
        <v>-0.3125</v>
      </c>
      <c r="R81" s="245">
        <v>-0.3362</v>
      </c>
      <c r="S81" s="245">
        <v>-0.1797</v>
      </c>
      <c r="T81" s="245">
        <v>-0.1073</v>
      </c>
      <c r="U81" s="245">
        <v>-0.1207</v>
      </c>
      <c r="V81" s="245">
        <v>-5.4207</v>
      </c>
      <c r="W81" s="245">
        <v>-3.2835</v>
      </c>
      <c r="X81" s="245">
        <v>-3.0841</v>
      </c>
      <c r="Y81" s="245">
        <v>-1.2505</v>
      </c>
    </row>
    <row r="82" ht="15.75" customHeight="1">
      <c r="B82" s="247" t="s">
        <v>370</v>
      </c>
      <c r="C82" s="248">
        <v>88.02614285714286</v>
      </c>
      <c r="D82" s="248">
        <v>1.49265</v>
      </c>
      <c r="E82" s="248">
        <v>2.9331</v>
      </c>
      <c r="F82" s="248">
        <v>3.4352</v>
      </c>
      <c r="G82" s="248">
        <v>4.211025</v>
      </c>
      <c r="H82" s="248">
        <v>5.594</v>
      </c>
      <c r="I82" s="248">
        <v>2.3316</v>
      </c>
      <c r="J82" s="248">
        <v>0.0</v>
      </c>
      <c r="K82" s="248">
        <v>4.0E-4</v>
      </c>
      <c r="L82" s="248">
        <v>0.0011</v>
      </c>
      <c r="M82" s="248">
        <v>358.7411</v>
      </c>
      <c r="O82" s="245">
        <v>-158.44705714285715</v>
      </c>
      <c r="P82" s="245">
        <v>-1.49265</v>
      </c>
      <c r="Q82" s="245">
        <v>0.0</v>
      </c>
      <c r="R82" s="245">
        <v>1.7176</v>
      </c>
      <c r="S82" s="245">
        <v>-1.4036749999999998</v>
      </c>
      <c r="T82" s="245">
        <v>0.0</v>
      </c>
      <c r="U82" s="245">
        <v>0.7771999999999999</v>
      </c>
      <c r="V82" s="245">
        <v>0.0</v>
      </c>
      <c r="W82" s="245">
        <v>0.0</v>
      </c>
      <c r="X82" s="245">
        <v>0.0</v>
      </c>
      <c r="Y82" s="245">
        <v>155.6801</v>
      </c>
    </row>
    <row r="83" ht="15.75" customHeight="1">
      <c r="B83" s="243" t="s">
        <v>371</v>
      </c>
      <c r="C83" s="244">
        <v>42.2487</v>
      </c>
      <c r="D83" s="244">
        <v>0.267</v>
      </c>
      <c r="E83" s="244">
        <v>0.6945</v>
      </c>
      <c r="F83" s="244">
        <v>0.0</v>
      </c>
      <c r="G83" s="244">
        <v>1.8892</v>
      </c>
      <c r="H83" s="244">
        <v>2.0708</v>
      </c>
      <c r="I83" s="244">
        <v>0.6043</v>
      </c>
      <c r="J83" s="244">
        <v>0.0361</v>
      </c>
      <c r="K83" s="244">
        <v>10.5586</v>
      </c>
      <c r="L83" s="244">
        <v>16.4526</v>
      </c>
      <c r="M83" s="244">
        <v>66.5664</v>
      </c>
      <c r="O83" s="245">
        <v>0.0</v>
      </c>
      <c r="P83" s="245">
        <v>0.0</v>
      </c>
      <c r="Q83" s="245">
        <v>0.0</v>
      </c>
      <c r="R83" s="245">
        <v>0.0</v>
      </c>
      <c r="S83" s="245">
        <v>0.0</v>
      </c>
      <c r="T83" s="245">
        <v>0.0</v>
      </c>
      <c r="U83" s="245">
        <v>0.0</v>
      </c>
      <c r="V83" s="245">
        <v>0.0</v>
      </c>
      <c r="W83" s="245">
        <v>0.0</v>
      </c>
      <c r="X83" s="245">
        <v>0.0</v>
      </c>
      <c r="Y83" s="245">
        <v>0.0</v>
      </c>
    </row>
    <row r="84" ht="15.75" customHeight="1">
      <c r="B84" s="247" t="s">
        <v>27</v>
      </c>
      <c r="C84" s="248">
        <v>8.35815483353031</v>
      </c>
      <c r="D84" s="248">
        <v>0.07294533054384279</v>
      </c>
      <c r="E84" s="248">
        <v>0.11237523894591998</v>
      </c>
      <c r="F84" s="248">
        <v>0.026418038629391714</v>
      </c>
      <c r="G84" s="248">
        <v>0.0011828972520623155</v>
      </c>
      <c r="H84" s="248">
        <v>5.914486260311577E-4</v>
      </c>
      <c r="I84" s="248">
        <v>1.9714954201038593E-4</v>
      </c>
      <c r="J84" s="248">
        <v>0.0</v>
      </c>
      <c r="K84" s="248">
        <v>0.0</v>
      </c>
      <c r="L84" s="248">
        <v>0.0</v>
      </c>
      <c r="M84" s="248">
        <v>4.370805346370256</v>
      </c>
      <c r="O84" s="245">
        <v>4.118654833530311</v>
      </c>
      <c r="P84" s="245">
        <v>0.035945330543842795</v>
      </c>
      <c r="Q84" s="245">
        <v>0.05537523894591998</v>
      </c>
      <c r="R84" s="245">
        <v>0.013018038629391713</v>
      </c>
      <c r="S84" s="245">
        <v>5.828972520623155E-4</v>
      </c>
      <c r="T84" s="245">
        <v>2.9144862603115777E-4</v>
      </c>
      <c r="U84" s="245">
        <v>9.714954201038593E-5</v>
      </c>
      <c r="V84" s="245">
        <v>0.0</v>
      </c>
      <c r="W84" s="245">
        <v>0.0</v>
      </c>
      <c r="X84" s="245">
        <v>0.0</v>
      </c>
      <c r="Y84" s="245">
        <v>2.153805346370256</v>
      </c>
    </row>
    <row r="85" ht="15.75" customHeight="1">
      <c r="B85" s="243" t="s">
        <v>35</v>
      </c>
      <c r="C85" s="244">
        <v>30.3976</v>
      </c>
      <c r="D85" s="244">
        <v>0.5016</v>
      </c>
      <c r="E85" s="244">
        <v>0.2218</v>
      </c>
      <c r="F85" s="244">
        <v>0.0799</v>
      </c>
      <c r="G85" s="244">
        <v>0.0</v>
      </c>
      <c r="H85" s="244">
        <v>0.0</v>
      </c>
      <c r="I85" s="244">
        <v>0.0</v>
      </c>
      <c r="J85" s="244">
        <v>0.0</v>
      </c>
      <c r="K85" s="244">
        <v>2.0E-4</v>
      </c>
      <c r="L85" s="244">
        <v>4.0E-4</v>
      </c>
      <c r="M85" s="244">
        <v>0.0</v>
      </c>
      <c r="O85" s="245">
        <v>0.0</v>
      </c>
      <c r="P85" s="245">
        <v>0.0</v>
      </c>
      <c r="Q85" s="245">
        <v>0.0</v>
      </c>
      <c r="R85" s="245">
        <v>0.0</v>
      </c>
      <c r="S85" s="245">
        <v>0.0</v>
      </c>
      <c r="T85" s="245">
        <v>0.0</v>
      </c>
      <c r="U85" s="245">
        <v>0.0</v>
      </c>
      <c r="V85" s="245">
        <v>0.0</v>
      </c>
      <c r="W85" s="245">
        <v>0.0</v>
      </c>
      <c r="X85" s="245">
        <v>0.0</v>
      </c>
      <c r="Y85" s="245">
        <v>0.0</v>
      </c>
    </row>
    <row r="86" ht="15.75" customHeight="1">
      <c r="B86" s="243" t="s">
        <v>37</v>
      </c>
      <c r="C86" s="244">
        <v>45.8755</v>
      </c>
      <c r="D86" s="244">
        <v>0.2957</v>
      </c>
      <c r="E86" s="244">
        <v>0.4342</v>
      </c>
      <c r="F86" s="244">
        <v>0.816</v>
      </c>
      <c r="G86" s="244">
        <v>0.0475</v>
      </c>
      <c r="H86" s="244">
        <v>0.095</v>
      </c>
      <c r="I86" s="244">
        <v>0.3383</v>
      </c>
      <c r="J86" s="244">
        <v>0.0</v>
      </c>
      <c r="K86" s="244">
        <v>0.0</v>
      </c>
      <c r="L86" s="244">
        <v>0.0</v>
      </c>
      <c r="M86" s="244">
        <v>6.0E-4</v>
      </c>
      <c r="O86" s="245">
        <v>0.0</v>
      </c>
      <c r="P86" s="245">
        <v>0.0</v>
      </c>
      <c r="Q86" s="245">
        <v>0.0</v>
      </c>
      <c r="R86" s="245">
        <v>0.0</v>
      </c>
      <c r="S86" s="245">
        <v>0.0</v>
      </c>
      <c r="T86" s="245">
        <v>0.0</v>
      </c>
      <c r="U86" s="245">
        <v>0.0</v>
      </c>
      <c r="V86" s="245">
        <v>0.0</v>
      </c>
      <c r="W86" s="245">
        <v>0.0</v>
      </c>
      <c r="X86" s="245">
        <v>0.0</v>
      </c>
      <c r="Y86" s="245">
        <v>0.0</v>
      </c>
    </row>
    <row r="87" ht="15.75" customHeight="1">
      <c r="B87" s="247" t="s">
        <v>41</v>
      </c>
      <c r="C87" s="248">
        <v>0.0</v>
      </c>
      <c r="D87" s="248">
        <v>0.0</v>
      </c>
      <c r="E87" s="248">
        <v>0.0</v>
      </c>
      <c r="F87" s="248">
        <v>0.0</v>
      </c>
      <c r="G87" s="248">
        <v>0.0</v>
      </c>
      <c r="H87" s="248">
        <v>0.0</v>
      </c>
      <c r="I87" s="248">
        <v>0.0</v>
      </c>
      <c r="J87" s="248">
        <v>3.947221935882898E-4</v>
      </c>
      <c r="K87" s="248">
        <v>3.947221935882898E-4</v>
      </c>
      <c r="L87" s="248">
        <v>0.0</v>
      </c>
      <c r="M87" s="248">
        <v>0.0</v>
      </c>
      <c r="O87" s="245">
        <v>0.0</v>
      </c>
      <c r="P87" s="245">
        <v>0.0</v>
      </c>
      <c r="Q87" s="245">
        <v>0.0</v>
      </c>
      <c r="R87" s="245">
        <v>0.0</v>
      </c>
      <c r="S87" s="245">
        <v>0.0</v>
      </c>
      <c r="T87" s="245">
        <v>0.0</v>
      </c>
      <c r="U87" s="245">
        <v>0.0</v>
      </c>
      <c r="V87" s="245">
        <v>-5.277806411710232E-6</v>
      </c>
      <c r="W87" s="245">
        <v>-5.277806411710232E-6</v>
      </c>
      <c r="X87" s="245">
        <v>0.0</v>
      </c>
      <c r="Y87" s="245">
        <v>0.0</v>
      </c>
    </row>
    <row r="88" ht="15.75" customHeight="1">
      <c r="B88" s="243" t="s">
        <v>372</v>
      </c>
      <c r="C88" s="244">
        <v>0.0</v>
      </c>
      <c r="D88" s="244">
        <v>0.0</v>
      </c>
      <c r="E88" s="244">
        <v>0.0</v>
      </c>
      <c r="F88" s="244">
        <v>1.0E-4</v>
      </c>
      <c r="G88" s="244">
        <v>0.0</v>
      </c>
      <c r="H88" s="244">
        <v>1.0E-4</v>
      </c>
      <c r="I88" s="244">
        <v>2.0E-4</v>
      </c>
      <c r="J88" s="244">
        <v>0.0</v>
      </c>
      <c r="K88" s="244">
        <v>0.0</v>
      </c>
      <c r="L88" s="244">
        <v>0.001</v>
      </c>
      <c r="M88" s="244">
        <v>8.0E-4</v>
      </c>
      <c r="O88" s="245">
        <v>0.0</v>
      </c>
      <c r="P88" s="245">
        <v>0.0</v>
      </c>
      <c r="Q88" s="245">
        <v>0.0</v>
      </c>
      <c r="R88" s="245">
        <v>0.0</v>
      </c>
      <c r="S88" s="245">
        <v>0.0</v>
      </c>
      <c r="T88" s="245">
        <v>0.0</v>
      </c>
      <c r="U88" s="245">
        <v>0.0</v>
      </c>
      <c r="V88" s="245">
        <v>0.0</v>
      </c>
      <c r="W88" s="245">
        <v>0.0</v>
      </c>
      <c r="X88" s="245">
        <v>0.0</v>
      </c>
      <c r="Y88" s="245">
        <v>0.0</v>
      </c>
    </row>
    <row r="89" ht="15.75" customHeight="1">
      <c r="B89" s="247" t="s">
        <v>49</v>
      </c>
      <c r="C89" s="248">
        <v>235.0478885120218</v>
      </c>
      <c r="D89" s="248">
        <v>13.00068717643842</v>
      </c>
      <c r="E89" s="248">
        <v>4.107174593973506</v>
      </c>
      <c r="F89" s="248">
        <v>1.876766591393345</v>
      </c>
      <c r="G89" s="248">
        <v>13.010844704292786</v>
      </c>
      <c r="H89" s="248">
        <v>12.571590321866802</v>
      </c>
      <c r="I89" s="248">
        <v>5.244434094111143</v>
      </c>
      <c r="J89" s="248">
        <v>0.0</v>
      </c>
      <c r="K89" s="248">
        <v>0.0</v>
      </c>
      <c r="L89" s="248">
        <v>25.923259708652516</v>
      </c>
      <c r="M89" s="248">
        <v>192.6163928205617</v>
      </c>
      <c r="O89" s="245">
        <v>235.04738851202183</v>
      </c>
      <c r="P89" s="245">
        <v>13.00068717643842</v>
      </c>
      <c r="Q89" s="245">
        <v>4.107174593973506</v>
      </c>
      <c r="R89" s="245">
        <v>1.876766591393345</v>
      </c>
      <c r="S89" s="245">
        <v>13.010844704292786</v>
      </c>
      <c r="T89" s="245">
        <v>12.571590321866802</v>
      </c>
      <c r="U89" s="245">
        <v>5.244434094111143</v>
      </c>
      <c r="V89" s="245">
        <v>-8.0E-4</v>
      </c>
      <c r="W89" s="245">
        <v>0.0</v>
      </c>
      <c r="X89" s="245">
        <v>25.923259708652516</v>
      </c>
      <c r="Y89" s="245">
        <v>192.61589282056173</v>
      </c>
    </row>
    <row r="90" ht="15.75" customHeight="1">
      <c r="B90" s="243" t="s">
        <v>373</v>
      </c>
      <c r="C90" s="244">
        <v>0.0</v>
      </c>
      <c r="D90" s="244">
        <v>0.0</v>
      </c>
      <c r="E90" s="244">
        <v>0.0</v>
      </c>
      <c r="F90" s="244">
        <v>0.0</v>
      </c>
      <c r="G90" s="244">
        <v>0.0</v>
      </c>
      <c r="H90" s="244">
        <v>0.0</v>
      </c>
      <c r="I90" s="244">
        <v>0.0</v>
      </c>
      <c r="J90" s="244">
        <v>0.0</v>
      </c>
      <c r="K90" s="244">
        <v>0.0</v>
      </c>
      <c r="L90" s="244">
        <v>0.0</v>
      </c>
      <c r="M90" s="244">
        <v>6.0E-4</v>
      </c>
      <c r="O90" s="245">
        <v>0.0</v>
      </c>
      <c r="P90" s="245">
        <v>0.0</v>
      </c>
      <c r="Q90" s="245">
        <v>0.0</v>
      </c>
      <c r="R90" s="245">
        <v>0.0</v>
      </c>
      <c r="S90" s="245">
        <v>0.0</v>
      </c>
      <c r="T90" s="245">
        <v>0.0</v>
      </c>
      <c r="U90" s="245">
        <v>0.0</v>
      </c>
      <c r="V90" s="245">
        <v>0.0</v>
      </c>
      <c r="W90" s="245">
        <v>0.0</v>
      </c>
      <c r="X90" s="245">
        <v>0.0</v>
      </c>
      <c r="Y90" s="245">
        <v>0.0</v>
      </c>
    </row>
    <row r="91" ht="15.75" customHeight="1"/>
    <row r="92" ht="15.75" customHeight="1"/>
    <row r="93" ht="15.75" customHeight="1">
      <c r="B93" s="239" t="s">
        <v>54</v>
      </c>
      <c r="C93" s="238" t="s">
        <v>378</v>
      </c>
      <c r="O93" s="238" t="s">
        <v>379</v>
      </c>
    </row>
    <row r="94" ht="28.5" customHeight="1">
      <c r="A94" s="240"/>
      <c r="B94" s="241" t="s">
        <v>356</v>
      </c>
      <c r="C94" s="242" t="s">
        <v>357</v>
      </c>
      <c r="D94" s="242" t="s">
        <v>9</v>
      </c>
      <c r="E94" s="242" t="s">
        <v>10</v>
      </c>
      <c r="F94" s="242" t="s">
        <v>11</v>
      </c>
      <c r="G94" s="242" t="s">
        <v>6</v>
      </c>
      <c r="H94" s="242" t="s">
        <v>7</v>
      </c>
      <c r="I94" s="242" t="s">
        <v>8</v>
      </c>
      <c r="J94" s="242" t="s">
        <v>358</v>
      </c>
      <c r="K94" s="242" t="s">
        <v>359</v>
      </c>
      <c r="L94" s="242" t="s">
        <v>360</v>
      </c>
      <c r="M94" s="242" t="s">
        <v>12</v>
      </c>
      <c r="N94" s="240"/>
      <c r="O94" s="242" t="s">
        <v>357</v>
      </c>
      <c r="P94" s="242" t="s">
        <v>9</v>
      </c>
      <c r="Q94" s="242" t="s">
        <v>10</v>
      </c>
      <c r="R94" s="242" t="s">
        <v>11</v>
      </c>
      <c r="S94" s="242" t="s">
        <v>6</v>
      </c>
      <c r="T94" s="242" t="s">
        <v>7</v>
      </c>
      <c r="U94" s="242" t="s">
        <v>8</v>
      </c>
      <c r="V94" s="242" t="s">
        <v>358</v>
      </c>
      <c r="W94" s="242" t="s">
        <v>359</v>
      </c>
      <c r="X94" s="242" t="s">
        <v>360</v>
      </c>
      <c r="Y94" s="242" t="s">
        <v>12</v>
      </c>
      <c r="Z94" s="240"/>
      <c r="AA94" s="240"/>
      <c r="AG94" s="240"/>
    </row>
    <row r="95" ht="15.75" customHeight="1">
      <c r="B95" s="243" t="s">
        <v>363</v>
      </c>
      <c r="C95" s="244">
        <f>LET(payer, $C$3, segment, $B$93, ECOGAINS_SIM(payer, segment))</f>
        <v>29.9212</v>
      </c>
      <c r="D95" s="244">
        <v>0.7006</v>
      </c>
      <c r="E95" s="244">
        <v>0.6841</v>
      </c>
      <c r="F95" s="244">
        <v>0.3333</v>
      </c>
      <c r="G95" s="244">
        <v>1.0E-4</v>
      </c>
      <c r="H95" s="244">
        <v>0.0</v>
      </c>
      <c r="I95" s="244">
        <v>0.0</v>
      </c>
      <c r="J95" s="244">
        <v>0.0</v>
      </c>
      <c r="K95" s="244">
        <v>0.0</v>
      </c>
      <c r="L95" s="244">
        <v>0.0</v>
      </c>
      <c r="M95" s="244">
        <v>10.1314</v>
      </c>
      <c r="O95" s="245">
        <f>LET(payer, $C$3, segment, $B$93, ECOGAINS_DIFF(payer, segment))</f>
        <v>0</v>
      </c>
      <c r="P95" s="245">
        <v>0.0</v>
      </c>
      <c r="Q95" s="245">
        <v>0.0</v>
      </c>
      <c r="R95" s="245">
        <v>0.0</v>
      </c>
      <c r="S95" s="245">
        <v>0.0</v>
      </c>
      <c r="T95" s="245">
        <v>0.0</v>
      </c>
      <c r="U95" s="245">
        <v>0.0</v>
      </c>
      <c r="V95" s="245">
        <v>0.0</v>
      </c>
      <c r="W95" s="245">
        <v>0.0</v>
      </c>
      <c r="X95" s="245">
        <v>0.0</v>
      </c>
      <c r="Y95" s="245">
        <v>0.0</v>
      </c>
    </row>
    <row r="96" ht="15.75" customHeight="1">
      <c r="B96" s="247" t="s">
        <v>284</v>
      </c>
      <c r="C96" s="248">
        <v>41.34579961921732</v>
      </c>
      <c r="D96" s="248">
        <v>0.14476267215434083</v>
      </c>
      <c r="E96" s="248">
        <v>0.3104579258222885</v>
      </c>
      <c r="F96" s="248">
        <v>0.1450148719316132</v>
      </c>
      <c r="G96" s="248">
        <v>8.40665924241236E-5</v>
      </c>
      <c r="H96" s="248">
        <v>0.0</v>
      </c>
      <c r="I96" s="248">
        <v>8.40665924241236E-5</v>
      </c>
      <c r="J96" s="248">
        <v>0.0</v>
      </c>
      <c r="K96" s="248">
        <v>0.0</v>
      </c>
      <c r="L96" s="248">
        <v>0.0</v>
      </c>
      <c r="M96" s="248">
        <v>0.0</v>
      </c>
      <c r="O96" s="245">
        <v>-7.836400380782685</v>
      </c>
      <c r="P96" s="245">
        <v>-0.027437327845659165</v>
      </c>
      <c r="Q96" s="245">
        <v>-0.058842074177711534</v>
      </c>
      <c r="R96" s="245">
        <v>-0.027485128068386794</v>
      </c>
      <c r="S96" s="245">
        <v>-1.5933407575876408E-5</v>
      </c>
      <c r="T96" s="245">
        <v>0.0</v>
      </c>
      <c r="U96" s="245">
        <v>-1.5933407575876408E-5</v>
      </c>
      <c r="V96" s="245">
        <v>0.0</v>
      </c>
      <c r="W96" s="245">
        <v>0.0</v>
      </c>
      <c r="X96" s="245">
        <v>0.0</v>
      </c>
      <c r="Y96" s="245">
        <v>0.0</v>
      </c>
    </row>
    <row r="97" ht="15.75" customHeight="1">
      <c r="B97" s="247" t="s">
        <v>163</v>
      </c>
      <c r="C97" s="248">
        <v>6.682427829332963</v>
      </c>
      <c r="D97" s="248">
        <v>0.049618891022137214</v>
      </c>
      <c r="E97" s="248">
        <v>0.025177538174437575</v>
      </c>
      <c r="F97" s="248">
        <v>0.026944382958608636</v>
      </c>
      <c r="G97" s="248">
        <v>0.11513938510181394</v>
      </c>
      <c r="H97" s="248">
        <v>0.15967859736945936</v>
      </c>
      <c r="I97" s="248">
        <v>0.026134579099196895</v>
      </c>
      <c r="J97" s="248">
        <v>3.9780510315611375</v>
      </c>
      <c r="K97" s="248">
        <v>3.1874616091772623</v>
      </c>
      <c r="L97" s="248">
        <v>3.31276035178806</v>
      </c>
      <c r="M97" s="248">
        <v>12.601357856306008</v>
      </c>
      <c r="O97" s="245">
        <v>-2.394672170667037</v>
      </c>
      <c r="P97" s="245">
        <v>-0.017781108977862788</v>
      </c>
      <c r="Q97" s="245">
        <v>-0.009022461825562426</v>
      </c>
      <c r="R97" s="245">
        <v>-0.009655617041391364</v>
      </c>
      <c r="S97" s="245">
        <v>-0.04126061489818607</v>
      </c>
      <c r="T97" s="245">
        <v>-0.05722140263054065</v>
      </c>
      <c r="U97" s="245">
        <v>-0.009365420900803102</v>
      </c>
      <c r="V97" s="245">
        <v>-1.4255489684388625</v>
      </c>
      <c r="W97" s="245">
        <v>-1.1422383908227376</v>
      </c>
      <c r="X97" s="245">
        <v>-1.1871396482119403</v>
      </c>
      <c r="Y97" s="245">
        <v>-4.515742143693993</v>
      </c>
    </row>
    <row r="98" ht="15.75" customHeight="1">
      <c r="B98" s="247" t="s">
        <v>283</v>
      </c>
      <c r="C98" s="248">
        <v>35.254764</v>
      </c>
      <c r="D98" s="248">
        <v>0.068727456</v>
      </c>
      <c r="E98" s="248">
        <v>0.21714379200000003</v>
      </c>
      <c r="F98" s="248">
        <v>0.13046112</v>
      </c>
      <c r="G98" s="248">
        <v>0.0</v>
      </c>
      <c r="H98" s="248">
        <v>6.724800000000002E-5</v>
      </c>
      <c r="I98" s="248">
        <v>0.0</v>
      </c>
      <c r="J98" s="248">
        <v>0.0</v>
      </c>
      <c r="K98" s="248">
        <v>0.0</v>
      </c>
      <c r="L98" s="248">
        <v>0.0</v>
      </c>
      <c r="M98" s="248">
        <v>0.0</v>
      </c>
      <c r="O98" s="245">
        <v>-17.170235999999996</v>
      </c>
      <c r="P98" s="245">
        <v>-0.03347254399999999</v>
      </c>
      <c r="Q98" s="245">
        <v>-0.10575620799999999</v>
      </c>
      <c r="R98" s="245">
        <v>-0.06353887999999999</v>
      </c>
      <c r="S98" s="245">
        <v>0.0</v>
      </c>
      <c r="T98" s="245">
        <v>-3.275199999999999E-5</v>
      </c>
      <c r="U98" s="245">
        <v>0.0</v>
      </c>
      <c r="V98" s="245">
        <v>0.0</v>
      </c>
      <c r="W98" s="245">
        <v>0.0</v>
      </c>
      <c r="X98" s="245">
        <v>0.0</v>
      </c>
      <c r="Y98" s="245">
        <v>0.0</v>
      </c>
    </row>
    <row r="99" ht="15.75" customHeight="1">
      <c r="B99" s="243" t="s">
        <v>365</v>
      </c>
      <c r="C99" s="244">
        <v>182.9688</v>
      </c>
      <c r="D99" s="244">
        <v>1.392</v>
      </c>
      <c r="E99" s="244">
        <v>2.0736</v>
      </c>
      <c r="F99" s="244">
        <v>0.8811</v>
      </c>
      <c r="G99" s="244">
        <v>0.6886</v>
      </c>
      <c r="H99" s="244">
        <v>0.7588</v>
      </c>
      <c r="I99" s="244">
        <v>0.6735</v>
      </c>
      <c r="J99" s="244">
        <v>0.0</v>
      </c>
      <c r="K99" s="244">
        <v>0.0</v>
      </c>
      <c r="L99" s="244">
        <v>0.0</v>
      </c>
      <c r="M99" s="244">
        <v>114.8673</v>
      </c>
      <c r="O99" s="245">
        <v>0.0</v>
      </c>
      <c r="P99" s="245">
        <v>0.0</v>
      </c>
      <c r="Q99" s="245">
        <v>0.0</v>
      </c>
      <c r="R99" s="245">
        <v>0.0</v>
      </c>
      <c r="S99" s="245">
        <v>0.0</v>
      </c>
      <c r="T99" s="245">
        <v>0.0</v>
      </c>
      <c r="U99" s="245">
        <v>0.0</v>
      </c>
      <c r="V99" s="245">
        <v>0.0</v>
      </c>
      <c r="W99" s="245">
        <v>0.0</v>
      </c>
      <c r="X99" s="245">
        <v>0.0</v>
      </c>
      <c r="Y99" s="245">
        <v>0.0</v>
      </c>
    </row>
    <row r="100" ht="15.75" customHeight="1">
      <c r="B100" s="247" t="s">
        <v>366</v>
      </c>
      <c r="C100" s="248">
        <v>89.78899634966378</v>
      </c>
      <c r="D100" s="248">
        <v>1.0201</v>
      </c>
      <c r="E100" s="248">
        <v>0.7295</v>
      </c>
      <c r="F100" s="248">
        <v>0.1055</v>
      </c>
      <c r="G100" s="248">
        <v>0.0</v>
      </c>
      <c r="H100" s="248">
        <v>0.0</v>
      </c>
      <c r="I100" s="248">
        <v>0.0</v>
      </c>
      <c r="J100" s="248">
        <v>5.7518</v>
      </c>
      <c r="K100" s="248">
        <v>8.1798</v>
      </c>
      <c r="L100" s="248">
        <v>10.0455</v>
      </c>
      <c r="M100" s="248">
        <v>95.5243</v>
      </c>
      <c r="O100" s="245">
        <v>-25.46420365033623</v>
      </c>
      <c r="P100" s="245">
        <v>0.0</v>
      </c>
      <c r="Q100" s="245">
        <v>0.0</v>
      </c>
      <c r="R100" s="245">
        <v>0.0</v>
      </c>
      <c r="S100" s="245">
        <v>0.0</v>
      </c>
      <c r="T100" s="245">
        <v>0.0</v>
      </c>
      <c r="U100" s="245">
        <v>0.0</v>
      </c>
      <c r="V100" s="245">
        <v>0.0</v>
      </c>
      <c r="W100" s="245">
        <v>0.0</v>
      </c>
      <c r="X100" s="245">
        <v>0.0</v>
      </c>
      <c r="Y100" s="245">
        <v>0.0</v>
      </c>
    </row>
    <row r="101" ht="15.75" customHeight="1">
      <c r="B101" s="243" t="s">
        <v>367</v>
      </c>
      <c r="C101" s="244">
        <v>72.0872</v>
      </c>
      <c r="D101" s="244">
        <v>0.9119</v>
      </c>
      <c r="E101" s="244">
        <v>5.0E-4</v>
      </c>
      <c r="F101" s="244">
        <v>3.0E-4</v>
      </c>
      <c r="G101" s="244">
        <v>1.2297</v>
      </c>
      <c r="H101" s="244">
        <v>0.8903</v>
      </c>
      <c r="I101" s="244">
        <v>1.0E-4</v>
      </c>
      <c r="J101" s="244">
        <v>0.0</v>
      </c>
      <c r="K101" s="244">
        <v>0.0</v>
      </c>
      <c r="L101" s="244">
        <v>0.0028</v>
      </c>
      <c r="M101" s="244">
        <v>29.193</v>
      </c>
      <c r="O101" s="245">
        <v>0.0</v>
      </c>
      <c r="P101" s="245">
        <v>0.0</v>
      </c>
      <c r="Q101" s="245">
        <v>0.0</v>
      </c>
      <c r="R101" s="245">
        <v>0.0</v>
      </c>
      <c r="S101" s="245">
        <v>0.0</v>
      </c>
      <c r="T101" s="245">
        <v>0.0</v>
      </c>
      <c r="U101" s="245">
        <v>0.0</v>
      </c>
      <c r="V101" s="245">
        <v>0.0</v>
      </c>
      <c r="W101" s="245">
        <v>0.0</v>
      </c>
      <c r="X101" s="245">
        <v>0.0</v>
      </c>
      <c r="Y101" s="245">
        <v>0.0</v>
      </c>
    </row>
    <row r="102" ht="15.75" customHeight="1">
      <c r="B102" s="243" t="s">
        <v>44</v>
      </c>
      <c r="C102" s="244">
        <v>0.0</v>
      </c>
      <c r="D102" s="244">
        <v>1.1075</v>
      </c>
      <c r="E102" s="244">
        <v>0.0</v>
      </c>
      <c r="F102" s="244">
        <v>0.0</v>
      </c>
      <c r="G102" s="244">
        <v>1.0818</v>
      </c>
      <c r="H102" s="244">
        <v>1.0813</v>
      </c>
      <c r="I102" s="244">
        <v>1.1251</v>
      </c>
      <c r="J102" s="244">
        <v>0.0</v>
      </c>
      <c r="K102" s="244">
        <v>0.0</v>
      </c>
      <c r="L102" s="244">
        <v>0.0</v>
      </c>
      <c r="M102" s="244">
        <v>142.7743</v>
      </c>
      <c r="O102" s="245">
        <v>0.0</v>
      </c>
      <c r="P102" s="245">
        <v>0.0</v>
      </c>
      <c r="Q102" s="245">
        <v>0.0</v>
      </c>
      <c r="R102" s="245">
        <v>0.0</v>
      </c>
      <c r="S102" s="245">
        <v>0.0</v>
      </c>
      <c r="T102" s="245">
        <v>0.0</v>
      </c>
      <c r="U102" s="245">
        <v>0.0</v>
      </c>
      <c r="V102" s="245">
        <v>0.0</v>
      </c>
      <c r="W102" s="245">
        <v>0.0</v>
      </c>
      <c r="X102" s="245">
        <v>0.0</v>
      </c>
      <c r="Y102" s="245">
        <v>0.0</v>
      </c>
    </row>
    <row r="103" ht="15.75" customHeight="1">
      <c r="B103" s="247" t="s">
        <v>39</v>
      </c>
      <c r="C103" s="248">
        <v>47.27044051059064</v>
      </c>
      <c r="D103" s="248">
        <v>0.8111958357145318</v>
      </c>
      <c r="E103" s="248">
        <v>0.9291511919671641</v>
      </c>
      <c r="F103" s="248">
        <v>0.6972846631048469</v>
      </c>
      <c r="G103" s="248">
        <v>1.102601734875797</v>
      </c>
      <c r="H103" s="248">
        <v>1.0094731726534805</v>
      </c>
      <c r="I103" s="248">
        <v>0.9528546016522169</v>
      </c>
      <c r="J103" s="248">
        <v>0.0</v>
      </c>
      <c r="K103" s="248">
        <v>7.914355050813527</v>
      </c>
      <c r="L103" s="248">
        <v>8.870018113328904</v>
      </c>
      <c r="M103" s="248">
        <v>92.49564748219517</v>
      </c>
      <c r="O103" s="245">
        <v>5.191840510590637</v>
      </c>
      <c r="P103" s="245">
        <v>0.08909583571453183</v>
      </c>
      <c r="Q103" s="245">
        <v>0.10205119196716417</v>
      </c>
      <c r="R103" s="245">
        <v>0.0765846631048469</v>
      </c>
      <c r="S103" s="245">
        <v>0.121101734875797</v>
      </c>
      <c r="T103" s="245">
        <v>0.11087317265348051</v>
      </c>
      <c r="U103" s="245">
        <v>0.10465460165221696</v>
      </c>
      <c r="V103" s="245">
        <v>0.0</v>
      </c>
      <c r="W103" s="245">
        <v>0.8692550508135275</v>
      </c>
      <c r="X103" s="245">
        <v>0.9742181133289032</v>
      </c>
      <c r="Y103" s="245">
        <v>10.159047482195163</v>
      </c>
    </row>
    <row r="104" ht="15.75" customHeight="1">
      <c r="B104" s="247" t="s">
        <v>368</v>
      </c>
      <c r="C104" s="248">
        <v>26.519558190335196</v>
      </c>
      <c r="D104" s="248">
        <v>0.24399583432673602</v>
      </c>
      <c r="E104" s="248">
        <v>0.0</v>
      </c>
      <c r="F104" s="248">
        <v>0.1876312935428391</v>
      </c>
      <c r="G104" s="248">
        <v>0.37952124127823933</v>
      </c>
      <c r="H104" s="248">
        <v>0.437973357646725</v>
      </c>
      <c r="I104" s="248">
        <v>0.18186958492937408</v>
      </c>
      <c r="J104" s="248">
        <v>11.853671684411982</v>
      </c>
      <c r="K104" s="248">
        <v>10.496914560476046</v>
      </c>
      <c r="L104" s="248">
        <v>10.60588600599158</v>
      </c>
      <c r="M104" s="248">
        <v>44.36306874809606</v>
      </c>
      <c r="O104" s="245">
        <v>-5.239241809664804</v>
      </c>
      <c r="P104" s="245">
        <v>-0.04820416567326399</v>
      </c>
      <c r="Q104" s="245">
        <v>0.0</v>
      </c>
      <c r="R104" s="245">
        <v>-0.0370687064571609</v>
      </c>
      <c r="S104" s="245">
        <v>-0.07497875872176069</v>
      </c>
      <c r="T104" s="245">
        <v>-0.08652664235327495</v>
      </c>
      <c r="U104" s="245">
        <v>-0.035930415070625915</v>
      </c>
      <c r="V104" s="245">
        <v>-2.3418283155880175</v>
      </c>
      <c r="W104" s="245">
        <v>-2.073785439523954</v>
      </c>
      <c r="X104" s="245">
        <v>-2.0953139940084196</v>
      </c>
      <c r="Y104" s="245">
        <v>-8.764431251903936</v>
      </c>
    </row>
    <row r="105" ht="15.75" customHeight="1">
      <c r="B105" s="247" t="s">
        <v>38</v>
      </c>
      <c r="C105" s="248">
        <v>13.682116308617832</v>
      </c>
      <c r="D105" s="248">
        <v>0.03101014686021153</v>
      </c>
      <c r="E105" s="248">
        <v>0.05645311774866855</v>
      </c>
      <c r="F105" s="248">
        <v>0.020950162209497237</v>
      </c>
      <c r="G105" s="248">
        <v>0.00517649695619279</v>
      </c>
      <c r="H105" s="248">
        <v>0.00615319449509709</v>
      </c>
      <c r="I105" s="248">
        <v>0.008546103465412626</v>
      </c>
      <c r="J105" s="248">
        <v>0.0</v>
      </c>
      <c r="K105" s="248">
        <v>0.0</v>
      </c>
      <c r="L105" s="248">
        <v>0.0</v>
      </c>
      <c r="M105" s="248">
        <v>7.83990230990787</v>
      </c>
      <c r="O105" s="245">
        <v>-14.334983691382167</v>
      </c>
      <c r="P105" s="245">
        <v>-0.03248985313978847</v>
      </c>
      <c r="Q105" s="245">
        <v>-0.05914688225133145</v>
      </c>
      <c r="R105" s="245">
        <v>-0.021949837790502764</v>
      </c>
      <c r="S105" s="245">
        <v>-0.00542350304380721</v>
      </c>
      <c r="T105" s="245">
        <v>-0.00644680550490291</v>
      </c>
      <c r="U105" s="245">
        <v>-0.008953896534587375</v>
      </c>
      <c r="V105" s="245">
        <v>0.0</v>
      </c>
      <c r="W105" s="245">
        <v>0.0</v>
      </c>
      <c r="X105" s="245">
        <v>0.0</v>
      </c>
      <c r="Y105" s="245">
        <v>-8.213997690092128</v>
      </c>
    </row>
    <row r="106" ht="15.75" customHeight="1">
      <c r="B106" s="247" t="s">
        <v>45</v>
      </c>
      <c r="C106" s="248">
        <v>75.61092235832797</v>
      </c>
      <c r="D106" s="248">
        <v>0.3127277238177398</v>
      </c>
      <c r="E106" s="248">
        <v>0.4178950309403184</v>
      </c>
      <c r="F106" s="248">
        <v>0.5204562736977492</v>
      </c>
      <c r="G106" s="248">
        <v>0.034467302893890675</v>
      </c>
      <c r="H106" s="248">
        <v>0.09096005300290173</v>
      </c>
      <c r="I106" s="248">
        <v>0.194530094869422</v>
      </c>
      <c r="J106" s="248">
        <v>0.0</v>
      </c>
      <c r="K106" s="248">
        <v>0.0</v>
      </c>
      <c r="L106" s="248">
        <v>0.0</v>
      </c>
      <c r="M106" s="248">
        <v>0.4683349863947926</v>
      </c>
      <c r="O106" s="245">
        <v>-14.330777641672029</v>
      </c>
      <c r="P106" s="245">
        <v>-0.05927227618226022</v>
      </c>
      <c r="Q106" s="245">
        <v>-0.07920496905968161</v>
      </c>
      <c r="R106" s="245">
        <v>-0.09864372630225082</v>
      </c>
      <c r="S106" s="245">
        <v>-0.006532697106109327</v>
      </c>
      <c r="T106" s="245">
        <v>-0.01723994699709827</v>
      </c>
      <c r="U106" s="245">
        <v>-0.036869905130578</v>
      </c>
      <c r="V106" s="245">
        <v>0.0</v>
      </c>
      <c r="W106" s="245">
        <v>0.0</v>
      </c>
      <c r="X106" s="245">
        <v>0.0</v>
      </c>
      <c r="Y106" s="245">
        <v>-0.08876501360520744</v>
      </c>
    </row>
    <row r="107" ht="15.75" customHeight="1">
      <c r="B107" s="243" t="s">
        <v>369</v>
      </c>
      <c r="C107" s="244">
        <v>116.2226</v>
      </c>
      <c r="D107" s="244">
        <v>0.4168</v>
      </c>
      <c r="E107" s="244">
        <v>0.7595</v>
      </c>
      <c r="F107" s="244">
        <v>0.5058</v>
      </c>
      <c r="G107" s="244">
        <v>1.2662</v>
      </c>
      <c r="H107" s="244">
        <v>1.2509</v>
      </c>
      <c r="I107" s="244">
        <v>1.312</v>
      </c>
      <c r="J107" s="244">
        <v>0.8495</v>
      </c>
      <c r="K107" s="244">
        <v>0.5626</v>
      </c>
      <c r="L107" s="244">
        <v>0.5179</v>
      </c>
      <c r="M107" s="244">
        <v>8.6962</v>
      </c>
      <c r="O107" s="245">
        <v>0.0</v>
      </c>
      <c r="P107" s="245">
        <v>0.0</v>
      </c>
      <c r="Q107" s="245">
        <v>0.0</v>
      </c>
      <c r="R107" s="245">
        <v>0.0</v>
      </c>
      <c r="S107" s="245">
        <v>0.0</v>
      </c>
      <c r="T107" s="245">
        <v>0.0</v>
      </c>
      <c r="U107" s="245">
        <v>0.0</v>
      </c>
      <c r="V107" s="245">
        <v>0.0</v>
      </c>
      <c r="W107" s="245">
        <v>0.0</v>
      </c>
      <c r="X107" s="245">
        <v>0.0</v>
      </c>
      <c r="Y107" s="245">
        <v>0.0</v>
      </c>
    </row>
    <row r="108" ht="15.75" customHeight="1">
      <c r="B108" s="247" t="s">
        <v>30</v>
      </c>
      <c r="C108" s="248">
        <v>6.773939220886986</v>
      </c>
      <c r="D108" s="248">
        <v>0.0</v>
      </c>
      <c r="E108" s="248">
        <v>0.05351160165198828</v>
      </c>
      <c r="F108" s="248">
        <v>0.0</v>
      </c>
      <c r="G108" s="248">
        <v>0.09939867444114424</v>
      </c>
      <c r="H108" s="248">
        <v>0.1376612183674679</v>
      </c>
      <c r="I108" s="248">
        <v>0.03896204198713395</v>
      </c>
      <c r="J108" s="248">
        <v>1.806593641654773</v>
      </c>
      <c r="K108" s="248">
        <v>1.6289211342089558</v>
      </c>
      <c r="L108" s="248">
        <v>1.8867561194236337</v>
      </c>
      <c r="M108" s="248">
        <v>18.105667906401756</v>
      </c>
      <c r="O108" s="245">
        <v>-2.910060779113013</v>
      </c>
      <c r="P108" s="245">
        <v>0.0</v>
      </c>
      <c r="Q108" s="245">
        <v>-0.022988398348011717</v>
      </c>
      <c r="R108" s="245">
        <v>0.0</v>
      </c>
      <c r="S108" s="245">
        <v>-0.042701325558855766</v>
      </c>
      <c r="T108" s="245">
        <v>-0.05913878163253211</v>
      </c>
      <c r="U108" s="245">
        <v>-0.016737958012866053</v>
      </c>
      <c r="V108" s="245">
        <v>-0.776106358345227</v>
      </c>
      <c r="W108" s="245">
        <v>-0.6997788657910442</v>
      </c>
      <c r="X108" s="245">
        <v>-0.8105438805763661</v>
      </c>
      <c r="Y108" s="245">
        <v>-7.778132093598245</v>
      </c>
    </row>
    <row r="109" ht="15.75" customHeight="1">
      <c r="B109" s="247" t="s">
        <v>282</v>
      </c>
      <c r="C109" s="248">
        <v>68.07388998124696</v>
      </c>
      <c r="D109" s="248">
        <v>0.13694447905889737</v>
      </c>
      <c r="E109" s="248">
        <v>0.4146164338357776</v>
      </c>
      <c r="F109" s="248">
        <v>0.252325877161007</v>
      </c>
      <c r="G109" s="248">
        <v>1.2609988863618543E-4</v>
      </c>
      <c r="H109" s="248">
        <v>0.0</v>
      </c>
      <c r="I109" s="248">
        <v>0.0</v>
      </c>
      <c r="J109" s="248">
        <v>0.0</v>
      </c>
      <c r="K109" s="248">
        <v>0.0</v>
      </c>
      <c r="L109" s="248">
        <v>0.0</v>
      </c>
      <c r="M109" s="248">
        <v>0.0</v>
      </c>
      <c r="O109" s="245">
        <v>14.089789981246966</v>
      </c>
      <c r="P109" s="245">
        <v>0.028344479058897365</v>
      </c>
      <c r="Q109" s="245">
        <v>0.08581643383577764</v>
      </c>
      <c r="R109" s="245">
        <v>0.05222587716100702</v>
      </c>
      <c r="S109" s="245">
        <v>2.6099888636185424E-5</v>
      </c>
      <c r="T109" s="245">
        <v>0.0</v>
      </c>
      <c r="U109" s="245">
        <v>0.0</v>
      </c>
      <c r="V109" s="245">
        <v>0.0</v>
      </c>
      <c r="W109" s="245">
        <v>0.0</v>
      </c>
      <c r="X109" s="245">
        <v>0.0</v>
      </c>
      <c r="Y109" s="245">
        <v>0.0</v>
      </c>
    </row>
    <row r="110" ht="15.75" customHeight="1">
      <c r="B110" s="247" t="s">
        <v>108</v>
      </c>
      <c r="C110" s="248">
        <v>0.0</v>
      </c>
      <c r="D110" s="248">
        <v>0.0</v>
      </c>
      <c r="E110" s="248">
        <v>0.0</v>
      </c>
      <c r="F110" s="248">
        <v>0.0</v>
      </c>
      <c r="G110" s="248">
        <v>0.0</v>
      </c>
      <c r="H110" s="248">
        <v>0.0</v>
      </c>
      <c r="I110" s="248">
        <v>0.0</v>
      </c>
      <c r="J110" s="248">
        <v>0.0</v>
      </c>
      <c r="K110" s="248">
        <v>0.0</v>
      </c>
      <c r="L110" s="248">
        <v>0.0</v>
      </c>
      <c r="M110" s="248">
        <v>0.0</v>
      </c>
      <c r="O110" s="245">
        <v>-53.9057</v>
      </c>
      <c r="P110" s="245">
        <v>-0.5585</v>
      </c>
      <c r="Q110" s="245">
        <v>-0.5791</v>
      </c>
      <c r="R110" s="245">
        <v>-0.6332</v>
      </c>
      <c r="S110" s="245">
        <v>-0.3459</v>
      </c>
      <c r="T110" s="245">
        <v>-0.2107</v>
      </c>
      <c r="U110" s="245">
        <v>-0.2968</v>
      </c>
      <c r="V110" s="245">
        <v>-7.0658</v>
      </c>
      <c r="W110" s="245">
        <v>-8.1894</v>
      </c>
      <c r="X110" s="245">
        <v>-11.4246</v>
      </c>
      <c r="Y110" s="245">
        <v>-3.3899</v>
      </c>
    </row>
    <row r="111" ht="15.75" customHeight="1">
      <c r="B111" s="247" t="s">
        <v>370</v>
      </c>
      <c r="C111" s="248">
        <v>188.37585714285714</v>
      </c>
      <c r="D111" s="248">
        <v>2.95905</v>
      </c>
      <c r="E111" s="248">
        <v>5.8572</v>
      </c>
      <c r="F111" s="248">
        <v>6.3022</v>
      </c>
      <c r="G111" s="248">
        <v>8.724525</v>
      </c>
      <c r="H111" s="248">
        <v>11.6482</v>
      </c>
      <c r="I111" s="248">
        <v>4.58115</v>
      </c>
      <c r="J111" s="248">
        <v>0.0</v>
      </c>
      <c r="K111" s="248">
        <v>0.0</v>
      </c>
      <c r="L111" s="248">
        <v>0.0</v>
      </c>
      <c r="M111" s="248">
        <v>760.3164466666666</v>
      </c>
      <c r="O111" s="245">
        <v>-339.07654285714284</v>
      </c>
      <c r="P111" s="245">
        <v>-2.95905</v>
      </c>
      <c r="Q111" s="245">
        <v>0.0</v>
      </c>
      <c r="R111" s="245">
        <v>3.1511</v>
      </c>
      <c r="S111" s="245">
        <v>-2.908175</v>
      </c>
      <c r="T111" s="245">
        <v>0.0</v>
      </c>
      <c r="U111" s="245">
        <v>1.52705</v>
      </c>
      <c r="V111" s="245">
        <v>0.0</v>
      </c>
      <c r="W111" s="245">
        <v>0.0</v>
      </c>
      <c r="X111" s="245">
        <v>0.0</v>
      </c>
      <c r="Y111" s="245">
        <v>329.9486466666666</v>
      </c>
    </row>
    <row r="112" ht="15.75" customHeight="1">
      <c r="B112" s="243" t="s">
        <v>371</v>
      </c>
      <c r="C112" s="244">
        <v>57.3242</v>
      </c>
      <c r="D112" s="244">
        <v>0.4221</v>
      </c>
      <c r="E112" s="244">
        <v>0.8835</v>
      </c>
      <c r="F112" s="244">
        <v>1.0E-4</v>
      </c>
      <c r="G112" s="244">
        <v>2.1252</v>
      </c>
      <c r="H112" s="244">
        <v>2.5008</v>
      </c>
      <c r="I112" s="244">
        <v>0.8741</v>
      </c>
      <c r="J112" s="244">
        <v>0.0508</v>
      </c>
      <c r="K112" s="244">
        <v>9.5662</v>
      </c>
      <c r="L112" s="244">
        <v>18.3922</v>
      </c>
      <c r="M112" s="244">
        <v>76.0485</v>
      </c>
      <c r="O112" s="245">
        <v>0.0</v>
      </c>
      <c r="P112" s="245">
        <v>0.0</v>
      </c>
      <c r="Q112" s="245">
        <v>0.0</v>
      </c>
      <c r="R112" s="245">
        <v>0.0</v>
      </c>
      <c r="S112" s="245">
        <v>0.0</v>
      </c>
      <c r="T112" s="245">
        <v>0.0</v>
      </c>
      <c r="U112" s="245">
        <v>0.0</v>
      </c>
      <c r="V112" s="245">
        <v>0.0</v>
      </c>
      <c r="W112" s="245">
        <v>0.0</v>
      </c>
      <c r="X112" s="245">
        <v>0.0</v>
      </c>
      <c r="Y112" s="245">
        <v>0.0</v>
      </c>
    </row>
    <row r="113" ht="15.75" customHeight="1">
      <c r="B113" s="247" t="s">
        <v>27</v>
      </c>
      <c r="C113" s="248">
        <v>20.491724325172168</v>
      </c>
      <c r="D113" s="248">
        <v>0.03764993532870153</v>
      </c>
      <c r="E113" s="248">
        <v>0.12589819644306544</v>
      </c>
      <c r="F113" s="248">
        <v>0.07549907666443323</v>
      </c>
      <c r="G113" s="248">
        <v>0.0011952360421810008</v>
      </c>
      <c r="H113" s="248">
        <v>5.976180210905004E-4</v>
      </c>
      <c r="I113" s="248">
        <v>5.976180210905004E-4</v>
      </c>
      <c r="J113" s="248">
        <v>0.0</v>
      </c>
      <c r="K113" s="248">
        <v>0.0</v>
      </c>
      <c r="L113" s="248">
        <v>0.0</v>
      </c>
      <c r="M113" s="248">
        <v>4.638312667690403</v>
      </c>
      <c r="O113" s="245">
        <v>10.205024325172168</v>
      </c>
      <c r="P113" s="245">
        <v>0.018749935328701527</v>
      </c>
      <c r="Q113" s="245">
        <v>0.06269819644306543</v>
      </c>
      <c r="R113" s="245">
        <v>0.037599076664433226</v>
      </c>
      <c r="S113" s="245">
        <v>5.952360421810008E-4</v>
      </c>
      <c r="T113" s="245">
        <v>2.976180210905004E-4</v>
      </c>
      <c r="U113" s="245">
        <v>2.976180210905004E-4</v>
      </c>
      <c r="V113" s="245">
        <v>0.0</v>
      </c>
      <c r="W113" s="245">
        <v>0.0</v>
      </c>
      <c r="X113" s="245">
        <v>0.0</v>
      </c>
      <c r="Y113" s="245">
        <v>2.3099126676904036</v>
      </c>
    </row>
    <row r="114" ht="15.75" customHeight="1">
      <c r="B114" s="243" t="s">
        <v>35</v>
      </c>
      <c r="C114" s="244">
        <v>43.3558</v>
      </c>
      <c r="D114" s="244">
        <v>0.5376</v>
      </c>
      <c r="E114" s="244">
        <v>0.3148</v>
      </c>
      <c r="F114" s="244">
        <v>0.1214</v>
      </c>
      <c r="G114" s="244">
        <v>0.0</v>
      </c>
      <c r="H114" s="244">
        <v>0.0</v>
      </c>
      <c r="I114" s="244">
        <v>0.0</v>
      </c>
      <c r="J114" s="244">
        <v>0.0</v>
      </c>
      <c r="K114" s="244">
        <v>0.0</v>
      </c>
      <c r="L114" s="244">
        <v>0.0</v>
      </c>
      <c r="M114" s="244">
        <v>0.0016</v>
      </c>
      <c r="O114" s="245">
        <v>0.0</v>
      </c>
      <c r="P114" s="245">
        <v>0.0</v>
      </c>
      <c r="Q114" s="245">
        <v>0.0</v>
      </c>
      <c r="R114" s="245">
        <v>0.0</v>
      </c>
      <c r="S114" s="245">
        <v>0.0</v>
      </c>
      <c r="T114" s="245">
        <v>0.0</v>
      </c>
      <c r="U114" s="245">
        <v>0.0</v>
      </c>
      <c r="V114" s="245">
        <v>0.0</v>
      </c>
      <c r="W114" s="245">
        <v>0.0</v>
      </c>
      <c r="X114" s="245">
        <v>0.0</v>
      </c>
      <c r="Y114" s="245">
        <v>0.0</v>
      </c>
    </row>
    <row r="115" ht="15.75" customHeight="1">
      <c r="B115" s="243" t="s">
        <v>37</v>
      </c>
      <c r="C115" s="244">
        <v>55.8899</v>
      </c>
      <c r="D115" s="244">
        <v>0.2425</v>
      </c>
      <c r="E115" s="244">
        <v>0.4583</v>
      </c>
      <c r="F115" s="244">
        <v>0.8235</v>
      </c>
      <c r="G115" s="244">
        <v>0.042</v>
      </c>
      <c r="H115" s="244">
        <v>0.0898</v>
      </c>
      <c r="I115" s="244">
        <v>0.3542</v>
      </c>
      <c r="J115" s="244">
        <v>0.0</v>
      </c>
      <c r="K115" s="244">
        <v>0.0</v>
      </c>
      <c r="L115" s="244">
        <v>4.0E-4</v>
      </c>
      <c r="M115" s="244">
        <v>0.0015</v>
      </c>
      <c r="O115" s="245">
        <v>0.0</v>
      </c>
      <c r="P115" s="245">
        <v>0.0</v>
      </c>
      <c r="Q115" s="245">
        <v>0.0</v>
      </c>
      <c r="R115" s="245">
        <v>0.0</v>
      </c>
      <c r="S115" s="245">
        <v>0.0</v>
      </c>
      <c r="T115" s="245">
        <v>0.0</v>
      </c>
      <c r="U115" s="245">
        <v>0.0</v>
      </c>
      <c r="V115" s="245">
        <v>0.0</v>
      </c>
      <c r="W115" s="245">
        <v>0.0</v>
      </c>
      <c r="X115" s="245">
        <v>0.0</v>
      </c>
      <c r="Y115" s="245">
        <v>0.0</v>
      </c>
    </row>
    <row r="116" ht="15.75" customHeight="1">
      <c r="B116" s="247" t="s">
        <v>41</v>
      </c>
      <c r="C116" s="248">
        <v>0.0</v>
      </c>
      <c r="D116" s="248">
        <v>0.0</v>
      </c>
      <c r="E116" s="248">
        <v>0.0</v>
      </c>
      <c r="F116" s="248">
        <v>0.0</v>
      </c>
      <c r="G116" s="248">
        <v>0.0</v>
      </c>
      <c r="H116" s="248">
        <v>0.0</v>
      </c>
      <c r="I116" s="248">
        <v>0.0</v>
      </c>
      <c r="J116" s="248">
        <v>0.0</v>
      </c>
      <c r="K116" s="248">
        <v>0.0</v>
      </c>
      <c r="L116" s="248">
        <v>0.0</v>
      </c>
      <c r="M116" s="248">
        <v>0.0</v>
      </c>
      <c r="O116" s="245">
        <v>0.0</v>
      </c>
      <c r="P116" s="245">
        <v>0.0</v>
      </c>
      <c r="Q116" s="245">
        <v>0.0</v>
      </c>
      <c r="R116" s="245">
        <v>0.0</v>
      </c>
      <c r="S116" s="245">
        <v>0.0</v>
      </c>
      <c r="T116" s="245">
        <v>0.0</v>
      </c>
      <c r="U116" s="245">
        <v>0.0</v>
      </c>
      <c r="V116" s="245">
        <v>0.0</v>
      </c>
      <c r="W116" s="245">
        <v>0.0</v>
      </c>
      <c r="X116" s="245">
        <v>0.0</v>
      </c>
      <c r="Y116" s="245">
        <v>0.0</v>
      </c>
    </row>
    <row r="117" ht="15.75" customHeight="1">
      <c r="B117" s="243" t="s">
        <v>372</v>
      </c>
      <c r="C117" s="244">
        <v>0.0</v>
      </c>
      <c r="D117" s="244">
        <v>0.0</v>
      </c>
      <c r="E117" s="244">
        <v>0.0</v>
      </c>
      <c r="F117" s="244">
        <v>1.0E-4</v>
      </c>
      <c r="G117" s="244">
        <v>0.0</v>
      </c>
      <c r="H117" s="244">
        <v>1.0E-4</v>
      </c>
      <c r="I117" s="244">
        <v>2.0E-4</v>
      </c>
      <c r="J117" s="244">
        <v>0.0</v>
      </c>
      <c r="K117" s="244">
        <v>0.0</v>
      </c>
      <c r="L117" s="244">
        <v>0.0011</v>
      </c>
      <c r="M117" s="244">
        <v>7.0E-4</v>
      </c>
      <c r="O117" s="245">
        <v>0.0</v>
      </c>
      <c r="P117" s="245">
        <v>0.0</v>
      </c>
      <c r="Q117" s="245">
        <v>0.0</v>
      </c>
      <c r="R117" s="245">
        <v>0.0</v>
      </c>
      <c r="S117" s="245">
        <v>0.0</v>
      </c>
      <c r="T117" s="245">
        <v>0.0</v>
      </c>
      <c r="U117" s="245">
        <v>0.0</v>
      </c>
      <c r="V117" s="245">
        <v>0.0</v>
      </c>
      <c r="W117" s="245">
        <v>0.0</v>
      </c>
      <c r="X117" s="245">
        <v>0.0</v>
      </c>
      <c r="Y117" s="245">
        <v>0.0</v>
      </c>
    </row>
    <row r="118" ht="15.75" customHeight="1">
      <c r="B118" s="247" t="s">
        <v>49</v>
      </c>
      <c r="C118" s="248">
        <v>391.82953459829025</v>
      </c>
      <c r="D118" s="248">
        <v>19.430585341836245</v>
      </c>
      <c r="E118" s="248">
        <v>8.626125457333739</v>
      </c>
      <c r="F118" s="248">
        <v>6.601618286057297</v>
      </c>
      <c r="G118" s="248">
        <v>17.093713585765553</v>
      </c>
      <c r="H118" s="248">
        <v>15.530104682436368</v>
      </c>
      <c r="I118" s="248">
        <v>7.119942243242746</v>
      </c>
      <c r="J118" s="248">
        <v>0.6994220883515025</v>
      </c>
      <c r="K118" s="248">
        <v>11.437462350221953</v>
      </c>
      <c r="L118" s="248">
        <v>32.8745775880034</v>
      </c>
      <c r="M118" s="248">
        <v>305.40227345791794</v>
      </c>
      <c r="O118" s="245">
        <v>391.82953459829025</v>
      </c>
      <c r="P118" s="245">
        <v>19.430585341836245</v>
      </c>
      <c r="Q118" s="245">
        <v>8.626125457333739</v>
      </c>
      <c r="R118" s="245">
        <v>6.601618286057297</v>
      </c>
      <c r="S118" s="245">
        <v>17.093713585765553</v>
      </c>
      <c r="T118" s="245">
        <v>15.530104682436368</v>
      </c>
      <c r="U118" s="245">
        <v>7.119942243242746</v>
      </c>
      <c r="V118" s="245">
        <v>0.6994220883515025</v>
      </c>
      <c r="W118" s="245">
        <v>11.437462350221953</v>
      </c>
      <c r="X118" s="245">
        <v>32.8745775880034</v>
      </c>
      <c r="Y118" s="245">
        <v>305.40227345791794</v>
      </c>
    </row>
    <row r="119" ht="15.75" customHeight="1">
      <c r="B119" s="243" t="s">
        <v>373</v>
      </c>
      <c r="C119" s="244">
        <v>0.0</v>
      </c>
      <c r="D119" s="244">
        <v>0.0</v>
      </c>
      <c r="E119" s="244">
        <v>0.0</v>
      </c>
      <c r="F119" s="244">
        <v>0.0</v>
      </c>
      <c r="G119" s="244">
        <v>0.0</v>
      </c>
      <c r="H119" s="244">
        <v>0.0</v>
      </c>
      <c r="I119" s="244">
        <v>0.0</v>
      </c>
      <c r="J119" s="244">
        <v>0.0</v>
      </c>
      <c r="K119" s="244">
        <v>0.0</v>
      </c>
      <c r="L119" s="244">
        <v>0.0</v>
      </c>
      <c r="M119" s="244">
        <v>0.0</v>
      </c>
      <c r="O119" s="245">
        <v>0.0</v>
      </c>
      <c r="P119" s="245">
        <v>0.0</v>
      </c>
      <c r="Q119" s="245">
        <v>0.0</v>
      </c>
      <c r="R119" s="245">
        <v>0.0</v>
      </c>
      <c r="S119" s="245">
        <v>0.0</v>
      </c>
      <c r="T119" s="245">
        <v>0.0</v>
      </c>
      <c r="U119" s="245">
        <v>0.0</v>
      </c>
      <c r="V119" s="245">
        <v>0.0</v>
      </c>
      <c r="W119" s="245">
        <v>0.0</v>
      </c>
      <c r="X119" s="245">
        <v>0.0</v>
      </c>
      <c r="Y119" s="245">
        <v>0.0</v>
      </c>
    </row>
    <row r="120" ht="15.75" customHeight="1"/>
    <row r="121" ht="15.75" customHeight="1"/>
    <row r="122" ht="15.75" customHeight="1">
      <c r="B122" s="239" t="s">
        <v>55</v>
      </c>
      <c r="C122" s="238" t="s">
        <v>380</v>
      </c>
      <c r="O122" s="238" t="s">
        <v>381</v>
      </c>
    </row>
    <row r="123" ht="28.5" customHeight="1">
      <c r="A123" s="240"/>
      <c r="B123" s="241" t="s">
        <v>356</v>
      </c>
      <c r="C123" s="242" t="s">
        <v>357</v>
      </c>
      <c r="D123" s="242" t="s">
        <v>9</v>
      </c>
      <c r="E123" s="242" t="s">
        <v>10</v>
      </c>
      <c r="F123" s="242" t="s">
        <v>11</v>
      </c>
      <c r="G123" s="242" t="s">
        <v>6</v>
      </c>
      <c r="H123" s="242" t="s">
        <v>7</v>
      </c>
      <c r="I123" s="242" t="s">
        <v>8</v>
      </c>
      <c r="J123" s="242" t="s">
        <v>358</v>
      </c>
      <c r="K123" s="242" t="s">
        <v>359</v>
      </c>
      <c r="L123" s="242" t="s">
        <v>360</v>
      </c>
      <c r="M123" s="242" t="s">
        <v>12</v>
      </c>
      <c r="N123" s="240"/>
      <c r="O123" s="242" t="s">
        <v>357</v>
      </c>
      <c r="P123" s="242" t="s">
        <v>9</v>
      </c>
      <c r="Q123" s="242" t="s">
        <v>10</v>
      </c>
      <c r="R123" s="242" t="s">
        <v>11</v>
      </c>
      <c r="S123" s="242" t="s">
        <v>6</v>
      </c>
      <c r="T123" s="242" t="s">
        <v>7</v>
      </c>
      <c r="U123" s="242" t="s">
        <v>8</v>
      </c>
      <c r="V123" s="242" t="s">
        <v>358</v>
      </c>
      <c r="W123" s="242" t="s">
        <v>359</v>
      </c>
      <c r="X123" s="242" t="s">
        <v>360</v>
      </c>
      <c r="Y123" s="242" t="s">
        <v>12</v>
      </c>
      <c r="Z123" s="240"/>
      <c r="AA123" s="240"/>
      <c r="AG123" s="240"/>
    </row>
    <row r="124" ht="15.75" customHeight="1">
      <c r="B124" s="243" t="s">
        <v>363</v>
      </c>
      <c r="C124" s="244">
        <f>LET(payer, $C$3, segment, $B$122, ECOGAINS_SIM(payer, segment))</f>
        <v>39.1451</v>
      </c>
      <c r="D124" s="244">
        <v>0.8838</v>
      </c>
      <c r="E124" s="244">
        <v>0.8733</v>
      </c>
      <c r="F124" s="244">
        <v>0.4114</v>
      </c>
      <c r="G124" s="244">
        <v>0.0047</v>
      </c>
      <c r="H124" s="244">
        <v>0.0014</v>
      </c>
      <c r="I124" s="244">
        <v>0.0015</v>
      </c>
      <c r="J124" s="244">
        <v>0.0</v>
      </c>
      <c r="K124" s="244">
        <v>0.0</v>
      </c>
      <c r="L124" s="244">
        <v>0.0</v>
      </c>
      <c r="M124" s="244">
        <v>13.4877</v>
      </c>
      <c r="O124" s="245">
        <f>LET(payer, $C$3, segment, $B$122, ECOGAINS_DIFF(payer, segment))</f>
        <v>0</v>
      </c>
      <c r="P124" s="245">
        <v>0.0</v>
      </c>
      <c r="Q124" s="245">
        <v>0.0</v>
      </c>
      <c r="R124" s="245">
        <v>0.0</v>
      </c>
      <c r="S124" s="245">
        <v>0.0</v>
      </c>
      <c r="T124" s="245">
        <v>0.0</v>
      </c>
      <c r="U124" s="245">
        <v>0.0</v>
      </c>
      <c r="V124" s="245">
        <v>0.0</v>
      </c>
      <c r="W124" s="245">
        <v>0.0</v>
      </c>
      <c r="X124" s="245">
        <v>0.0</v>
      </c>
      <c r="Y124" s="245">
        <v>0.0</v>
      </c>
    </row>
    <row r="125" ht="15.75" customHeight="1">
      <c r="B125" s="247" t="s">
        <v>284</v>
      </c>
      <c r="C125" s="248">
        <v>57.96602780859923</v>
      </c>
      <c r="D125" s="248">
        <v>0.03995890715953308</v>
      </c>
      <c r="E125" s="248">
        <v>0.1933694251750973</v>
      </c>
      <c r="F125" s="248">
        <v>0.22989573898832688</v>
      </c>
      <c r="G125" s="248">
        <v>0.0</v>
      </c>
      <c r="H125" s="248">
        <v>0.0</v>
      </c>
      <c r="I125" s="248">
        <v>0.0</v>
      </c>
      <c r="J125" s="248">
        <v>0.0</v>
      </c>
      <c r="K125" s="248">
        <v>0.0</v>
      </c>
      <c r="L125" s="248">
        <v>0.0</v>
      </c>
      <c r="M125" s="248">
        <v>0.0</v>
      </c>
      <c r="O125" s="245">
        <v>-7.893072191400769</v>
      </c>
      <c r="P125" s="245">
        <v>-0.00544109284046692</v>
      </c>
      <c r="Q125" s="245">
        <v>-0.026330574824902697</v>
      </c>
      <c r="R125" s="245">
        <v>-0.03130426101167311</v>
      </c>
      <c r="S125" s="245">
        <v>0.0</v>
      </c>
      <c r="T125" s="245">
        <v>0.0</v>
      </c>
      <c r="U125" s="245">
        <v>0.0</v>
      </c>
      <c r="V125" s="245">
        <v>0.0</v>
      </c>
      <c r="W125" s="245">
        <v>0.0</v>
      </c>
      <c r="X125" s="245">
        <v>0.0</v>
      </c>
      <c r="Y125" s="245">
        <v>0.0</v>
      </c>
    </row>
    <row r="126" ht="15.75" customHeight="1">
      <c r="B126" s="247" t="s">
        <v>163</v>
      </c>
      <c r="C126" s="248">
        <v>9.915634321645499</v>
      </c>
      <c r="D126" s="248">
        <v>0.09963888756723871</v>
      </c>
      <c r="E126" s="248">
        <v>0.07998933382361223</v>
      </c>
      <c r="F126" s="248">
        <v>0.07998933382361223</v>
      </c>
      <c r="G126" s="248">
        <v>0.11981011087928008</v>
      </c>
      <c r="H126" s="248">
        <v>0.13041739210371558</v>
      </c>
      <c r="I126" s="248">
        <v>0.07998933382361223</v>
      </c>
      <c r="J126" s="248">
        <v>4.893434441587547</v>
      </c>
      <c r="K126" s="248">
        <v>3.4477141776538254</v>
      </c>
      <c r="L126" s="248">
        <v>3.361030084368889</v>
      </c>
      <c r="M126" s="248">
        <v>16.18323335136586</v>
      </c>
      <c r="O126" s="245">
        <v>-1.488865678354502</v>
      </c>
      <c r="P126" s="245">
        <v>-0.014961112432761284</v>
      </c>
      <c r="Q126" s="245">
        <v>-0.012010666176387769</v>
      </c>
      <c r="R126" s="245">
        <v>-0.012010666176387769</v>
      </c>
      <c r="S126" s="245">
        <v>-0.01798988912071993</v>
      </c>
      <c r="T126" s="245">
        <v>-0.01958260789628441</v>
      </c>
      <c r="U126" s="245">
        <v>-0.012010666176387769</v>
      </c>
      <c r="V126" s="245">
        <v>-0.7347655584124526</v>
      </c>
      <c r="W126" s="245">
        <v>-0.5176858223461744</v>
      </c>
      <c r="X126" s="245">
        <v>-0.5046699156311107</v>
      </c>
      <c r="Y126" s="245">
        <v>-2.4299666486341387</v>
      </c>
    </row>
    <row r="127" ht="15.75" customHeight="1">
      <c r="B127" s="247" t="s">
        <v>283</v>
      </c>
      <c r="C127" s="248">
        <v>45.842849712</v>
      </c>
      <c r="D127" s="248">
        <v>0.015613584000000002</v>
      </c>
      <c r="E127" s="248">
        <v>0.10936704</v>
      </c>
      <c r="F127" s="248">
        <v>0.19239964800000003</v>
      </c>
      <c r="G127" s="248">
        <v>7.1952E-5</v>
      </c>
      <c r="H127" s="248">
        <v>0.0</v>
      </c>
      <c r="I127" s="248">
        <v>0.0</v>
      </c>
      <c r="J127" s="248">
        <v>0.0</v>
      </c>
      <c r="K127" s="248">
        <v>0.0</v>
      </c>
      <c r="L127" s="248">
        <v>0.0</v>
      </c>
      <c r="M127" s="248">
        <v>0.0</v>
      </c>
      <c r="O127" s="245">
        <v>-17.870250287999994</v>
      </c>
      <c r="P127" s="245">
        <v>-0.006086415999999999</v>
      </c>
      <c r="Q127" s="245">
        <v>-0.04263296</v>
      </c>
      <c r="R127" s="245">
        <v>-0.07500035199999999</v>
      </c>
      <c r="S127" s="245">
        <v>-2.8048E-5</v>
      </c>
      <c r="T127" s="245">
        <v>0.0</v>
      </c>
      <c r="U127" s="245">
        <v>0.0</v>
      </c>
      <c r="V127" s="245">
        <v>0.0</v>
      </c>
      <c r="W127" s="245">
        <v>0.0</v>
      </c>
      <c r="X127" s="245">
        <v>0.0</v>
      </c>
      <c r="Y127" s="245">
        <v>0.0</v>
      </c>
    </row>
    <row r="128" ht="15.75" customHeight="1">
      <c r="B128" s="243" t="s">
        <v>365</v>
      </c>
      <c r="C128" s="244">
        <v>416.6136</v>
      </c>
      <c r="D128" s="244">
        <v>3.2687</v>
      </c>
      <c r="E128" s="244">
        <v>4.5002</v>
      </c>
      <c r="F128" s="244">
        <v>1.6545</v>
      </c>
      <c r="G128" s="244">
        <v>1.4529</v>
      </c>
      <c r="H128" s="244">
        <v>2.1833</v>
      </c>
      <c r="I128" s="244">
        <v>1.6726</v>
      </c>
      <c r="J128" s="244">
        <v>0.0</v>
      </c>
      <c r="K128" s="244">
        <v>0.0</v>
      </c>
      <c r="L128" s="244">
        <v>0.0</v>
      </c>
      <c r="M128" s="244">
        <v>256.712</v>
      </c>
      <c r="O128" s="245">
        <v>0.0</v>
      </c>
      <c r="P128" s="245">
        <v>0.0</v>
      </c>
      <c r="Q128" s="245">
        <v>0.0</v>
      </c>
      <c r="R128" s="245">
        <v>0.0</v>
      </c>
      <c r="S128" s="245">
        <v>0.0</v>
      </c>
      <c r="T128" s="245">
        <v>0.0</v>
      </c>
      <c r="U128" s="245">
        <v>0.0</v>
      </c>
      <c r="V128" s="245">
        <v>0.0</v>
      </c>
      <c r="W128" s="245">
        <v>0.0</v>
      </c>
      <c r="X128" s="245">
        <v>0.0</v>
      </c>
      <c r="Y128" s="245">
        <v>0.0</v>
      </c>
    </row>
    <row r="129" ht="15.75" customHeight="1">
      <c r="B129" s="247" t="s">
        <v>366</v>
      </c>
      <c r="C129" s="248">
        <v>54.5222260758316</v>
      </c>
      <c r="D129" s="248">
        <v>0.7856</v>
      </c>
      <c r="E129" s="248">
        <v>0.4582</v>
      </c>
      <c r="F129" s="248">
        <v>0.0558</v>
      </c>
      <c r="G129" s="248">
        <v>0.0</v>
      </c>
      <c r="H129" s="248">
        <v>0.0</v>
      </c>
      <c r="I129" s="248">
        <v>0.0</v>
      </c>
      <c r="J129" s="248">
        <v>3.0387</v>
      </c>
      <c r="K129" s="248">
        <v>4.876</v>
      </c>
      <c r="L129" s="248">
        <v>6.9588</v>
      </c>
      <c r="M129" s="248">
        <v>60.9451</v>
      </c>
      <c r="O129" s="245">
        <v>-18.747873924168402</v>
      </c>
      <c r="P129" s="245">
        <v>0.0</v>
      </c>
      <c r="Q129" s="245">
        <v>0.0</v>
      </c>
      <c r="R129" s="245">
        <v>0.0</v>
      </c>
      <c r="S129" s="245">
        <v>0.0</v>
      </c>
      <c r="T129" s="245">
        <v>0.0</v>
      </c>
      <c r="U129" s="245">
        <v>0.0</v>
      </c>
      <c r="V129" s="245">
        <v>0.0</v>
      </c>
      <c r="W129" s="245">
        <v>0.0</v>
      </c>
      <c r="X129" s="245">
        <v>0.0</v>
      </c>
      <c r="Y129" s="245">
        <v>0.0</v>
      </c>
    </row>
    <row r="130" ht="15.75" customHeight="1">
      <c r="B130" s="243" t="s">
        <v>367</v>
      </c>
      <c r="C130" s="244">
        <v>62.6561</v>
      </c>
      <c r="D130" s="244">
        <v>0.7518</v>
      </c>
      <c r="E130" s="244">
        <v>0.0</v>
      </c>
      <c r="F130" s="244">
        <v>0.0</v>
      </c>
      <c r="G130" s="244">
        <v>0.8349</v>
      </c>
      <c r="H130" s="244">
        <v>0.7487</v>
      </c>
      <c r="I130" s="244">
        <v>3.0E-4</v>
      </c>
      <c r="J130" s="244">
        <v>0.0</v>
      </c>
      <c r="K130" s="244">
        <v>0.0</v>
      </c>
      <c r="L130" s="244">
        <v>0.0</v>
      </c>
      <c r="M130" s="244">
        <v>17.8588</v>
      </c>
      <c r="O130" s="245">
        <v>0.0</v>
      </c>
      <c r="P130" s="245">
        <v>0.0</v>
      </c>
      <c r="Q130" s="245">
        <v>0.0</v>
      </c>
      <c r="R130" s="245">
        <v>0.0</v>
      </c>
      <c r="S130" s="245">
        <v>0.0</v>
      </c>
      <c r="T130" s="245">
        <v>0.0</v>
      </c>
      <c r="U130" s="245">
        <v>0.0</v>
      </c>
      <c r="V130" s="245">
        <v>0.0</v>
      </c>
      <c r="W130" s="245">
        <v>0.0</v>
      </c>
      <c r="X130" s="245">
        <v>0.0</v>
      </c>
      <c r="Y130" s="245">
        <v>0.0</v>
      </c>
    </row>
    <row r="131" ht="15.75" customHeight="1">
      <c r="B131" s="243" t="s">
        <v>44</v>
      </c>
      <c r="C131" s="244">
        <v>0.0</v>
      </c>
      <c r="D131" s="244">
        <v>0.9596</v>
      </c>
      <c r="E131" s="244">
        <v>0.0</v>
      </c>
      <c r="F131" s="244">
        <v>0.0</v>
      </c>
      <c r="G131" s="244">
        <v>0.9592</v>
      </c>
      <c r="H131" s="244">
        <v>0.956</v>
      </c>
      <c r="I131" s="244">
        <v>0.9581</v>
      </c>
      <c r="J131" s="244">
        <v>0.0</v>
      </c>
      <c r="K131" s="244">
        <v>0.0</v>
      </c>
      <c r="L131" s="244">
        <v>0.0</v>
      </c>
      <c r="M131" s="244">
        <v>106.5899</v>
      </c>
      <c r="O131" s="245">
        <v>0.0</v>
      </c>
      <c r="P131" s="245">
        <v>0.0</v>
      </c>
      <c r="Q131" s="245">
        <v>0.0</v>
      </c>
      <c r="R131" s="245">
        <v>0.0</v>
      </c>
      <c r="S131" s="245">
        <v>0.0</v>
      </c>
      <c r="T131" s="245">
        <v>0.0</v>
      </c>
      <c r="U131" s="245">
        <v>0.0</v>
      </c>
      <c r="V131" s="245">
        <v>0.0</v>
      </c>
      <c r="W131" s="245">
        <v>0.0</v>
      </c>
      <c r="X131" s="245">
        <v>0.0</v>
      </c>
      <c r="Y131" s="245">
        <v>0.0</v>
      </c>
    </row>
    <row r="132" ht="15.75" customHeight="1">
      <c r="B132" s="247" t="s">
        <v>39</v>
      </c>
      <c r="C132" s="248">
        <v>48.87481747151978</v>
      </c>
      <c r="D132" s="248">
        <v>0.7750349844197457</v>
      </c>
      <c r="E132" s="248">
        <v>0.8028188346851545</v>
      </c>
      <c r="F132" s="248">
        <v>0.7347035888731849</v>
      </c>
      <c r="G132" s="248">
        <v>0.8468472748234834</v>
      </c>
      <c r="H132" s="248">
        <v>0.8108851137944666</v>
      </c>
      <c r="I132" s="248">
        <v>0.8024827397222665</v>
      </c>
      <c r="J132" s="248">
        <v>0.0</v>
      </c>
      <c r="K132" s="248">
        <v>8.53221875952926</v>
      </c>
      <c r="L132" s="248">
        <v>8.545438494736189</v>
      </c>
      <c r="M132" s="248">
        <v>74.56916535265368</v>
      </c>
      <c r="O132" s="245">
        <v>5.248917471519782</v>
      </c>
      <c r="P132" s="245">
        <v>0.08323498441974575</v>
      </c>
      <c r="Q132" s="245">
        <v>0.08621883468515446</v>
      </c>
      <c r="R132" s="245">
        <v>0.07890358887318483</v>
      </c>
      <c r="S132" s="245">
        <v>0.09094727482348341</v>
      </c>
      <c r="T132" s="245">
        <v>0.0870851137944666</v>
      </c>
      <c r="U132" s="245">
        <v>0.08618273972226642</v>
      </c>
      <c r="V132" s="245">
        <v>0.0</v>
      </c>
      <c r="W132" s="245">
        <v>0.9163187595292595</v>
      </c>
      <c r="X132" s="245">
        <v>0.9177384947361888</v>
      </c>
      <c r="Y132" s="245">
        <v>8.008365352653684</v>
      </c>
    </row>
    <row r="133" ht="15.75" customHeight="1">
      <c r="B133" s="247" t="s">
        <v>368</v>
      </c>
      <c r="C133" s="248">
        <v>29.938501578974943</v>
      </c>
      <c r="D133" s="248">
        <v>0.301860474207388</v>
      </c>
      <c r="E133" s="248">
        <v>0.0</v>
      </c>
      <c r="F133" s="248">
        <v>0.2807790321233709</v>
      </c>
      <c r="G133" s="248">
        <v>0.32561161856405346</v>
      </c>
      <c r="H133" s="248">
        <v>0.3324239622942598</v>
      </c>
      <c r="I133" s="248">
        <v>0.2807790321233709</v>
      </c>
      <c r="J133" s="248">
        <v>13.02207121638666</v>
      </c>
      <c r="K133" s="248">
        <v>9.276478927860891</v>
      </c>
      <c r="L133" s="248">
        <v>9.034824842836679</v>
      </c>
      <c r="M133" s="248">
        <v>46.41102489471113</v>
      </c>
      <c r="O133" s="245">
        <v>-2.582598421025054</v>
      </c>
      <c r="P133" s="245">
        <v>-0.02603952579261204</v>
      </c>
      <c r="Q133" s="245">
        <v>0.0</v>
      </c>
      <c r="R133" s="245">
        <v>-0.024220967876629085</v>
      </c>
      <c r="S133" s="245">
        <v>-0.028088381435946552</v>
      </c>
      <c r="T133" s="245">
        <v>-0.028676037705740176</v>
      </c>
      <c r="U133" s="245">
        <v>-0.024220967876629085</v>
      </c>
      <c r="V133" s="245">
        <v>-1.1233287836133403</v>
      </c>
      <c r="W133" s="245">
        <v>-0.8002210721391094</v>
      </c>
      <c r="X133" s="245">
        <v>-0.7793751571633205</v>
      </c>
      <c r="Y133" s="245">
        <v>-4.003575105288867</v>
      </c>
    </row>
    <row r="134" ht="15.75" customHeight="1">
      <c r="B134" s="247" t="s">
        <v>38</v>
      </c>
      <c r="C134" s="248">
        <v>26.55048559761062</v>
      </c>
      <c r="D134" s="248">
        <v>0.013536162802937183</v>
      </c>
      <c r="E134" s="248">
        <v>0.04772543998561358</v>
      </c>
      <c r="F134" s="248">
        <v>0.06321527577041798</v>
      </c>
      <c r="G134" s="248">
        <v>0.0025118652624007143</v>
      </c>
      <c r="H134" s="248">
        <v>0.002442091227334028</v>
      </c>
      <c r="I134" s="248">
        <v>0.0039771199988011315</v>
      </c>
      <c r="J134" s="248">
        <v>0.0</v>
      </c>
      <c r="K134" s="248">
        <v>0.0</v>
      </c>
      <c r="L134" s="248">
        <v>0.0</v>
      </c>
      <c r="M134" s="248">
        <v>10.656239505559698</v>
      </c>
      <c r="O134" s="245">
        <v>-11.501614402389382</v>
      </c>
      <c r="P134" s="245">
        <v>-0.005863837197062818</v>
      </c>
      <c r="Q134" s="245">
        <v>-0.020674560014386424</v>
      </c>
      <c r="R134" s="245">
        <v>-0.02738472422958202</v>
      </c>
      <c r="S134" s="245">
        <v>-0.0010881347375992856</v>
      </c>
      <c r="T134" s="245">
        <v>-0.0010579087726659722</v>
      </c>
      <c r="U134" s="245">
        <v>-0.0017228800011988687</v>
      </c>
      <c r="V134" s="245">
        <v>0.0</v>
      </c>
      <c r="W134" s="245">
        <v>0.0</v>
      </c>
      <c r="X134" s="245">
        <v>0.0</v>
      </c>
      <c r="Y134" s="245">
        <v>-4.6162604944403025</v>
      </c>
    </row>
    <row r="135" ht="15.75" customHeight="1">
      <c r="B135" s="247" t="s">
        <v>45</v>
      </c>
      <c r="C135" s="248">
        <v>77.64543752381324</v>
      </c>
      <c r="D135" s="248">
        <v>0.21097246797665373</v>
      </c>
      <c r="E135" s="248">
        <v>0.33771437614786</v>
      </c>
      <c r="F135" s="248">
        <v>0.5588966089494164</v>
      </c>
      <c r="G135" s="248">
        <v>0.017691058015564205</v>
      </c>
      <c r="H135" s="248">
        <v>0.052633097976653706</v>
      </c>
      <c r="I135" s="248">
        <v>0.11706023463035022</v>
      </c>
      <c r="J135" s="248">
        <v>0.0</v>
      </c>
      <c r="K135" s="248">
        <v>0.0</v>
      </c>
      <c r="L135" s="248">
        <v>0.0</v>
      </c>
      <c r="M135" s="248">
        <v>0.3686077162645915</v>
      </c>
      <c r="O135" s="245">
        <v>-10.572762476186753</v>
      </c>
      <c r="P135" s="245">
        <v>-0.02872753202334627</v>
      </c>
      <c r="Q135" s="245">
        <v>-0.04598562385214</v>
      </c>
      <c r="R135" s="245">
        <v>-0.07610339105058361</v>
      </c>
      <c r="S135" s="245">
        <v>-0.0024089419844357945</v>
      </c>
      <c r="T135" s="245">
        <v>-0.007166902023346293</v>
      </c>
      <c r="U135" s="245">
        <v>-0.01593976536964979</v>
      </c>
      <c r="V135" s="245">
        <v>0.0</v>
      </c>
      <c r="W135" s="245">
        <v>0.0</v>
      </c>
      <c r="X135" s="245">
        <v>0.0</v>
      </c>
      <c r="Y135" s="245">
        <v>-0.050192283735408516</v>
      </c>
    </row>
    <row r="136" ht="15.75" customHeight="1">
      <c r="B136" s="243" t="s">
        <v>369</v>
      </c>
      <c r="C136" s="244">
        <v>142.1973</v>
      </c>
      <c r="D136" s="244">
        <v>0.383</v>
      </c>
      <c r="E136" s="244">
        <v>0.6918</v>
      </c>
      <c r="F136" s="244">
        <v>0.6324</v>
      </c>
      <c r="G136" s="244">
        <v>1.2028</v>
      </c>
      <c r="H136" s="244">
        <v>1.1859</v>
      </c>
      <c r="I136" s="244">
        <v>1.2253</v>
      </c>
      <c r="J136" s="244">
        <v>0.5515</v>
      </c>
      <c r="K136" s="244">
        <v>0.368</v>
      </c>
      <c r="L136" s="244">
        <v>0.3507</v>
      </c>
      <c r="M136" s="244">
        <v>11.2443</v>
      </c>
      <c r="O136" s="245">
        <v>0.0</v>
      </c>
      <c r="P136" s="245">
        <v>0.0</v>
      </c>
      <c r="Q136" s="245">
        <v>0.0</v>
      </c>
      <c r="R136" s="245">
        <v>0.0</v>
      </c>
      <c r="S136" s="245">
        <v>0.0</v>
      </c>
      <c r="T136" s="245">
        <v>0.0</v>
      </c>
      <c r="U136" s="245">
        <v>0.0</v>
      </c>
      <c r="V136" s="245">
        <v>0.0</v>
      </c>
      <c r="W136" s="245">
        <v>0.0</v>
      </c>
      <c r="X136" s="245">
        <v>0.0</v>
      </c>
      <c r="Y136" s="245">
        <v>0.0</v>
      </c>
    </row>
    <row r="137" ht="15.75" customHeight="1">
      <c r="B137" s="247" t="s">
        <v>30</v>
      </c>
      <c r="C137" s="248">
        <v>7.878790881021936</v>
      </c>
      <c r="D137" s="248">
        <v>0.0</v>
      </c>
      <c r="E137" s="248">
        <v>0.07498439251177601</v>
      </c>
      <c r="F137" s="248">
        <v>0.0</v>
      </c>
      <c r="G137" s="248">
        <v>0.0905860947117514</v>
      </c>
      <c r="H137" s="248">
        <v>0.09869623065711307</v>
      </c>
      <c r="I137" s="248">
        <v>0.0685925057073808</v>
      </c>
      <c r="J137" s="248">
        <v>2.0056778572673215</v>
      </c>
      <c r="K137" s="248">
        <v>1.5444310578662868</v>
      </c>
      <c r="L137" s="248">
        <v>1.5612698994477576</v>
      </c>
      <c r="M137" s="248">
        <v>21.110821325707672</v>
      </c>
      <c r="O137" s="245">
        <v>-3.5846091189780642</v>
      </c>
      <c r="P137" s="245">
        <v>0.0</v>
      </c>
      <c r="Q137" s="245">
        <v>-0.034115607488223995</v>
      </c>
      <c r="R137" s="245">
        <v>0.0</v>
      </c>
      <c r="S137" s="245">
        <v>-0.0412139052882486</v>
      </c>
      <c r="T137" s="245">
        <v>-0.04490376934288694</v>
      </c>
      <c r="U137" s="245">
        <v>-0.031207494292619195</v>
      </c>
      <c r="V137" s="245">
        <v>-0.9125221427326786</v>
      </c>
      <c r="W137" s="245">
        <v>-0.7026689421337133</v>
      </c>
      <c r="X137" s="245">
        <v>-0.7103301005522422</v>
      </c>
      <c r="Y137" s="245">
        <v>-9.604778674292326</v>
      </c>
    </row>
    <row r="138" ht="15.75" customHeight="1">
      <c r="B138" s="247" t="s">
        <v>282</v>
      </c>
      <c r="C138" s="248">
        <v>84.76934493799612</v>
      </c>
      <c r="D138" s="248">
        <v>0.02798883805447471</v>
      </c>
      <c r="E138" s="248">
        <v>0.1939415240661479</v>
      </c>
      <c r="F138" s="248">
        <v>0.3591020731517511</v>
      </c>
      <c r="G138" s="248">
        <v>5.280912840466927E-4</v>
      </c>
      <c r="H138" s="248">
        <v>0.0</v>
      </c>
      <c r="I138" s="248">
        <v>0.0</v>
      </c>
      <c r="J138" s="248">
        <v>0.0</v>
      </c>
      <c r="K138" s="248">
        <v>0.0</v>
      </c>
      <c r="L138" s="248">
        <v>0.0</v>
      </c>
      <c r="M138" s="248">
        <v>0.0</v>
      </c>
      <c r="O138" s="245">
        <v>20.561244937996122</v>
      </c>
      <c r="P138" s="245">
        <v>0.006788838054474711</v>
      </c>
      <c r="Q138" s="245">
        <v>0.047041524066147894</v>
      </c>
      <c r="R138" s="245">
        <v>0.08710207315175106</v>
      </c>
      <c r="S138" s="245">
        <v>1.2809128404669268E-4</v>
      </c>
      <c r="T138" s="245">
        <v>0.0</v>
      </c>
      <c r="U138" s="245">
        <v>0.0</v>
      </c>
      <c r="V138" s="245">
        <v>0.0</v>
      </c>
      <c r="W138" s="245">
        <v>0.0</v>
      </c>
      <c r="X138" s="245">
        <v>0.0</v>
      </c>
      <c r="Y138" s="245">
        <v>0.0</v>
      </c>
    </row>
    <row r="139" ht="15.75" customHeight="1">
      <c r="B139" s="247" t="s">
        <v>108</v>
      </c>
      <c r="C139" s="248">
        <v>0.0</v>
      </c>
      <c r="D139" s="248">
        <v>0.0</v>
      </c>
      <c r="E139" s="248">
        <v>0.0</v>
      </c>
      <c r="F139" s="248">
        <v>0.0</v>
      </c>
      <c r="G139" s="248">
        <v>0.0</v>
      </c>
      <c r="H139" s="248">
        <v>0.0</v>
      </c>
      <c r="I139" s="248">
        <v>0.0</v>
      </c>
      <c r="J139" s="248">
        <v>0.0</v>
      </c>
      <c r="K139" s="248">
        <v>0.0</v>
      </c>
      <c r="L139" s="248">
        <v>0.0</v>
      </c>
      <c r="M139" s="248">
        <v>0.0</v>
      </c>
      <c r="O139" s="245">
        <v>-102.6249</v>
      </c>
      <c r="P139" s="245">
        <v>-1.0723</v>
      </c>
      <c r="Q139" s="245">
        <v>-0.7373</v>
      </c>
      <c r="R139" s="245">
        <v>-0.8923</v>
      </c>
      <c r="S139" s="245">
        <v>-0.3532</v>
      </c>
      <c r="T139" s="245">
        <v>-0.2513</v>
      </c>
      <c r="U139" s="245">
        <v>-0.4589</v>
      </c>
      <c r="V139" s="245">
        <v>-5.6038</v>
      </c>
      <c r="W139" s="245">
        <v>-12.6518</v>
      </c>
      <c r="X139" s="245">
        <v>-23.7798</v>
      </c>
      <c r="Y139" s="245">
        <v>-5.0749</v>
      </c>
    </row>
    <row r="140" ht="15.75" customHeight="1">
      <c r="B140" s="247" t="s">
        <v>370</v>
      </c>
      <c r="C140" s="248">
        <v>321.18282142857146</v>
      </c>
      <c r="D140" s="248">
        <v>4.7581</v>
      </c>
      <c r="E140" s="248">
        <v>9.4959</v>
      </c>
      <c r="F140" s="248">
        <v>9.624</v>
      </c>
      <c r="G140" s="248">
        <v>14.398875</v>
      </c>
      <c r="H140" s="248">
        <v>19.2124</v>
      </c>
      <c r="I140" s="248">
        <v>7.221299999999999</v>
      </c>
      <c r="J140" s="248">
        <v>0.0</v>
      </c>
      <c r="K140" s="248">
        <v>0.0</v>
      </c>
      <c r="L140" s="248">
        <v>0.0</v>
      </c>
      <c r="M140" s="248">
        <v>1261.9195766666664</v>
      </c>
      <c r="O140" s="245">
        <v>-578.1290785714286</v>
      </c>
      <c r="P140" s="245">
        <v>-4.7581</v>
      </c>
      <c r="Q140" s="245">
        <v>0.0</v>
      </c>
      <c r="R140" s="245">
        <v>4.812</v>
      </c>
      <c r="S140" s="245">
        <v>-4.799624999999999</v>
      </c>
      <c r="T140" s="245">
        <v>0.0</v>
      </c>
      <c r="U140" s="245">
        <v>2.4071</v>
      </c>
      <c r="V140" s="245">
        <v>0.0</v>
      </c>
      <c r="W140" s="245">
        <v>0.0</v>
      </c>
      <c r="X140" s="245">
        <v>0.0</v>
      </c>
      <c r="Y140" s="245">
        <v>547.6254766666665</v>
      </c>
    </row>
    <row r="141" ht="15.75" customHeight="1">
      <c r="B141" s="243" t="s">
        <v>371</v>
      </c>
      <c r="C141" s="244">
        <v>69.5687</v>
      </c>
      <c r="D141" s="244">
        <v>0.5123</v>
      </c>
      <c r="E141" s="244">
        <v>1.0434</v>
      </c>
      <c r="F141" s="244">
        <v>0.0</v>
      </c>
      <c r="G141" s="244">
        <v>2.4347</v>
      </c>
      <c r="H141" s="244">
        <v>2.9583</v>
      </c>
      <c r="I141" s="244">
        <v>1.1005</v>
      </c>
      <c r="J141" s="244">
        <v>0.0682</v>
      </c>
      <c r="K141" s="244">
        <v>9.2771</v>
      </c>
      <c r="L141" s="244">
        <v>20.1874</v>
      </c>
      <c r="M141" s="244">
        <v>78.6257</v>
      </c>
      <c r="O141" s="245">
        <v>0.0</v>
      </c>
      <c r="P141" s="245">
        <v>0.0</v>
      </c>
      <c r="Q141" s="245">
        <v>0.0</v>
      </c>
      <c r="R141" s="245">
        <v>0.0</v>
      </c>
      <c r="S141" s="245">
        <v>0.0</v>
      </c>
      <c r="T141" s="245">
        <v>0.0</v>
      </c>
      <c r="U141" s="245">
        <v>0.0</v>
      </c>
      <c r="V141" s="245">
        <v>0.0</v>
      </c>
      <c r="W141" s="245">
        <v>0.0</v>
      </c>
      <c r="X141" s="245">
        <v>0.0</v>
      </c>
      <c r="Y141" s="245">
        <v>0.0</v>
      </c>
    </row>
    <row r="142" ht="15.75" customHeight="1">
      <c r="B142" s="247" t="s">
        <v>27</v>
      </c>
      <c r="C142" s="248">
        <v>22.71551469245669</v>
      </c>
      <c r="D142" s="248">
        <v>0.006651444586203049</v>
      </c>
      <c r="E142" s="248">
        <v>0.05321155668962439</v>
      </c>
      <c r="F142" s="248">
        <v>0.09677851872925437</v>
      </c>
      <c r="G142" s="248">
        <v>0.0018291472612058386</v>
      </c>
      <c r="H142" s="248">
        <v>0.0016628611465507623</v>
      </c>
      <c r="I142" s="248">
        <v>0.0016628611465507623</v>
      </c>
      <c r="J142" s="248">
        <v>0.0</v>
      </c>
      <c r="K142" s="248">
        <v>0.0</v>
      </c>
      <c r="L142" s="248">
        <v>0.0</v>
      </c>
      <c r="M142" s="248">
        <v>2.6565869677294978</v>
      </c>
      <c r="O142" s="245">
        <v>9.05501469245669</v>
      </c>
      <c r="P142" s="245">
        <v>0.002651444586203049</v>
      </c>
      <c r="Q142" s="245">
        <v>0.021211556689624392</v>
      </c>
      <c r="R142" s="245">
        <v>0.03857851872925437</v>
      </c>
      <c r="S142" s="245">
        <v>7.291472612058385E-4</v>
      </c>
      <c r="T142" s="245">
        <v>6.628611465507622E-4</v>
      </c>
      <c r="U142" s="245">
        <v>6.628611465507622E-4</v>
      </c>
      <c r="V142" s="245">
        <v>0.0</v>
      </c>
      <c r="W142" s="245">
        <v>0.0</v>
      </c>
      <c r="X142" s="245">
        <v>0.0</v>
      </c>
      <c r="Y142" s="245">
        <v>1.0589869677294979</v>
      </c>
    </row>
    <row r="143" ht="15.75" customHeight="1">
      <c r="B143" s="243" t="s">
        <v>35</v>
      </c>
      <c r="C143" s="244">
        <v>43.6785</v>
      </c>
      <c r="D143" s="244">
        <v>0.3854</v>
      </c>
      <c r="E143" s="244">
        <v>0.2943</v>
      </c>
      <c r="F143" s="244">
        <v>0.1471</v>
      </c>
      <c r="G143" s="244">
        <v>0.0</v>
      </c>
      <c r="H143" s="244">
        <v>0.0</v>
      </c>
      <c r="I143" s="244">
        <v>0.0</v>
      </c>
      <c r="J143" s="244">
        <v>0.0</v>
      </c>
      <c r="K143" s="244">
        <v>0.0</v>
      </c>
      <c r="L143" s="244">
        <v>0.0</v>
      </c>
      <c r="M143" s="244">
        <v>0.0</v>
      </c>
      <c r="O143" s="245">
        <v>0.0</v>
      </c>
      <c r="P143" s="245">
        <v>0.0</v>
      </c>
      <c r="Q143" s="245">
        <v>0.0</v>
      </c>
      <c r="R143" s="245">
        <v>0.0</v>
      </c>
      <c r="S143" s="245">
        <v>0.0</v>
      </c>
      <c r="T143" s="245">
        <v>0.0</v>
      </c>
      <c r="U143" s="245">
        <v>0.0</v>
      </c>
      <c r="V143" s="245">
        <v>0.0</v>
      </c>
      <c r="W143" s="245">
        <v>0.0</v>
      </c>
      <c r="X143" s="245">
        <v>0.0</v>
      </c>
      <c r="Y143" s="245">
        <v>0.0</v>
      </c>
    </row>
    <row r="144" ht="15.75" customHeight="1">
      <c r="B144" s="243" t="s">
        <v>37</v>
      </c>
      <c r="C144" s="244">
        <v>39.015</v>
      </c>
      <c r="D144" s="244">
        <v>0.1024</v>
      </c>
      <c r="E144" s="244">
        <v>0.277</v>
      </c>
      <c r="F144" s="244">
        <v>0.5099</v>
      </c>
      <c r="G144" s="244">
        <v>0.0164</v>
      </c>
      <c r="H144" s="244">
        <v>0.0371</v>
      </c>
      <c r="I144" s="244">
        <v>0.235</v>
      </c>
      <c r="J144" s="244">
        <v>0.0</v>
      </c>
      <c r="K144" s="244">
        <v>0.0024</v>
      </c>
      <c r="L144" s="244">
        <v>0.0</v>
      </c>
      <c r="M144" s="244">
        <v>0.0055</v>
      </c>
      <c r="O144" s="245">
        <v>0.0</v>
      </c>
      <c r="P144" s="245">
        <v>0.0</v>
      </c>
      <c r="Q144" s="245">
        <v>0.0</v>
      </c>
      <c r="R144" s="245">
        <v>0.0</v>
      </c>
      <c r="S144" s="245">
        <v>0.0</v>
      </c>
      <c r="T144" s="245">
        <v>0.0</v>
      </c>
      <c r="U144" s="245">
        <v>0.0</v>
      </c>
      <c r="V144" s="245">
        <v>0.0</v>
      </c>
      <c r="W144" s="245">
        <v>0.0</v>
      </c>
      <c r="X144" s="245">
        <v>0.0</v>
      </c>
      <c r="Y144" s="245">
        <v>0.0</v>
      </c>
    </row>
    <row r="145" ht="15.75" customHeight="1">
      <c r="B145" s="247" t="s">
        <v>41</v>
      </c>
      <c r="C145" s="248">
        <v>0.0</v>
      </c>
      <c r="D145" s="248">
        <v>0.0</v>
      </c>
      <c r="E145" s="248">
        <v>0.0</v>
      </c>
      <c r="F145" s="248">
        <v>0.0</v>
      </c>
      <c r="G145" s="248">
        <v>0.0</v>
      </c>
      <c r="H145" s="248">
        <v>0.0</v>
      </c>
      <c r="I145" s="248">
        <v>0.0</v>
      </c>
      <c r="J145" s="248">
        <v>0.0</v>
      </c>
      <c r="K145" s="248">
        <v>0.0</v>
      </c>
      <c r="L145" s="248">
        <v>0.0</v>
      </c>
      <c r="M145" s="248">
        <v>0.0</v>
      </c>
      <c r="O145" s="245">
        <v>0.0</v>
      </c>
      <c r="P145" s="245">
        <v>0.0</v>
      </c>
      <c r="Q145" s="245">
        <v>0.0</v>
      </c>
      <c r="R145" s="245">
        <v>0.0</v>
      </c>
      <c r="S145" s="245">
        <v>0.0</v>
      </c>
      <c r="T145" s="245">
        <v>0.0</v>
      </c>
      <c r="U145" s="245">
        <v>0.0</v>
      </c>
      <c r="V145" s="245">
        <v>0.0</v>
      </c>
      <c r="W145" s="245">
        <v>0.0</v>
      </c>
      <c r="X145" s="245">
        <v>0.0</v>
      </c>
      <c r="Y145" s="245">
        <v>0.0</v>
      </c>
    </row>
    <row r="146" ht="15.75" customHeight="1">
      <c r="B146" s="243" t="s">
        <v>372</v>
      </c>
      <c r="C146" s="244">
        <v>0.0</v>
      </c>
      <c r="D146" s="244">
        <v>0.0</v>
      </c>
      <c r="E146" s="244">
        <v>0.0</v>
      </c>
      <c r="F146" s="244">
        <v>6.0E-4</v>
      </c>
      <c r="G146" s="244">
        <v>0.0</v>
      </c>
      <c r="H146" s="244">
        <v>6.0E-4</v>
      </c>
      <c r="I146" s="244">
        <v>6.0E-4</v>
      </c>
      <c r="J146" s="244">
        <v>0.0</v>
      </c>
      <c r="K146" s="244">
        <v>0.0</v>
      </c>
      <c r="L146" s="244">
        <v>0.0</v>
      </c>
      <c r="M146" s="244">
        <v>0.0042</v>
      </c>
      <c r="O146" s="245">
        <v>0.0</v>
      </c>
      <c r="P146" s="245">
        <v>0.0</v>
      </c>
      <c r="Q146" s="245">
        <v>0.0</v>
      </c>
      <c r="R146" s="245">
        <v>0.0</v>
      </c>
      <c r="S146" s="245">
        <v>0.0</v>
      </c>
      <c r="T146" s="245">
        <v>0.0</v>
      </c>
      <c r="U146" s="245">
        <v>0.0</v>
      </c>
      <c r="V146" s="245">
        <v>0.0</v>
      </c>
      <c r="W146" s="245">
        <v>0.0</v>
      </c>
      <c r="X146" s="245">
        <v>0.0</v>
      </c>
      <c r="Y146" s="245">
        <v>0.0</v>
      </c>
    </row>
    <row r="147" ht="15.75" customHeight="1">
      <c r="B147" s="247" t="s">
        <v>49</v>
      </c>
      <c r="C147" s="248">
        <v>788.957554906339</v>
      </c>
      <c r="D147" s="248">
        <v>21.561806805173884</v>
      </c>
      <c r="E147" s="248">
        <v>12.242191640936364</v>
      </c>
      <c r="F147" s="248">
        <v>11.279702923581704</v>
      </c>
      <c r="G147" s="248">
        <v>14.47318258135282</v>
      </c>
      <c r="H147" s="248">
        <v>13.578090064921316</v>
      </c>
      <c r="I147" s="248">
        <v>8.720712650314212</v>
      </c>
      <c r="J147" s="248">
        <v>14.970191182721535</v>
      </c>
      <c r="K147" s="248">
        <v>16.291229820401302</v>
      </c>
      <c r="L147" s="248">
        <v>25.893083329895614</v>
      </c>
      <c r="M147" s="248">
        <v>350.6934404029093</v>
      </c>
      <c r="O147" s="245">
        <v>788.957554906339</v>
      </c>
      <c r="P147" s="245">
        <v>21.561806805173884</v>
      </c>
      <c r="Q147" s="245">
        <v>12.242191640936364</v>
      </c>
      <c r="R147" s="245">
        <v>11.279702923581704</v>
      </c>
      <c r="S147" s="245">
        <v>14.47318258135282</v>
      </c>
      <c r="T147" s="245">
        <v>13.578090064921316</v>
      </c>
      <c r="U147" s="245">
        <v>8.720712650314212</v>
      </c>
      <c r="V147" s="245">
        <v>14.970191182721535</v>
      </c>
      <c r="W147" s="245">
        <v>16.291229820401302</v>
      </c>
      <c r="X147" s="245">
        <v>25.893083329895614</v>
      </c>
      <c r="Y147" s="245">
        <v>350.6934404029093</v>
      </c>
    </row>
    <row r="148" ht="15.75" customHeight="1">
      <c r="B148" s="243" t="s">
        <v>373</v>
      </c>
      <c r="C148" s="244">
        <v>0.0</v>
      </c>
      <c r="D148" s="244">
        <v>0.0</v>
      </c>
      <c r="E148" s="244">
        <v>0.0</v>
      </c>
      <c r="F148" s="244">
        <v>0.0</v>
      </c>
      <c r="G148" s="244">
        <v>0.0</v>
      </c>
      <c r="H148" s="244">
        <v>0.0</v>
      </c>
      <c r="I148" s="244">
        <v>0.0</v>
      </c>
      <c r="J148" s="244">
        <v>0.0</v>
      </c>
      <c r="K148" s="244">
        <v>0.0</v>
      </c>
      <c r="L148" s="244">
        <v>0.0</v>
      </c>
      <c r="M148" s="244">
        <v>0.0</v>
      </c>
      <c r="O148" s="245">
        <v>0.0</v>
      </c>
      <c r="P148" s="245">
        <v>0.0</v>
      </c>
      <c r="Q148" s="245">
        <v>0.0</v>
      </c>
      <c r="R148" s="245">
        <v>0.0</v>
      </c>
      <c r="S148" s="245">
        <v>0.0</v>
      </c>
      <c r="T148" s="245">
        <v>0.0</v>
      </c>
      <c r="U148" s="245">
        <v>0.0</v>
      </c>
      <c r="V148" s="245">
        <v>0.0</v>
      </c>
      <c r="W148" s="245">
        <v>0.0</v>
      </c>
      <c r="X148" s="245">
        <v>0.0</v>
      </c>
      <c r="Y148" s="245">
        <v>0.0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8:Y32">
    <cfRule type="cellIs" dxfId="5" priority="1" operator="lessThan">
      <formula>0</formula>
    </cfRule>
  </conditionalFormatting>
  <conditionalFormatting sqref="O8:Y32">
    <cfRule type="cellIs" dxfId="6" priority="2" operator="greaterThan">
      <formula>0</formula>
    </cfRule>
  </conditionalFormatting>
  <conditionalFormatting sqref="O37:Y61">
    <cfRule type="cellIs" dxfId="5" priority="3" operator="lessThan">
      <formula>0</formula>
    </cfRule>
  </conditionalFormatting>
  <conditionalFormatting sqref="O37:Y61">
    <cfRule type="cellIs" dxfId="6" priority="4" operator="greaterThan">
      <formula>0</formula>
    </cfRule>
  </conditionalFormatting>
  <conditionalFormatting sqref="O66:Y90">
    <cfRule type="cellIs" dxfId="5" priority="5" operator="lessThan">
      <formula>0</formula>
    </cfRule>
  </conditionalFormatting>
  <conditionalFormatting sqref="O66:Y90">
    <cfRule type="cellIs" dxfId="6" priority="6" operator="greaterThan">
      <formula>0</formula>
    </cfRule>
  </conditionalFormatting>
  <conditionalFormatting sqref="O95:Y119">
    <cfRule type="cellIs" dxfId="5" priority="7" operator="lessThan">
      <formula>0</formula>
    </cfRule>
  </conditionalFormatting>
  <conditionalFormatting sqref="O95:Y119">
    <cfRule type="cellIs" dxfId="6" priority="8" operator="greaterThan">
      <formula>0</formula>
    </cfRule>
  </conditionalFormatting>
  <conditionalFormatting sqref="O124:Y148">
    <cfRule type="cellIs" dxfId="5" priority="9" operator="lessThan">
      <formula>0</formula>
    </cfRule>
  </conditionalFormatting>
  <conditionalFormatting sqref="O124:Y148">
    <cfRule type="cellIs" dxfId="6" priority="10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0.88"/>
    <col customWidth="1" min="3" max="3" width="15.38"/>
    <col customWidth="1" min="4" max="38" width="5.75"/>
    <col customWidth="1" min="39" max="39" width="7.63"/>
    <col customWidth="1" min="40" max="40" width="18.38"/>
  </cols>
  <sheetData>
    <row r="1">
      <c r="B1" s="250" t="s">
        <v>382</v>
      </c>
    </row>
    <row r="3">
      <c r="B3" s="235" t="s">
        <v>136</v>
      </c>
      <c r="C3" s="251" t="s">
        <v>137</v>
      </c>
      <c r="D3" s="237"/>
    </row>
    <row r="4">
      <c r="B4" s="235" t="s">
        <v>334</v>
      </c>
      <c r="C4" s="252" t="s">
        <v>52</v>
      </c>
    </row>
    <row r="5">
      <c r="B5" s="235" t="s">
        <v>356</v>
      </c>
      <c r="C5" s="251" t="s">
        <v>383</v>
      </c>
    </row>
    <row r="7">
      <c r="D7" s="223" t="s">
        <v>384</v>
      </c>
      <c r="E7" s="223"/>
      <c r="F7" s="223"/>
      <c r="G7" s="223"/>
      <c r="H7" s="223"/>
      <c r="I7" s="223"/>
      <c r="J7" s="223"/>
      <c r="K7" s="223"/>
      <c r="L7" s="223"/>
      <c r="M7" s="223"/>
      <c r="N7" s="223"/>
      <c r="P7" s="224" t="s">
        <v>385</v>
      </c>
      <c r="Q7" s="224"/>
      <c r="R7" s="224"/>
      <c r="S7" s="224"/>
      <c r="T7" s="224"/>
      <c r="U7" s="224"/>
      <c r="V7" s="224"/>
      <c r="W7" s="224"/>
      <c r="X7" s="224"/>
      <c r="Y7" s="224"/>
      <c r="Z7" s="224"/>
      <c r="AB7" s="225" t="s">
        <v>386</v>
      </c>
      <c r="AC7" s="225"/>
      <c r="AD7" s="225"/>
      <c r="AE7" s="225"/>
      <c r="AF7" s="225"/>
      <c r="AG7" s="225"/>
      <c r="AH7" s="225"/>
      <c r="AI7" s="225"/>
      <c r="AJ7" s="225"/>
      <c r="AK7" s="225"/>
      <c r="AL7" s="225"/>
    </row>
    <row r="8">
      <c r="B8" s="134" t="s">
        <v>61</v>
      </c>
      <c r="C8" s="134" t="s">
        <v>387</v>
      </c>
      <c r="D8" s="253" t="s">
        <v>357</v>
      </c>
      <c r="E8" s="253" t="s">
        <v>9</v>
      </c>
      <c r="F8" s="253" t="s">
        <v>10</v>
      </c>
      <c r="G8" s="253" t="s">
        <v>11</v>
      </c>
      <c r="H8" s="253" t="s">
        <v>6</v>
      </c>
      <c r="I8" s="253" t="s">
        <v>7</v>
      </c>
      <c r="J8" s="253" t="s">
        <v>8</v>
      </c>
      <c r="K8" s="253" t="s">
        <v>358</v>
      </c>
      <c r="L8" s="253" t="s">
        <v>359</v>
      </c>
      <c r="M8" s="253" t="s">
        <v>360</v>
      </c>
      <c r="N8" s="253" t="s">
        <v>12</v>
      </c>
      <c r="P8" s="254" t="s">
        <v>357</v>
      </c>
      <c r="Q8" s="254" t="s">
        <v>9</v>
      </c>
      <c r="R8" s="254" t="s">
        <v>10</v>
      </c>
      <c r="S8" s="254" t="s">
        <v>11</v>
      </c>
      <c r="T8" s="254" t="s">
        <v>6</v>
      </c>
      <c r="U8" s="254" t="s">
        <v>7</v>
      </c>
      <c r="V8" s="254" t="s">
        <v>8</v>
      </c>
      <c r="W8" s="254" t="s">
        <v>358</v>
      </c>
      <c r="X8" s="254" t="s">
        <v>359</v>
      </c>
      <c r="Y8" s="254" t="s">
        <v>360</v>
      </c>
      <c r="Z8" s="254" t="s">
        <v>12</v>
      </c>
      <c r="AB8" s="255" t="s">
        <v>357</v>
      </c>
      <c r="AC8" s="255" t="s">
        <v>9</v>
      </c>
      <c r="AD8" s="255" t="s">
        <v>10</v>
      </c>
      <c r="AE8" s="255" t="s">
        <v>11</v>
      </c>
      <c r="AF8" s="255" t="s">
        <v>6</v>
      </c>
      <c r="AG8" s="255" t="s">
        <v>7</v>
      </c>
      <c r="AH8" s="255" t="s">
        <v>8</v>
      </c>
      <c r="AI8" s="255" t="s">
        <v>358</v>
      </c>
      <c r="AJ8" s="255" t="s">
        <v>359</v>
      </c>
      <c r="AK8" s="255" t="s">
        <v>360</v>
      </c>
      <c r="AL8" s="255" t="s">
        <v>12</v>
      </c>
    </row>
    <row r="9">
      <c r="B9" s="256">
        <v>1.0</v>
      </c>
      <c r="C9" s="256" t="s">
        <v>388</v>
      </c>
      <c r="D9" s="257">
        <f>LET(payer,$C$3, segment,$C$4, source,$C$5, ECOGAINS_DAILY(payer, segment, source, "CURRENT"))</f>
        <v>15.3243733</v>
      </c>
      <c r="E9" s="257">
        <v>0.19192365462309743</v>
      </c>
      <c r="F9" s="257">
        <v>0.17465874038543414</v>
      </c>
      <c r="G9" s="257">
        <v>0.09917457816539639</v>
      </c>
      <c r="H9" s="257">
        <v>0.23758883299508168</v>
      </c>
      <c r="I9" s="257">
        <v>0.25787536928395627</v>
      </c>
      <c r="J9" s="257">
        <v>0.11473348622033686</v>
      </c>
      <c r="K9" s="257">
        <v>0.9301313207350073</v>
      </c>
      <c r="L9" s="257">
        <v>1.1422511295462563</v>
      </c>
      <c r="M9" s="257">
        <v>1.2157134958198414</v>
      </c>
      <c r="N9" s="257">
        <v>15.326880252169598</v>
      </c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B9" s="258"/>
      <c r="AC9" s="258"/>
      <c r="AD9" s="258"/>
      <c r="AE9" s="258"/>
      <c r="AF9" s="258"/>
      <c r="AG9" s="258"/>
      <c r="AH9" s="258"/>
      <c r="AI9" s="258"/>
      <c r="AJ9" s="258"/>
      <c r="AK9" s="258"/>
      <c r="AL9" s="258"/>
    </row>
    <row r="10">
      <c r="B10" s="256">
        <v>2.0</v>
      </c>
      <c r="C10" s="256" t="s">
        <v>389</v>
      </c>
      <c r="D10" s="257">
        <v>17.59346781134051</v>
      </c>
      <c r="E10" s="257">
        <v>0.26135659619565255</v>
      </c>
      <c r="F10" s="257">
        <v>0.22100671382094103</v>
      </c>
      <c r="G10" s="257">
        <v>0.10369138192109574</v>
      </c>
      <c r="H10" s="257">
        <v>0.24828232882784784</v>
      </c>
      <c r="I10" s="257">
        <v>0.30403605483940904</v>
      </c>
      <c r="J10" s="257">
        <v>0.11480955902497017</v>
      </c>
      <c r="K10" s="257">
        <v>1.3351253795887235</v>
      </c>
      <c r="L10" s="257">
        <v>1.6894112541978052</v>
      </c>
      <c r="M10" s="257">
        <v>1.7627731584027668</v>
      </c>
      <c r="N10" s="257">
        <v>17.12205452599163</v>
      </c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B10" s="258"/>
      <c r="AC10" s="258"/>
      <c r="AD10" s="258"/>
      <c r="AE10" s="258"/>
      <c r="AF10" s="258"/>
      <c r="AG10" s="258"/>
      <c r="AH10" s="258"/>
      <c r="AI10" s="258"/>
      <c r="AJ10" s="258"/>
      <c r="AK10" s="258"/>
      <c r="AL10" s="258"/>
    </row>
    <row r="11">
      <c r="B11" s="256">
        <v>3.0</v>
      </c>
      <c r="C11" s="256" t="s">
        <v>390</v>
      </c>
      <c r="D11" s="257">
        <v>15.114935920928911</v>
      </c>
      <c r="E11" s="257">
        <v>0.18417602176956124</v>
      </c>
      <c r="F11" s="257">
        <v>0.1677695115374791</v>
      </c>
      <c r="G11" s="257">
        <v>0.09586492744148982</v>
      </c>
      <c r="H11" s="257">
        <v>0.23829656436640204</v>
      </c>
      <c r="I11" s="257">
        <v>0.29112748903619895</v>
      </c>
      <c r="J11" s="257">
        <v>0.1123220201942348</v>
      </c>
      <c r="K11" s="257">
        <v>1.2611922457330917</v>
      </c>
      <c r="L11" s="257">
        <v>1.6098379183446145</v>
      </c>
      <c r="M11" s="257">
        <v>1.6867249260784032</v>
      </c>
      <c r="N11" s="257">
        <v>15.807321590022466</v>
      </c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7"/>
      <c r="AB11" s="258"/>
      <c r="AC11" s="258"/>
      <c r="AD11" s="258"/>
      <c r="AE11" s="258"/>
      <c r="AF11" s="258"/>
      <c r="AG11" s="258"/>
      <c r="AH11" s="258"/>
      <c r="AI11" s="258"/>
      <c r="AJ11" s="258"/>
      <c r="AK11" s="258"/>
      <c r="AL11" s="258"/>
    </row>
    <row r="12">
      <c r="B12" s="256">
        <v>4.0</v>
      </c>
      <c r="C12" s="256" t="s">
        <v>391</v>
      </c>
      <c r="D12" s="257">
        <v>25.05996919588734</v>
      </c>
      <c r="E12" s="257">
        <v>0.31931149803453746</v>
      </c>
      <c r="F12" s="257">
        <v>0.296543184114624</v>
      </c>
      <c r="G12" s="257">
        <v>0.16764154693670308</v>
      </c>
      <c r="H12" s="257">
        <v>0.28442079064188946</v>
      </c>
      <c r="I12" s="257">
        <v>0.2708965340104392</v>
      </c>
      <c r="J12" s="257">
        <v>0.1808579866920738</v>
      </c>
      <c r="K12" s="257">
        <v>0.5789985591159803</v>
      </c>
      <c r="L12" s="257">
        <v>0.699446462161764</v>
      </c>
      <c r="M12" s="257">
        <v>0.8113547048988278</v>
      </c>
      <c r="N12" s="257">
        <v>17.42950485760175</v>
      </c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  <c r="AB12" s="258"/>
      <c r="AC12" s="258"/>
      <c r="AD12" s="258"/>
      <c r="AE12" s="258"/>
      <c r="AF12" s="258"/>
      <c r="AG12" s="258"/>
      <c r="AH12" s="258"/>
      <c r="AI12" s="258"/>
      <c r="AJ12" s="258"/>
      <c r="AK12" s="258"/>
      <c r="AL12" s="258"/>
    </row>
    <row r="13">
      <c r="B13" s="256">
        <v>5.0</v>
      </c>
      <c r="C13" s="256" t="s">
        <v>392</v>
      </c>
      <c r="D13" s="257">
        <v>17.051424077432426</v>
      </c>
      <c r="E13" s="257">
        <v>0.26350319032740815</v>
      </c>
      <c r="F13" s="257">
        <v>0.2524033672703217</v>
      </c>
      <c r="G13" s="257">
        <v>0.1037783251376949</v>
      </c>
      <c r="H13" s="257">
        <v>0.3170792111353092</v>
      </c>
      <c r="I13" s="257">
        <v>0.27460894808164127</v>
      </c>
      <c r="J13" s="257">
        <v>0.1458570970958184</v>
      </c>
      <c r="K13" s="257">
        <v>0.5789985591159803</v>
      </c>
      <c r="L13" s="257">
        <v>0.7083911425913167</v>
      </c>
      <c r="M13" s="257">
        <v>0.8478639310079675</v>
      </c>
      <c r="N13" s="257">
        <v>20.147403737052947</v>
      </c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B13" s="258"/>
      <c r="AC13" s="258"/>
      <c r="AD13" s="258"/>
      <c r="AE13" s="258"/>
      <c r="AF13" s="258"/>
      <c r="AG13" s="258"/>
      <c r="AH13" s="258"/>
      <c r="AI13" s="258"/>
      <c r="AJ13" s="258"/>
      <c r="AK13" s="258"/>
      <c r="AL13" s="258"/>
    </row>
    <row r="14">
      <c r="B14" s="256">
        <v>6.0</v>
      </c>
      <c r="C14" s="256" t="s">
        <v>393</v>
      </c>
      <c r="D14" s="257">
        <v>15.347026214763286</v>
      </c>
      <c r="E14" s="257">
        <v>0.1966811415534334</v>
      </c>
      <c r="F14" s="257">
        <v>0.19493321383053985</v>
      </c>
      <c r="G14" s="257">
        <v>0.1004107255665858</v>
      </c>
      <c r="H14" s="257">
        <v>0.2888078533394532</v>
      </c>
      <c r="I14" s="257">
        <v>0.25902798749836203</v>
      </c>
      <c r="J14" s="257">
        <v>0.13543643533362162</v>
      </c>
      <c r="K14" s="257">
        <v>0.6088789785144608</v>
      </c>
      <c r="L14" s="257">
        <v>0.7207015349386955</v>
      </c>
      <c r="M14" s="257">
        <v>0.8327687091385557</v>
      </c>
      <c r="N14" s="257">
        <v>18.296237490623245</v>
      </c>
      <c r="P14" s="257"/>
      <c r="Q14" s="257"/>
      <c r="R14" s="257"/>
      <c r="S14" s="257"/>
      <c r="T14" s="257"/>
      <c r="U14" s="257"/>
      <c r="V14" s="257"/>
      <c r="W14" s="257"/>
      <c r="X14" s="257"/>
      <c r="Y14" s="257"/>
      <c r="Z14" s="257"/>
      <c r="AB14" s="258"/>
      <c r="AC14" s="258"/>
      <c r="AD14" s="258"/>
      <c r="AE14" s="258"/>
      <c r="AF14" s="258"/>
      <c r="AG14" s="258"/>
      <c r="AH14" s="258"/>
      <c r="AI14" s="258"/>
      <c r="AJ14" s="258"/>
      <c r="AK14" s="258"/>
      <c r="AL14" s="258"/>
    </row>
    <row r="15">
      <c r="B15" s="256">
        <v>7.0</v>
      </c>
      <c r="C15" s="256" t="s">
        <v>394</v>
      </c>
      <c r="D15" s="257">
        <v>15.124386111577213</v>
      </c>
      <c r="E15" s="257">
        <v>0.1918781989422795</v>
      </c>
      <c r="F15" s="257">
        <v>0.17468834038543413</v>
      </c>
      <c r="G15" s="257">
        <v>0.0991461683648852</v>
      </c>
      <c r="H15" s="257">
        <v>0.23161690576448216</v>
      </c>
      <c r="I15" s="257">
        <v>0.24301668386645098</v>
      </c>
      <c r="J15" s="257">
        <v>0.1147255583799279</v>
      </c>
      <c r="K15" s="257">
        <v>0.6126677785144607</v>
      </c>
      <c r="L15" s="257">
        <v>0.7234158589050037</v>
      </c>
      <c r="M15" s="257">
        <v>0.8746408388915695</v>
      </c>
      <c r="N15" s="257">
        <v>14.994570610128763</v>
      </c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B15" s="258"/>
      <c r="AC15" s="258"/>
      <c r="AD15" s="258"/>
      <c r="AE15" s="258"/>
      <c r="AF15" s="258"/>
      <c r="AG15" s="258"/>
      <c r="AH15" s="258"/>
      <c r="AI15" s="258"/>
      <c r="AJ15" s="258"/>
      <c r="AK15" s="258"/>
      <c r="AL15" s="258"/>
    </row>
    <row r="16">
      <c r="B16" s="256">
        <v>8.0</v>
      </c>
      <c r="C16" s="256" t="s">
        <v>388</v>
      </c>
      <c r="D16" s="257">
        <v>15.450408511577212</v>
      </c>
      <c r="E16" s="257">
        <v>0.1918781989422795</v>
      </c>
      <c r="F16" s="257">
        <v>0.17473044038543412</v>
      </c>
      <c r="G16" s="257">
        <v>0.0991461683648852</v>
      </c>
      <c r="H16" s="257">
        <v>0.23502700576448218</v>
      </c>
      <c r="I16" s="257">
        <v>0.27385493386645093</v>
      </c>
      <c r="J16" s="257">
        <v>0.1147466083799279</v>
      </c>
      <c r="K16" s="257">
        <v>0.6180565785144608</v>
      </c>
      <c r="L16" s="257">
        <v>0.7450411932164506</v>
      </c>
      <c r="M16" s="257">
        <v>1.0067295888915695</v>
      </c>
      <c r="N16" s="257">
        <v>15.854477078751655</v>
      </c>
      <c r="P16" s="257"/>
      <c r="Q16" s="257"/>
      <c r="R16" s="257"/>
      <c r="S16" s="257"/>
      <c r="T16" s="257"/>
      <c r="U16" s="257"/>
      <c r="V16" s="257"/>
      <c r="W16" s="257"/>
      <c r="X16" s="257"/>
      <c r="Y16" s="257"/>
      <c r="Z16" s="257"/>
      <c r="AB16" s="258"/>
      <c r="AC16" s="258"/>
      <c r="AD16" s="258"/>
      <c r="AE16" s="258"/>
      <c r="AF16" s="258"/>
      <c r="AG16" s="258"/>
      <c r="AH16" s="258"/>
      <c r="AI16" s="258"/>
      <c r="AJ16" s="258"/>
      <c r="AK16" s="258"/>
      <c r="AL16" s="258"/>
    </row>
    <row r="17">
      <c r="B17" s="256">
        <v>9.0</v>
      </c>
      <c r="C17" s="256" t="s">
        <v>389</v>
      </c>
      <c r="D17" s="257">
        <v>17.139848996207387</v>
      </c>
      <c r="E17" s="257">
        <v>0.2567359981238877</v>
      </c>
      <c r="F17" s="257">
        <v>0.21373567856253584</v>
      </c>
      <c r="G17" s="257">
        <v>0.10294485653452949</v>
      </c>
      <c r="H17" s="257">
        <v>0.23933515718564197</v>
      </c>
      <c r="I17" s="257">
        <v>0.2772692992310627</v>
      </c>
      <c r="J17" s="257">
        <v>0.11955711811210223</v>
      </c>
      <c r="K17" s="257">
        <v>0.6178952985144608</v>
      </c>
      <c r="L17" s="257">
        <v>0.7443871989050037</v>
      </c>
      <c r="M17" s="257">
        <v>1.0027763388915696</v>
      </c>
      <c r="N17" s="257">
        <v>20.444068534414907</v>
      </c>
      <c r="P17" s="257"/>
      <c r="Q17" s="257"/>
      <c r="R17" s="257"/>
      <c r="S17" s="257"/>
      <c r="T17" s="257"/>
      <c r="U17" s="257"/>
      <c r="V17" s="257"/>
      <c r="W17" s="257"/>
      <c r="X17" s="257"/>
      <c r="Y17" s="257"/>
      <c r="Z17" s="257"/>
      <c r="AB17" s="258"/>
      <c r="AC17" s="258"/>
      <c r="AD17" s="258"/>
      <c r="AE17" s="258"/>
      <c r="AF17" s="258"/>
      <c r="AG17" s="258"/>
      <c r="AH17" s="258"/>
      <c r="AI17" s="258"/>
      <c r="AJ17" s="258"/>
      <c r="AK17" s="258"/>
      <c r="AL17" s="258"/>
    </row>
    <row r="18">
      <c r="B18" s="256">
        <v>10.0</v>
      </c>
      <c r="C18" s="256" t="s">
        <v>390</v>
      </c>
      <c r="D18" s="257">
        <v>14.42233565277401</v>
      </c>
      <c r="E18" s="257">
        <v>0.18407949460259798</v>
      </c>
      <c r="F18" s="257">
        <v>0.1677977715374791</v>
      </c>
      <c r="G18" s="257">
        <v>0.09580459796213776</v>
      </c>
      <c r="H18" s="257">
        <v>0.2228125597492881</v>
      </c>
      <c r="I18" s="257">
        <v>0.23423216269359223</v>
      </c>
      <c r="J18" s="257">
        <v>0.11228788661075317</v>
      </c>
      <c r="K18" s="257">
        <v>0.5826158391159802</v>
      </c>
      <c r="L18" s="257">
        <v>0.7026718404916052</v>
      </c>
      <c r="M18" s="257">
        <v>0.8538940766634501</v>
      </c>
      <c r="N18" s="257">
        <v>14.395034783534042</v>
      </c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257"/>
      <c r="AB18" s="258"/>
      <c r="AC18" s="258"/>
      <c r="AD18" s="258"/>
      <c r="AE18" s="258"/>
      <c r="AF18" s="258"/>
      <c r="AG18" s="258"/>
      <c r="AH18" s="258"/>
      <c r="AI18" s="258"/>
      <c r="AJ18" s="258"/>
      <c r="AK18" s="258"/>
      <c r="AL18" s="258"/>
    </row>
    <row r="19">
      <c r="B19" s="256">
        <v>11.0</v>
      </c>
      <c r="C19" s="256" t="s">
        <v>391</v>
      </c>
      <c r="D19" s="257">
        <v>14.612189255134059</v>
      </c>
      <c r="E19" s="257">
        <v>0.18842364361219294</v>
      </c>
      <c r="F19" s="257">
        <v>0.18610729752977423</v>
      </c>
      <c r="G19" s="257">
        <v>0.09694836030953423</v>
      </c>
      <c r="H19" s="257">
        <v>0.2744199442601713</v>
      </c>
      <c r="I19" s="257">
        <v>0.24762442228805248</v>
      </c>
      <c r="J19" s="257">
        <v>0.1310196456002414</v>
      </c>
      <c r="K19" s="257">
        <v>0.5789985591159803</v>
      </c>
      <c r="L19" s="257">
        <v>0.699446462161764</v>
      </c>
      <c r="M19" s="257">
        <v>0.8113547048988278</v>
      </c>
      <c r="N19" s="257">
        <v>17.350920007834507</v>
      </c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7"/>
      <c r="AB19" s="258"/>
      <c r="AC19" s="258"/>
      <c r="AD19" s="258"/>
      <c r="AE19" s="258"/>
      <c r="AF19" s="258"/>
      <c r="AG19" s="258"/>
      <c r="AH19" s="258"/>
      <c r="AI19" s="258"/>
      <c r="AJ19" s="258"/>
      <c r="AK19" s="258"/>
      <c r="AL19" s="258"/>
    </row>
    <row r="20">
      <c r="B20" s="256">
        <v>12.0</v>
      </c>
      <c r="C20" s="256" t="s">
        <v>392</v>
      </c>
      <c r="D20" s="257">
        <v>14.935676299184436</v>
      </c>
      <c r="E20" s="257">
        <v>0.19186205617590585</v>
      </c>
      <c r="F20" s="257">
        <v>0.20062173375360565</v>
      </c>
      <c r="G20" s="257">
        <v>0.09785365311061069</v>
      </c>
      <c r="H20" s="257">
        <v>0.3170792111353092</v>
      </c>
      <c r="I20" s="257">
        <v>0.27460894808164127</v>
      </c>
      <c r="J20" s="257">
        <v>0.1458570970958184</v>
      </c>
      <c r="K20" s="257">
        <v>0.5789985591159803</v>
      </c>
      <c r="L20" s="257">
        <v>0.7083911425913167</v>
      </c>
      <c r="M20" s="257">
        <v>0.8478639310079675</v>
      </c>
      <c r="N20" s="257">
        <v>20.147403737052947</v>
      </c>
      <c r="P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  <c r="AB20" s="258"/>
      <c r="AC20" s="258"/>
      <c r="AD20" s="258"/>
      <c r="AE20" s="258"/>
      <c r="AF20" s="258"/>
      <c r="AG20" s="258"/>
      <c r="AH20" s="258"/>
      <c r="AI20" s="258"/>
      <c r="AJ20" s="258"/>
      <c r="AK20" s="258"/>
      <c r="AL20" s="258"/>
    </row>
    <row r="21" ht="15.75" customHeight="1">
      <c r="B21" s="256">
        <v>13.0</v>
      </c>
      <c r="C21" s="256" t="s">
        <v>393</v>
      </c>
      <c r="D21" s="257">
        <v>26.559732901178858</v>
      </c>
      <c r="E21" s="257">
        <v>0.33715185674598525</v>
      </c>
      <c r="F21" s="257">
        <v>0.31345458496892326</v>
      </c>
      <c r="G21" s="257">
        <v>0.1762796633575295</v>
      </c>
      <c r="H21" s="257">
        <v>0.2995409045455471</v>
      </c>
      <c r="I21" s="257">
        <v>0.2840039502575664</v>
      </c>
      <c r="J21" s="257">
        <v>0.1889236549696775</v>
      </c>
      <c r="K21" s="257">
        <v>0.6088789785144608</v>
      </c>
      <c r="L21" s="257">
        <v>0.7207015349386955</v>
      </c>
      <c r="M21" s="257">
        <v>0.8327687091385557</v>
      </c>
      <c r="N21" s="257">
        <v>18.38057587403416</v>
      </c>
      <c r="P21" s="257"/>
      <c r="Q21" s="257"/>
      <c r="R21" s="257"/>
      <c r="S21" s="257"/>
      <c r="T21" s="257"/>
      <c r="U21" s="257"/>
      <c r="V21" s="257"/>
      <c r="W21" s="257"/>
      <c r="X21" s="257"/>
      <c r="Y21" s="257"/>
      <c r="Z21" s="257"/>
      <c r="AB21" s="258"/>
      <c r="AC21" s="258"/>
      <c r="AD21" s="258"/>
      <c r="AE21" s="258"/>
      <c r="AF21" s="258"/>
      <c r="AG21" s="258"/>
      <c r="AH21" s="258"/>
      <c r="AI21" s="258"/>
      <c r="AJ21" s="258"/>
      <c r="AK21" s="258"/>
      <c r="AL21" s="258"/>
    </row>
    <row r="22" ht="15.75" customHeight="1">
      <c r="B22" s="256">
        <v>14.0</v>
      </c>
      <c r="C22" s="256" t="s">
        <v>394</v>
      </c>
      <c r="D22" s="257">
        <v>17.57109389323253</v>
      </c>
      <c r="E22" s="257">
        <v>0.268807408904089</v>
      </c>
      <c r="F22" s="257">
        <v>0.23023152921319545</v>
      </c>
      <c r="G22" s="257">
        <v>0.10553143686355103</v>
      </c>
      <c r="H22" s="257">
        <v>0.23712219853110664</v>
      </c>
      <c r="I22" s="257">
        <v>0.25583808059568525</v>
      </c>
      <c r="J22" s="257">
        <v>0.11473221905274969</v>
      </c>
      <c r="K22" s="257">
        <v>0.9122202236822693</v>
      </c>
      <c r="L22" s="257">
        <v>1.1180453626145386</v>
      </c>
      <c r="M22" s="257">
        <v>1.1915194650780225</v>
      </c>
      <c r="N22" s="257">
        <v>15.274631734852214</v>
      </c>
      <c r="P22" s="257"/>
      <c r="Q22" s="257"/>
      <c r="R22" s="257"/>
      <c r="S22" s="257"/>
      <c r="T22" s="257"/>
      <c r="U22" s="257"/>
      <c r="V22" s="257"/>
      <c r="W22" s="257"/>
      <c r="X22" s="257"/>
      <c r="Y22" s="257"/>
      <c r="Z22" s="257"/>
      <c r="AB22" s="258"/>
      <c r="AC22" s="258"/>
      <c r="AD22" s="258"/>
      <c r="AE22" s="258"/>
      <c r="AF22" s="258"/>
      <c r="AG22" s="258"/>
      <c r="AH22" s="258"/>
      <c r="AI22" s="258"/>
      <c r="AJ22" s="258"/>
      <c r="AK22" s="258"/>
      <c r="AL22" s="258"/>
    </row>
    <row r="23" ht="15.75" customHeight="1">
      <c r="B23" s="256">
        <v>15.0</v>
      </c>
      <c r="C23" s="256" t="s">
        <v>388</v>
      </c>
      <c r="D23" s="257">
        <v>15.811367881398848</v>
      </c>
      <c r="E23" s="257">
        <v>0.19197523005678424</v>
      </c>
      <c r="F23" s="257">
        <v>0.17465874038543414</v>
      </c>
      <c r="G23" s="257">
        <v>0.09920681281145065</v>
      </c>
      <c r="H23" s="257">
        <v>0.24708515972266623</v>
      </c>
      <c r="I23" s="257">
        <v>0.2993355710389437</v>
      </c>
      <c r="J23" s="257">
        <v>0.11475927393718027</v>
      </c>
      <c r="K23" s="257">
        <v>1.2946342513873526</v>
      </c>
      <c r="L23" s="257">
        <v>1.6347127111755864</v>
      </c>
      <c r="M23" s="257">
        <v>1.708078373511009</v>
      </c>
      <c r="N23" s="257">
        <v>16.389888622030096</v>
      </c>
      <c r="P23" s="257"/>
      <c r="Q23" s="257"/>
      <c r="R23" s="257"/>
      <c r="S23" s="257"/>
      <c r="T23" s="257"/>
      <c r="U23" s="257"/>
      <c r="V23" s="257"/>
      <c r="W23" s="257"/>
      <c r="X23" s="257"/>
      <c r="Y23" s="257"/>
      <c r="Z23" s="257"/>
      <c r="AB23" s="258"/>
      <c r="AC23" s="258"/>
      <c r="AD23" s="258"/>
      <c r="AE23" s="258"/>
      <c r="AF23" s="258"/>
      <c r="AG23" s="258"/>
      <c r="AH23" s="258"/>
      <c r="AI23" s="258"/>
      <c r="AJ23" s="258"/>
      <c r="AK23" s="258"/>
      <c r="AL23" s="258"/>
    </row>
    <row r="24" ht="15.75" customHeight="1">
      <c r="B24" s="256">
        <v>16.0</v>
      </c>
      <c r="C24" s="256" t="s">
        <v>389</v>
      </c>
      <c r="D24" s="257">
        <v>17.705871838514554</v>
      </c>
      <c r="E24" s="257">
        <v>0.2697315259171307</v>
      </c>
      <c r="F24" s="257">
        <v>0.2271847536676807</v>
      </c>
      <c r="G24" s="257">
        <v>0.10423264008774095</v>
      </c>
      <c r="H24" s="257">
        <v>0.2462303206159176</v>
      </c>
      <c r="I24" s="257">
        <v>0.2947567663160435</v>
      </c>
      <c r="J24" s="257">
        <v>0.11483262085817558</v>
      </c>
      <c r="K24" s="257">
        <v>1.253037651144419</v>
      </c>
      <c r="L24" s="257">
        <v>1.578506651840581</v>
      </c>
      <c r="M24" s="257">
        <v>1.6518903342150657</v>
      </c>
      <c r="N24" s="257">
        <v>17.256518194089274</v>
      </c>
      <c r="P24" s="257"/>
      <c r="Q24" s="257"/>
      <c r="R24" s="257"/>
      <c r="S24" s="257"/>
      <c r="T24" s="257"/>
      <c r="U24" s="257"/>
      <c r="V24" s="257"/>
      <c r="W24" s="257"/>
      <c r="X24" s="257"/>
      <c r="Y24" s="257"/>
      <c r="Z24" s="257"/>
      <c r="AB24" s="258"/>
      <c r="AC24" s="258"/>
      <c r="AD24" s="258"/>
      <c r="AE24" s="258"/>
      <c r="AF24" s="258"/>
      <c r="AG24" s="258"/>
      <c r="AH24" s="258"/>
      <c r="AI24" s="258"/>
      <c r="AJ24" s="258"/>
      <c r="AK24" s="258"/>
      <c r="AL24" s="258"/>
    </row>
    <row r="25" ht="15.75" customHeight="1">
      <c r="B25" s="256">
        <v>17.0</v>
      </c>
      <c r="C25" s="256" t="s">
        <v>390</v>
      </c>
      <c r="D25" s="257">
        <v>14.642848778903065</v>
      </c>
      <c r="E25" s="257">
        <v>0.18412602511702142</v>
      </c>
      <c r="F25" s="257">
        <v>0.1677695115374791</v>
      </c>
      <c r="G25" s="257">
        <v>0.09583367953365242</v>
      </c>
      <c r="H25" s="257">
        <v>0.22909093071750455</v>
      </c>
      <c r="I25" s="257">
        <v>0.2509364299757375</v>
      </c>
      <c r="J25" s="257">
        <v>0.1122970218679649</v>
      </c>
      <c r="K25" s="257">
        <v>0.9078471534893613</v>
      </c>
      <c r="L25" s="257">
        <v>1.1324511311495484</v>
      </c>
      <c r="M25" s="257">
        <v>1.209431882606849</v>
      </c>
      <c r="N25" s="257">
        <v>14.77685308368702</v>
      </c>
      <c r="P25" s="257"/>
      <c r="Q25" s="257"/>
      <c r="R25" s="257"/>
      <c r="S25" s="257"/>
      <c r="T25" s="257"/>
      <c r="U25" s="257"/>
      <c r="V25" s="257"/>
      <c r="W25" s="257"/>
      <c r="X25" s="257"/>
      <c r="Y25" s="257"/>
      <c r="Z25" s="257"/>
      <c r="AB25" s="258"/>
      <c r="AC25" s="258"/>
      <c r="AD25" s="258"/>
      <c r="AE25" s="258"/>
      <c r="AF25" s="258"/>
      <c r="AG25" s="258"/>
      <c r="AH25" s="258"/>
      <c r="AI25" s="258"/>
      <c r="AJ25" s="258"/>
      <c r="AK25" s="258"/>
      <c r="AL25" s="258"/>
    </row>
    <row r="26" ht="15.75" customHeight="1">
      <c r="B26" s="256">
        <v>18.0</v>
      </c>
      <c r="C26" s="256" t="s">
        <v>391</v>
      </c>
      <c r="D26" s="257">
        <v>14.612189255134059</v>
      </c>
      <c r="E26" s="257">
        <v>0.18842364361219294</v>
      </c>
      <c r="F26" s="257">
        <v>0.18610729752977423</v>
      </c>
      <c r="G26" s="257">
        <v>0.09694836030953423</v>
      </c>
      <c r="H26" s="257">
        <v>0.2744199442601713</v>
      </c>
      <c r="I26" s="257">
        <v>0.24762442228805248</v>
      </c>
      <c r="J26" s="257">
        <v>0.1310196456002414</v>
      </c>
      <c r="K26" s="257">
        <v>0.5789985591159803</v>
      </c>
      <c r="L26" s="257">
        <v>0.699446462161764</v>
      </c>
      <c r="M26" s="257">
        <v>0.8113547048988278</v>
      </c>
      <c r="N26" s="257">
        <v>17.350920007834507</v>
      </c>
      <c r="P26" s="257"/>
      <c r="Q26" s="257"/>
      <c r="R26" s="257"/>
      <c r="S26" s="257"/>
      <c r="T26" s="257"/>
      <c r="U26" s="257"/>
      <c r="V26" s="257"/>
      <c r="W26" s="257"/>
      <c r="X26" s="257"/>
      <c r="Y26" s="257"/>
      <c r="Z26" s="257"/>
      <c r="AB26" s="258"/>
      <c r="AC26" s="258"/>
      <c r="AD26" s="258"/>
      <c r="AE26" s="258"/>
      <c r="AF26" s="258"/>
      <c r="AG26" s="258"/>
      <c r="AH26" s="258"/>
      <c r="AI26" s="258"/>
      <c r="AJ26" s="258"/>
      <c r="AK26" s="258"/>
      <c r="AL26" s="258"/>
    </row>
    <row r="27" ht="15.75" customHeight="1">
      <c r="B27" s="256">
        <v>19.0</v>
      </c>
      <c r="C27" s="256" t="s">
        <v>392</v>
      </c>
      <c r="D27" s="257">
        <v>14.935676299184436</v>
      </c>
      <c r="E27" s="257">
        <v>0.19186205617590585</v>
      </c>
      <c r="F27" s="257">
        <v>0.20062173375360565</v>
      </c>
      <c r="G27" s="257">
        <v>0.09785365311061069</v>
      </c>
      <c r="H27" s="257">
        <v>0.3170792111353092</v>
      </c>
      <c r="I27" s="257">
        <v>0.27460894808164127</v>
      </c>
      <c r="J27" s="257">
        <v>0.1458570970958184</v>
      </c>
      <c r="K27" s="257">
        <v>0.5789985591159803</v>
      </c>
      <c r="L27" s="257">
        <v>0.7083911425913167</v>
      </c>
      <c r="M27" s="257">
        <v>0.8478639310079675</v>
      </c>
      <c r="N27" s="257">
        <v>20.147403737052947</v>
      </c>
      <c r="P27" s="257"/>
      <c r="Q27" s="257"/>
      <c r="R27" s="257"/>
      <c r="S27" s="257"/>
      <c r="T27" s="257"/>
      <c r="U27" s="257"/>
      <c r="V27" s="257"/>
      <c r="W27" s="257"/>
      <c r="X27" s="257"/>
      <c r="Y27" s="257"/>
      <c r="Z27" s="257"/>
      <c r="AB27" s="258"/>
      <c r="AC27" s="258"/>
      <c r="AD27" s="258"/>
      <c r="AE27" s="258"/>
      <c r="AF27" s="258"/>
      <c r="AG27" s="258"/>
      <c r="AH27" s="258"/>
      <c r="AI27" s="258"/>
      <c r="AJ27" s="258"/>
      <c r="AK27" s="258"/>
      <c r="AL27" s="258"/>
    </row>
    <row r="28" ht="15.75" customHeight="1">
      <c r="B28" s="256">
        <v>20.0</v>
      </c>
      <c r="C28" s="256" t="s">
        <v>393</v>
      </c>
      <c r="D28" s="257">
        <v>26.559732901178858</v>
      </c>
      <c r="E28" s="257">
        <v>0.33715185674598525</v>
      </c>
      <c r="F28" s="257">
        <v>0.31345458496892326</v>
      </c>
      <c r="G28" s="257">
        <v>0.1762796633575295</v>
      </c>
      <c r="H28" s="257">
        <v>0.2995409045455471</v>
      </c>
      <c r="I28" s="257">
        <v>0.2840039502575664</v>
      </c>
      <c r="J28" s="257">
        <v>0.1889236549696775</v>
      </c>
      <c r="K28" s="257">
        <v>0.6088789785144608</v>
      </c>
      <c r="L28" s="257">
        <v>0.7207015349386955</v>
      </c>
      <c r="M28" s="257">
        <v>0.8327687091385557</v>
      </c>
      <c r="N28" s="257">
        <v>18.38057587403416</v>
      </c>
      <c r="P28" s="257"/>
      <c r="Q28" s="257"/>
      <c r="R28" s="257"/>
      <c r="S28" s="257"/>
      <c r="T28" s="257"/>
      <c r="U28" s="257"/>
      <c r="V28" s="257"/>
      <c r="W28" s="257"/>
      <c r="X28" s="257"/>
      <c r="Y28" s="257"/>
      <c r="Z28" s="257"/>
      <c r="AB28" s="258"/>
      <c r="AC28" s="258"/>
      <c r="AD28" s="258"/>
      <c r="AE28" s="258"/>
      <c r="AF28" s="258"/>
      <c r="AG28" s="258"/>
      <c r="AH28" s="258"/>
      <c r="AI28" s="258"/>
      <c r="AJ28" s="258"/>
      <c r="AK28" s="258"/>
      <c r="AL28" s="258"/>
    </row>
    <row r="29" ht="15.75" customHeight="1">
      <c r="B29" s="256">
        <v>21.0</v>
      </c>
      <c r="C29" s="256" t="s">
        <v>394</v>
      </c>
      <c r="D29" s="257">
        <v>17.514886052161216</v>
      </c>
      <c r="E29" s="257">
        <v>0.2687950475584454</v>
      </c>
      <c r="F29" s="257">
        <v>0.23024680921319546</v>
      </c>
      <c r="G29" s="257">
        <v>0.1055198910225238</v>
      </c>
      <c r="H29" s="257">
        <v>0.23313098576448218</v>
      </c>
      <c r="I29" s="257">
        <v>0.25820532386645095</v>
      </c>
      <c r="J29" s="257">
        <v>0.1147260383799279</v>
      </c>
      <c r="K29" s="257">
        <v>0.9149679385144609</v>
      </c>
      <c r="L29" s="257">
        <v>1.0908732989050038</v>
      </c>
      <c r="M29" s="257">
        <v>1.1848113988915694</v>
      </c>
      <c r="N29" s="257">
        <v>15.095483490128764</v>
      </c>
      <c r="P29" s="257"/>
      <c r="Q29" s="257"/>
      <c r="R29" s="257"/>
      <c r="S29" s="257"/>
      <c r="T29" s="257"/>
      <c r="U29" s="257"/>
      <c r="V29" s="257"/>
      <c r="W29" s="257"/>
      <c r="X29" s="257"/>
      <c r="Y29" s="257"/>
      <c r="Z29" s="257"/>
      <c r="AB29" s="258"/>
      <c r="AC29" s="258"/>
      <c r="AD29" s="258"/>
      <c r="AE29" s="258"/>
      <c r="AF29" s="258"/>
      <c r="AG29" s="258"/>
      <c r="AH29" s="258"/>
      <c r="AI29" s="258"/>
      <c r="AJ29" s="258"/>
      <c r="AK29" s="258"/>
      <c r="AL29" s="258"/>
    </row>
    <row r="30" ht="15.75" customHeight="1">
      <c r="B30" s="256">
        <v>22.0</v>
      </c>
      <c r="C30" s="256" t="s">
        <v>388</v>
      </c>
      <c r="D30" s="257">
        <v>15.712557811577213</v>
      </c>
      <c r="E30" s="257">
        <v>0.1919497589422795</v>
      </c>
      <c r="F30" s="257">
        <v>0.17469452038543412</v>
      </c>
      <c r="G30" s="257">
        <v>0.09918194836488518</v>
      </c>
      <c r="H30" s="257">
        <v>0.23837898576448216</v>
      </c>
      <c r="I30" s="257">
        <v>0.307671823866451</v>
      </c>
      <c r="J30" s="257">
        <v>0.1147465383799279</v>
      </c>
      <c r="K30" s="257">
        <v>1.325623938514461</v>
      </c>
      <c r="L30" s="257">
        <v>1.6042617832164507</v>
      </c>
      <c r="M30" s="257">
        <v>1.7255398988915696</v>
      </c>
      <c r="N30" s="257">
        <v>16.042002958751656</v>
      </c>
      <c r="P30" s="257"/>
      <c r="Q30" s="257"/>
      <c r="R30" s="257"/>
      <c r="S30" s="257"/>
      <c r="T30" s="257"/>
      <c r="U30" s="257"/>
      <c r="V30" s="257"/>
      <c r="W30" s="257"/>
      <c r="X30" s="257"/>
      <c r="Y30" s="257"/>
      <c r="Z30" s="257"/>
      <c r="AB30" s="258"/>
      <c r="AC30" s="258"/>
      <c r="AD30" s="258"/>
      <c r="AE30" s="258"/>
      <c r="AF30" s="258"/>
      <c r="AG30" s="258"/>
      <c r="AH30" s="258"/>
      <c r="AI30" s="258"/>
      <c r="AJ30" s="258"/>
      <c r="AK30" s="258"/>
      <c r="AL30" s="258"/>
    </row>
    <row r="31" ht="15.75" customHeight="1">
      <c r="B31" s="256">
        <v>23.0</v>
      </c>
      <c r="C31" s="256" t="s">
        <v>389</v>
      </c>
      <c r="D31" s="257">
        <v>17.389367636207385</v>
      </c>
      <c r="E31" s="257">
        <v>0.2568055981238877</v>
      </c>
      <c r="F31" s="257">
        <v>0.21370003856253583</v>
      </c>
      <c r="G31" s="257">
        <v>0.10297965653452949</v>
      </c>
      <c r="H31" s="257">
        <v>0.24253831718564198</v>
      </c>
      <c r="I31" s="257">
        <v>0.3096443992310627</v>
      </c>
      <c r="J31" s="257">
        <v>0.11955669811210222</v>
      </c>
      <c r="K31" s="257">
        <v>1.3059925785144608</v>
      </c>
      <c r="L31" s="257">
        <v>1.579712658905004</v>
      </c>
      <c r="M31" s="257">
        <v>1.6996904388915692</v>
      </c>
      <c r="N31" s="257">
        <v>20.612082334414907</v>
      </c>
      <c r="P31" s="257"/>
      <c r="Q31" s="257"/>
      <c r="R31" s="257"/>
      <c r="S31" s="257"/>
      <c r="T31" s="257"/>
      <c r="U31" s="257"/>
      <c r="V31" s="257"/>
      <c r="W31" s="257"/>
      <c r="X31" s="257"/>
      <c r="Y31" s="257"/>
      <c r="Z31" s="257"/>
      <c r="AB31" s="258"/>
      <c r="AC31" s="258"/>
      <c r="AD31" s="258"/>
      <c r="AE31" s="258"/>
      <c r="AF31" s="258"/>
      <c r="AG31" s="258"/>
      <c r="AH31" s="258"/>
      <c r="AI31" s="258"/>
      <c r="AJ31" s="258"/>
      <c r="AK31" s="258"/>
      <c r="AL31" s="258"/>
    </row>
    <row r="32" ht="15.75" customHeight="1">
      <c r="B32" s="256">
        <v>24.0</v>
      </c>
      <c r="C32" s="256" t="s">
        <v>390</v>
      </c>
      <c r="D32" s="257">
        <v>14.526518512774011</v>
      </c>
      <c r="E32" s="257">
        <v>0.18410777460259797</v>
      </c>
      <c r="F32" s="257">
        <v>0.1677836515374791</v>
      </c>
      <c r="G32" s="257">
        <v>0.09581873796213779</v>
      </c>
      <c r="H32" s="257">
        <v>0.2241433397492881</v>
      </c>
      <c r="I32" s="257">
        <v>0.24765153269359222</v>
      </c>
      <c r="J32" s="257">
        <v>0.11228789661075318</v>
      </c>
      <c r="K32" s="257">
        <v>0.8622510391159803</v>
      </c>
      <c r="L32" s="257">
        <v>1.0422683504916053</v>
      </c>
      <c r="M32" s="257">
        <v>1.13819910666345</v>
      </c>
      <c r="N32" s="257">
        <v>14.470682223534043</v>
      </c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57"/>
      <c r="AB32" s="258"/>
      <c r="AC32" s="258"/>
      <c r="AD32" s="258"/>
      <c r="AE32" s="258"/>
      <c r="AF32" s="258"/>
      <c r="AG32" s="258"/>
      <c r="AH32" s="258"/>
      <c r="AI32" s="258"/>
      <c r="AJ32" s="258"/>
      <c r="AK32" s="258"/>
      <c r="AL32" s="258"/>
    </row>
    <row r="33" ht="15.75" customHeight="1">
      <c r="B33" s="256">
        <v>25.0</v>
      </c>
      <c r="C33" s="256" t="s">
        <v>391</v>
      </c>
      <c r="D33" s="257">
        <v>14.612189255134059</v>
      </c>
      <c r="E33" s="257">
        <v>0.18842364361219294</v>
      </c>
      <c r="F33" s="257">
        <v>0.18610729752977423</v>
      </c>
      <c r="G33" s="257">
        <v>0.09694836030953423</v>
      </c>
      <c r="H33" s="257">
        <v>0.2744199442601713</v>
      </c>
      <c r="I33" s="257">
        <v>0.24762442228805248</v>
      </c>
      <c r="J33" s="257">
        <v>0.1310196456002414</v>
      </c>
      <c r="K33" s="257">
        <v>0.5789985591159803</v>
      </c>
      <c r="L33" s="257">
        <v>0.699446462161764</v>
      </c>
      <c r="M33" s="257">
        <v>0.8113547048988278</v>
      </c>
      <c r="N33" s="257">
        <v>17.350920007834507</v>
      </c>
      <c r="P33" s="257"/>
      <c r="Q33" s="257"/>
      <c r="R33" s="257"/>
      <c r="S33" s="257"/>
      <c r="T33" s="257"/>
      <c r="U33" s="257"/>
      <c r="V33" s="257"/>
      <c r="W33" s="257"/>
      <c r="X33" s="257"/>
      <c r="Y33" s="257"/>
      <c r="Z33" s="257"/>
      <c r="AB33" s="258"/>
      <c r="AC33" s="258"/>
      <c r="AD33" s="258"/>
      <c r="AE33" s="258"/>
      <c r="AF33" s="258"/>
      <c r="AG33" s="258"/>
      <c r="AH33" s="258"/>
      <c r="AI33" s="258"/>
      <c r="AJ33" s="258"/>
      <c r="AK33" s="258"/>
      <c r="AL33" s="258"/>
    </row>
    <row r="34" ht="15.75" customHeight="1">
      <c r="B34" s="256">
        <v>26.0</v>
      </c>
      <c r="C34" s="256" t="s">
        <v>392</v>
      </c>
      <c r="D34" s="257">
        <v>14.935676299184436</v>
      </c>
      <c r="E34" s="257">
        <v>0.19186205617590585</v>
      </c>
      <c r="F34" s="257">
        <v>0.20062173375360565</v>
      </c>
      <c r="G34" s="257">
        <v>0.09785365311061069</v>
      </c>
      <c r="H34" s="257">
        <v>0.3170792111353092</v>
      </c>
      <c r="I34" s="257">
        <v>0.27460894808164127</v>
      </c>
      <c r="J34" s="257">
        <v>0.1458570970958184</v>
      </c>
      <c r="K34" s="257">
        <v>0.5789985591159803</v>
      </c>
      <c r="L34" s="257">
        <v>0.7083911425913167</v>
      </c>
      <c r="M34" s="257">
        <v>0.8478639310079675</v>
      </c>
      <c r="N34" s="257">
        <v>20.147403737052947</v>
      </c>
      <c r="P34" s="257"/>
      <c r="Q34" s="257"/>
      <c r="R34" s="257"/>
      <c r="S34" s="257"/>
      <c r="T34" s="257"/>
      <c r="U34" s="257"/>
      <c r="V34" s="257"/>
      <c r="W34" s="257"/>
      <c r="X34" s="257"/>
      <c r="Y34" s="257"/>
      <c r="Z34" s="257"/>
      <c r="AB34" s="258"/>
      <c r="AC34" s="258"/>
      <c r="AD34" s="258"/>
      <c r="AE34" s="258"/>
      <c r="AF34" s="258"/>
      <c r="AG34" s="258"/>
      <c r="AH34" s="258"/>
      <c r="AI34" s="258"/>
      <c r="AJ34" s="258"/>
      <c r="AK34" s="258"/>
      <c r="AL34" s="258"/>
    </row>
    <row r="35" ht="15.75" customHeight="1">
      <c r="B35" s="256">
        <v>27.0</v>
      </c>
      <c r="C35" s="256" t="s">
        <v>393</v>
      </c>
      <c r="D35" s="257">
        <v>26.559732901178858</v>
      </c>
      <c r="E35" s="257">
        <v>0.33715185674598525</v>
      </c>
      <c r="F35" s="257">
        <v>0.31345458496892326</v>
      </c>
      <c r="G35" s="257">
        <v>0.1762796633575295</v>
      </c>
      <c r="H35" s="257">
        <v>0.2995409045455471</v>
      </c>
      <c r="I35" s="257">
        <v>0.2840039502575664</v>
      </c>
      <c r="J35" s="257">
        <v>0.1889236549696775</v>
      </c>
      <c r="K35" s="257">
        <v>0.6088789785144608</v>
      </c>
      <c r="L35" s="257">
        <v>0.7207015349386955</v>
      </c>
      <c r="M35" s="257">
        <v>0.8327687091385557</v>
      </c>
      <c r="N35" s="257">
        <v>18.38057587403416</v>
      </c>
      <c r="P35" s="257"/>
      <c r="Q35" s="257"/>
      <c r="R35" s="257"/>
      <c r="S35" s="257"/>
      <c r="T35" s="257"/>
      <c r="U35" s="257"/>
      <c r="V35" s="257"/>
      <c r="W35" s="257"/>
      <c r="X35" s="257"/>
      <c r="Y35" s="257"/>
      <c r="Z35" s="257"/>
      <c r="AB35" s="258"/>
      <c r="AC35" s="258"/>
      <c r="AD35" s="258"/>
      <c r="AE35" s="258"/>
      <c r="AF35" s="258"/>
      <c r="AG35" s="258"/>
      <c r="AH35" s="258"/>
      <c r="AI35" s="258"/>
      <c r="AJ35" s="258"/>
      <c r="AK35" s="258"/>
      <c r="AL35" s="258"/>
    </row>
    <row r="36" ht="15.75" customHeight="1">
      <c r="B36" s="256">
        <v>28.0</v>
      </c>
      <c r="C36" s="256" t="s">
        <v>394</v>
      </c>
      <c r="D36" s="257">
        <v>17.57109389323253</v>
      </c>
      <c r="E36" s="257">
        <v>0.268807408904089</v>
      </c>
      <c r="F36" s="257">
        <v>0.23023152921319545</v>
      </c>
      <c r="G36" s="257">
        <v>0.10553143686355103</v>
      </c>
      <c r="H36" s="257">
        <v>0.23712219853110664</v>
      </c>
      <c r="I36" s="257">
        <v>0.25583808059568525</v>
      </c>
      <c r="J36" s="257">
        <v>0.11473221905274969</v>
      </c>
      <c r="K36" s="257">
        <v>0.9122202236822693</v>
      </c>
      <c r="L36" s="257">
        <v>1.1180453626145386</v>
      </c>
      <c r="M36" s="257">
        <v>1.1915194650780225</v>
      </c>
      <c r="N36" s="257">
        <v>15.274631734852214</v>
      </c>
      <c r="P36" s="257"/>
      <c r="Q36" s="257"/>
      <c r="R36" s="257"/>
      <c r="S36" s="257"/>
      <c r="T36" s="257"/>
      <c r="U36" s="257"/>
      <c r="V36" s="257"/>
      <c r="W36" s="257"/>
      <c r="X36" s="257"/>
      <c r="Y36" s="257"/>
      <c r="Z36" s="257"/>
      <c r="AB36" s="258"/>
      <c r="AC36" s="258"/>
      <c r="AD36" s="258"/>
      <c r="AE36" s="258"/>
      <c r="AF36" s="258"/>
      <c r="AG36" s="258"/>
      <c r="AH36" s="258"/>
      <c r="AI36" s="258"/>
      <c r="AJ36" s="258"/>
      <c r="AK36" s="258"/>
      <c r="AL36" s="258"/>
    </row>
    <row r="37" ht="15.75" customHeight="1">
      <c r="B37" s="256">
        <v>29.0</v>
      </c>
      <c r="C37" s="256" t="s">
        <v>388</v>
      </c>
      <c r="D37" s="257">
        <v>15.811367881398848</v>
      </c>
      <c r="E37" s="257">
        <v>0.19197523005678424</v>
      </c>
      <c r="F37" s="257">
        <v>0.17465874038543414</v>
      </c>
      <c r="G37" s="257">
        <v>0.09920681281145065</v>
      </c>
      <c r="H37" s="257">
        <v>0.24708515972266623</v>
      </c>
      <c r="I37" s="257">
        <v>0.2993355710389437</v>
      </c>
      <c r="J37" s="257">
        <v>0.11475927393718027</v>
      </c>
      <c r="K37" s="257">
        <v>1.2946342513873526</v>
      </c>
      <c r="L37" s="257">
        <v>1.6347127111755864</v>
      </c>
      <c r="M37" s="257">
        <v>1.708078373511009</v>
      </c>
      <c r="N37" s="257">
        <v>16.389888622030096</v>
      </c>
      <c r="P37" s="257"/>
      <c r="Q37" s="257"/>
      <c r="R37" s="257"/>
      <c r="S37" s="257"/>
      <c r="T37" s="257"/>
      <c r="U37" s="257"/>
      <c r="V37" s="257"/>
      <c r="W37" s="257"/>
      <c r="X37" s="257"/>
      <c r="Y37" s="257"/>
      <c r="Z37" s="257"/>
      <c r="AB37" s="258"/>
      <c r="AC37" s="258"/>
      <c r="AD37" s="258"/>
      <c r="AE37" s="258"/>
      <c r="AF37" s="258"/>
      <c r="AG37" s="258"/>
      <c r="AH37" s="258"/>
      <c r="AI37" s="258"/>
      <c r="AJ37" s="258"/>
      <c r="AK37" s="258"/>
      <c r="AL37" s="258"/>
    </row>
    <row r="38" ht="15.75" customHeight="1">
      <c r="B38" s="256">
        <v>30.0</v>
      </c>
      <c r="C38" s="256" t="s">
        <v>389</v>
      </c>
      <c r="D38" s="257">
        <v>17.705871838514554</v>
      </c>
      <c r="E38" s="257">
        <v>0.2697315259171307</v>
      </c>
      <c r="F38" s="257">
        <v>0.2271847536676807</v>
      </c>
      <c r="G38" s="257">
        <v>0.10423264008774095</v>
      </c>
      <c r="H38" s="257">
        <v>0.2462303206159176</v>
      </c>
      <c r="I38" s="257">
        <v>0.2947567663160435</v>
      </c>
      <c r="J38" s="257">
        <v>0.11483262085817558</v>
      </c>
      <c r="K38" s="257">
        <v>1.253037651144419</v>
      </c>
      <c r="L38" s="257">
        <v>1.578506651840581</v>
      </c>
      <c r="M38" s="257">
        <v>1.6518903342150657</v>
      </c>
      <c r="N38" s="257">
        <v>17.256518194089274</v>
      </c>
      <c r="P38" s="257"/>
      <c r="Q38" s="257"/>
      <c r="R38" s="257"/>
      <c r="S38" s="257"/>
      <c r="T38" s="257"/>
      <c r="U38" s="257"/>
      <c r="V38" s="257"/>
      <c r="W38" s="257"/>
      <c r="X38" s="257"/>
      <c r="Y38" s="257"/>
      <c r="Z38" s="257"/>
      <c r="AB38" s="258"/>
      <c r="AC38" s="258"/>
      <c r="AD38" s="258"/>
      <c r="AE38" s="258"/>
      <c r="AF38" s="258"/>
      <c r="AG38" s="258"/>
      <c r="AH38" s="258"/>
      <c r="AI38" s="258"/>
      <c r="AJ38" s="258"/>
      <c r="AK38" s="258"/>
      <c r="AL38" s="258"/>
    </row>
    <row r="39" ht="15.75" customHeight="1">
      <c r="B39" s="256">
        <v>31.0</v>
      </c>
      <c r="C39" s="256" t="s">
        <v>390</v>
      </c>
      <c r="D39" s="257">
        <v>14.642848778903065</v>
      </c>
      <c r="E39" s="257">
        <v>0.18412602511702142</v>
      </c>
      <c r="F39" s="257">
        <v>0.1677695115374791</v>
      </c>
      <c r="G39" s="257">
        <v>0.09583367953365242</v>
      </c>
      <c r="H39" s="257">
        <v>0.22909093071750455</v>
      </c>
      <c r="I39" s="257">
        <v>0.2509364299757375</v>
      </c>
      <c r="J39" s="257">
        <v>0.1122970218679649</v>
      </c>
      <c r="K39" s="257">
        <v>0.9078471534893613</v>
      </c>
      <c r="L39" s="257">
        <v>1.1324511311495484</v>
      </c>
      <c r="M39" s="257">
        <v>1.209431882606849</v>
      </c>
      <c r="N39" s="257">
        <v>14.77685308368702</v>
      </c>
      <c r="P39" s="257"/>
      <c r="Q39" s="257"/>
      <c r="R39" s="257"/>
      <c r="S39" s="257"/>
      <c r="T39" s="257"/>
      <c r="U39" s="257"/>
      <c r="V39" s="257"/>
      <c r="W39" s="257"/>
      <c r="X39" s="257"/>
      <c r="Y39" s="257"/>
      <c r="Z39" s="257"/>
      <c r="AB39" s="258"/>
      <c r="AC39" s="258"/>
      <c r="AD39" s="258"/>
      <c r="AE39" s="258"/>
      <c r="AF39" s="258"/>
      <c r="AG39" s="258"/>
      <c r="AH39" s="258"/>
      <c r="AI39" s="258"/>
      <c r="AJ39" s="258"/>
      <c r="AK39" s="258"/>
      <c r="AL39" s="258"/>
    </row>
    <row r="40" ht="15.75" customHeight="1">
      <c r="B40" s="256">
        <v>32.0</v>
      </c>
      <c r="C40" s="256" t="s">
        <v>391</v>
      </c>
      <c r="D40" s="257">
        <v>14.647734371031436</v>
      </c>
      <c r="E40" s="257">
        <v>0.18880146020586502</v>
      </c>
      <c r="F40" s="257">
        <v>0.18770215991220962</v>
      </c>
      <c r="G40" s="257">
        <v>0.09704783488858511</v>
      </c>
      <c r="H40" s="257">
        <v>0.2791073919124419</v>
      </c>
      <c r="I40" s="257">
        <v>0.25058951197065343</v>
      </c>
      <c r="J40" s="257">
        <v>0.13265000125970902</v>
      </c>
      <c r="K40" s="257">
        <v>0.5789985591159803</v>
      </c>
      <c r="L40" s="257">
        <v>0.7004285984985903</v>
      </c>
      <c r="M40" s="257">
        <v>0.8153663792370768</v>
      </c>
      <c r="N40" s="257">
        <v>17.658199317606673</v>
      </c>
      <c r="P40" s="257"/>
      <c r="Q40" s="257"/>
      <c r="R40" s="257"/>
      <c r="S40" s="257"/>
      <c r="T40" s="257"/>
      <c r="U40" s="257"/>
      <c r="V40" s="257"/>
      <c r="W40" s="257"/>
      <c r="X40" s="257"/>
      <c r="Y40" s="257"/>
      <c r="Z40" s="257"/>
      <c r="AB40" s="258"/>
      <c r="AC40" s="258"/>
      <c r="AD40" s="258"/>
      <c r="AE40" s="258"/>
      <c r="AF40" s="258"/>
      <c r="AG40" s="258"/>
      <c r="AH40" s="258"/>
      <c r="AI40" s="258"/>
      <c r="AJ40" s="258"/>
      <c r="AK40" s="258"/>
      <c r="AL40" s="258"/>
    </row>
    <row r="41" ht="15.75" customHeight="1">
      <c r="B41" s="256">
        <v>33.0</v>
      </c>
      <c r="C41" s="256" t="s">
        <v>392</v>
      </c>
      <c r="D41" s="257">
        <v>15.249199677430028</v>
      </c>
      <c r="E41" s="257">
        <v>0.1994233178598877</v>
      </c>
      <c r="F41" s="257">
        <v>0.20556594019443558</v>
      </c>
      <c r="G41" s="257">
        <v>0.09819448590612213</v>
      </c>
      <c r="H41" s="257">
        <v>0.32875637085631304</v>
      </c>
      <c r="I41" s="257">
        <v>0.2831462882296262</v>
      </c>
      <c r="J41" s="257">
        <v>0.1523556067844599</v>
      </c>
      <c r="K41" s="257">
        <v>0.5789985591159803</v>
      </c>
      <c r="L41" s="257">
        <v>0.7101506440489902</v>
      </c>
      <c r="M41" s="257">
        <v>0.8550508627822972</v>
      </c>
      <c r="N41" s="257">
        <v>24.130014089190972</v>
      </c>
      <c r="P41" s="257"/>
      <c r="Q41" s="257"/>
      <c r="R41" s="257"/>
      <c r="S41" s="257"/>
      <c r="T41" s="257"/>
      <c r="U41" s="257"/>
      <c r="V41" s="257"/>
      <c r="W41" s="257"/>
      <c r="X41" s="257"/>
      <c r="Y41" s="257"/>
      <c r="Z41" s="257"/>
      <c r="AB41" s="258"/>
      <c r="AC41" s="258"/>
      <c r="AD41" s="258"/>
      <c r="AE41" s="258"/>
      <c r="AF41" s="258"/>
      <c r="AG41" s="258"/>
      <c r="AH41" s="258"/>
      <c r="AI41" s="258"/>
      <c r="AJ41" s="258"/>
      <c r="AK41" s="258"/>
      <c r="AL41" s="258"/>
    </row>
    <row r="42" ht="15.75" customHeight="1">
      <c r="B42" s="141" t="s">
        <v>395</v>
      </c>
      <c r="C42" s="259"/>
      <c r="D42" s="260">
        <f t="shared" ref="D42:N42" si="1">SUM(D9:D41)</f>
        <v>562.4536</v>
      </c>
      <c r="E42" s="260">
        <f t="shared" si="1"/>
        <v>7.513</v>
      </c>
      <c r="F42" s="260">
        <f t="shared" si="1"/>
        <v>6.9182</v>
      </c>
      <c r="G42" s="260">
        <f t="shared" si="1"/>
        <v>3.5892</v>
      </c>
      <c r="H42" s="260">
        <f t="shared" si="1"/>
        <v>8.6815</v>
      </c>
      <c r="I42" s="260">
        <f t="shared" si="1"/>
        <v>8.9633</v>
      </c>
      <c r="J42" s="260">
        <f t="shared" si="1"/>
        <v>4.3223</v>
      </c>
      <c r="K42" s="260">
        <f t="shared" si="1"/>
        <v>27.3275</v>
      </c>
      <c r="L42" s="260">
        <f t="shared" si="1"/>
        <v>33.5263</v>
      </c>
      <c r="M42" s="260">
        <f t="shared" si="1"/>
        <v>37.3117</v>
      </c>
      <c r="N42" s="260">
        <f t="shared" si="1"/>
        <v>572.8585</v>
      </c>
      <c r="P42" s="261">
        <f t="shared" ref="P42:Z42" si="2">SUM(P9:P41)</f>
        <v>0</v>
      </c>
      <c r="Q42" s="261">
        <f t="shared" si="2"/>
        <v>0</v>
      </c>
      <c r="R42" s="261">
        <f t="shared" si="2"/>
        <v>0</v>
      </c>
      <c r="S42" s="261">
        <f t="shared" si="2"/>
        <v>0</v>
      </c>
      <c r="T42" s="261">
        <f t="shared" si="2"/>
        <v>0</v>
      </c>
      <c r="U42" s="261">
        <f t="shared" si="2"/>
        <v>0</v>
      </c>
      <c r="V42" s="261">
        <f t="shared" si="2"/>
        <v>0</v>
      </c>
      <c r="W42" s="261">
        <f t="shared" si="2"/>
        <v>0</v>
      </c>
      <c r="X42" s="261">
        <f t="shared" si="2"/>
        <v>0</v>
      </c>
      <c r="Y42" s="261">
        <f t="shared" si="2"/>
        <v>0</v>
      </c>
      <c r="Z42" s="261">
        <f t="shared" si="2"/>
        <v>0</v>
      </c>
      <c r="AB42" s="262">
        <f t="shared" ref="AB42:AL42" si="3">SUM(AB9:AB41)</f>
        <v>0</v>
      </c>
      <c r="AC42" s="262">
        <f t="shared" si="3"/>
        <v>0</v>
      </c>
      <c r="AD42" s="262">
        <f t="shared" si="3"/>
        <v>0</v>
      </c>
      <c r="AE42" s="262">
        <f t="shared" si="3"/>
        <v>0</v>
      </c>
      <c r="AF42" s="262">
        <f t="shared" si="3"/>
        <v>0</v>
      </c>
      <c r="AG42" s="262">
        <f t="shared" si="3"/>
        <v>0</v>
      </c>
      <c r="AH42" s="262">
        <f t="shared" si="3"/>
        <v>0</v>
      </c>
      <c r="AI42" s="262">
        <f t="shared" si="3"/>
        <v>0</v>
      </c>
      <c r="AJ42" s="262">
        <f t="shared" si="3"/>
        <v>0</v>
      </c>
      <c r="AK42" s="262">
        <f t="shared" si="3"/>
        <v>0</v>
      </c>
      <c r="AL42" s="262">
        <f t="shared" si="3"/>
        <v>0</v>
      </c>
    </row>
    <row r="43" ht="15.75" customHeight="1"/>
    <row r="44" ht="15.75" hidden="1" customHeight="1">
      <c r="B44" s="263" t="s">
        <v>396</v>
      </c>
    </row>
    <row r="45" ht="15.75" hidden="1" customHeight="1">
      <c r="B45" s="264" t="s">
        <v>397</v>
      </c>
    </row>
    <row r="46" ht="15.75" hidden="1" customHeight="1">
      <c r="B46" s="237" t="s">
        <v>398</v>
      </c>
    </row>
    <row r="47" ht="15.75" hidden="1" customHeight="1">
      <c r="B47" s="264" t="s">
        <v>399</v>
      </c>
    </row>
    <row r="48" ht="15.75" hidden="1" customHeight="1">
      <c r="B48" s="264" t="s">
        <v>400</v>
      </c>
    </row>
    <row r="49" ht="15.75" hidden="1" customHeight="1">
      <c r="B49" s="264" t="s">
        <v>401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B9:AL41">
    <cfRule type="cellIs" dxfId="5" priority="1" stopIfTrue="1" operator="lessThan">
      <formula>0</formula>
    </cfRule>
  </conditionalFormatting>
  <conditionalFormatting sqref="AB9:AL41">
    <cfRule type="cellIs" dxfId="6" priority="2" stopIfTrue="1" operator="greaterThan">
      <formula>0</formula>
    </cfRule>
  </conditionalFormatting>
  <conditionalFormatting sqref="B9:N41 P9:Z41 AB9:AL41">
    <cfRule type="expression" dxfId="2" priority="3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5"/>
    <col customWidth="1" min="3" max="3" width="9.13"/>
    <col customWidth="1" min="7" max="19" width="3.75"/>
    <col customWidth="1" min="20" max="20" width="3.63"/>
    <col customWidth="1" min="21" max="21" width="10.5"/>
    <col customWidth="1" min="22" max="22" width="3.63"/>
    <col customWidth="1" min="23" max="45" width="3.88"/>
    <col customWidth="1" min="46" max="46" width="4.5"/>
  </cols>
  <sheetData>
    <row r="2">
      <c r="B2" s="192" t="s">
        <v>88</v>
      </c>
      <c r="C2" s="192"/>
      <c r="E2" s="37" t="s">
        <v>402</v>
      </c>
    </row>
    <row r="3">
      <c r="B3" s="265" t="s">
        <v>403</v>
      </c>
      <c r="C3" s="194"/>
    </row>
    <row r="4">
      <c r="B4" s="265" t="s">
        <v>404</v>
      </c>
      <c r="C4" s="195"/>
    </row>
    <row r="5">
      <c r="B5" s="265" t="s">
        <v>405</v>
      </c>
      <c r="C5" s="266"/>
    </row>
    <row r="7">
      <c r="G7" s="267" t="s">
        <v>406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V7" s="37"/>
      <c r="W7" s="267" t="s">
        <v>407</v>
      </c>
    </row>
    <row r="8" ht="120.75" customHeight="1">
      <c r="C8" s="187" t="s">
        <v>408</v>
      </c>
      <c r="D8" s="97" t="s">
        <v>409</v>
      </c>
      <c r="E8" s="97" t="s">
        <v>410</v>
      </c>
      <c r="F8" s="187" t="s">
        <v>411</v>
      </c>
      <c r="G8" s="268" t="s">
        <v>19</v>
      </c>
      <c r="H8" s="268" t="s">
        <v>5</v>
      </c>
      <c r="I8" s="268" t="s">
        <v>77</v>
      </c>
      <c r="J8" s="268" t="s">
        <v>6</v>
      </c>
      <c r="K8" s="268" t="s">
        <v>7</v>
      </c>
      <c r="L8" s="268" t="s">
        <v>8</v>
      </c>
      <c r="M8" s="268" t="s">
        <v>9</v>
      </c>
      <c r="N8" s="268" t="s">
        <v>10</v>
      </c>
      <c r="O8" s="268" t="s">
        <v>11</v>
      </c>
      <c r="P8" s="268" t="s">
        <v>12</v>
      </c>
      <c r="Q8" s="268" t="s">
        <v>13</v>
      </c>
      <c r="R8" s="268" t="s">
        <v>14</v>
      </c>
      <c r="S8" s="268" t="s">
        <v>15</v>
      </c>
      <c r="U8" s="97" t="s">
        <v>412</v>
      </c>
      <c r="W8" s="154" t="s">
        <v>363</v>
      </c>
      <c r="X8" s="154" t="s">
        <v>284</v>
      </c>
      <c r="Y8" s="154" t="s">
        <v>163</v>
      </c>
      <c r="Z8" s="154" t="s">
        <v>283</v>
      </c>
      <c r="AA8" s="154" t="s">
        <v>365</v>
      </c>
      <c r="AB8" s="154" t="s">
        <v>366</v>
      </c>
      <c r="AC8" s="154" t="s">
        <v>367</v>
      </c>
      <c r="AD8" s="154" t="s">
        <v>44</v>
      </c>
      <c r="AE8" s="154" t="s">
        <v>39</v>
      </c>
      <c r="AF8" s="154" t="s">
        <v>368</v>
      </c>
      <c r="AG8" s="154" t="s">
        <v>38</v>
      </c>
      <c r="AH8" s="154" t="s">
        <v>369</v>
      </c>
      <c r="AI8" s="154" t="s">
        <v>30</v>
      </c>
      <c r="AJ8" s="154" t="s">
        <v>282</v>
      </c>
      <c r="AK8" s="154" t="s">
        <v>108</v>
      </c>
      <c r="AL8" s="154" t="s">
        <v>371</v>
      </c>
      <c r="AM8" s="154" t="s">
        <v>27</v>
      </c>
      <c r="AN8" s="154" t="s">
        <v>35</v>
      </c>
      <c r="AO8" s="154" t="s">
        <v>37</v>
      </c>
      <c r="AP8" s="154" t="s">
        <v>41</v>
      </c>
      <c r="AQ8" s="154" t="s">
        <v>372</v>
      </c>
      <c r="AR8" s="154" t="s">
        <v>49</v>
      </c>
      <c r="AS8" s="154" t="s">
        <v>373</v>
      </c>
    </row>
    <row r="9">
      <c r="C9" s="37">
        <v>1.0</v>
      </c>
      <c r="D9" s="37">
        <v>100.0</v>
      </c>
      <c r="E9" s="269" t="s">
        <v>413</v>
      </c>
      <c r="F9" s="269">
        <v>12.0</v>
      </c>
      <c r="G9" s="269">
        <v>100.0</v>
      </c>
      <c r="H9" s="269">
        <v>50.0</v>
      </c>
      <c r="I9" s="269">
        <v>0.0</v>
      </c>
      <c r="J9" s="269">
        <v>12.0</v>
      </c>
      <c r="K9" s="269">
        <v>5.0</v>
      </c>
      <c r="L9" s="269">
        <v>2.0</v>
      </c>
      <c r="M9" s="269">
        <v>5.0</v>
      </c>
      <c r="N9" s="269">
        <v>4.0</v>
      </c>
      <c r="O9" s="269">
        <v>3.0</v>
      </c>
      <c r="P9" s="269">
        <v>0.0</v>
      </c>
      <c r="Q9" s="269">
        <v>0.0</v>
      </c>
      <c r="R9" s="269">
        <v>0.0</v>
      </c>
      <c r="S9" s="269">
        <v>0.0</v>
      </c>
      <c r="T9" s="246"/>
      <c r="U9" s="269" t="s">
        <v>414</v>
      </c>
      <c r="V9" s="246"/>
      <c r="W9" s="269">
        <v>0.0</v>
      </c>
      <c r="X9" s="269">
        <v>0.0</v>
      </c>
      <c r="Y9" s="269">
        <v>0.0</v>
      </c>
      <c r="Z9" s="269">
        <v>0.0</v>
      </c>
      <c r="AA9" s="269">
        <v>0.0</v>
      </c>
      <c r="AB9" s="269">
        <v>0.0</v>
      </c>
      <c r="AC9" s="269">
        <v>0.0</v>
      </c>
      <c r="AD9" s="269">
        <v>0.0</v>
      </c>
      <c r="AE9" s="269">
        <v>0.0</v>
      </c>
      <c r="AF9" s="269">
        <v>0.0</v>
      </c>
      <c r="AG9" s="269">
        <v>0.0</v>
      </c>
      <c r="AH9" s="269">
        <v>0.0</v>
      </c>
      <c r="AI9" s="269">
        <v>0.0</v>
      </c>
      <c r="AJ9" s="269">
        <v>0.0</v>
      </c>
      <c r="AK9" s="269">
        <v>0.0</v>
      </c>
      <c r="AL9" s="269">
        <v>0.0</v>
      </c>
      <c r="AM9" s="269">
        <v>0.0</v>
      </c>
      <c r="AN9" s="269">
        <v>0.0</v>
      </c>
      <c r="AO9" s="269">
        <v>0.0</v>
      </c>
      <c r="AP9" s="269">
        <v>0.0</v>
      </c>
      <c r="AQ9" s="269">
        <v>0.0</v>
      </c>
      <c r="AR9" s="269">
        <v>0.0</v>
      </c>
      <c r="AS9" s="269">
        <v>0.0</v>
      </c>
    </row>
    <row r="10">
      <c r="C10" s="37">
        <v>2.0</v>
      </c>
      <c r="D10" s="37">
        <v>101.0</v>
      </c>
      <c r="E10" s="269" t="s">
        <v>413</v>
      </c>
      <c r="F10" s="269">
        <v>13.0</v>
      </c>
      <c r="G10" s="269">
        <v>0.0</v>
      </c>
      <c r="H10" s="269">
        <v>50.0</v>
      </c>
      <c r="I10" s="269">
        <v>0.0</v>
      </c>
      <c r="J10" s="269">
        <v>13.0</v>
      </c>
      <c r="K10" s="269">
        <v>4.0</v>
      </c>
      <c r="L10" s="269">
        <v>2.0</v>
      </c>
      <c r="M10" s="269">
        <v>5.0</v>
      </c>
      <c r="N10" s="269">
        <v>4.0</v>
      </c>
      <c r="O10" s="269">
        <v>3.0</v>
      </c>
      <c r="P10" s="269">
        <v>0.0</v>
      </c>
      <c r="Q10" s="269">
        <v>0.0</v>
      </c>
      <c r="R10" s="269">
        <v>0.0</v>
      </c>
      <c r="S10" s="269">
        <v>0.0</v>
      </c>
      <c r="T10" s="246"/>
      <c r="U10" s="269" t="s">
        <v>415</v>
      </c>
      <c r="V10" s="246"/>
      <c r="W10" s="269">
        <v>0.0</v>
      </c>
      <c r="X10" s="269">
        <v>0.0</v>
      </c>
      <c r="Y10" s="269">
        <v>0.0</v>
      </c>
      <c r="Z10" s="269">
        <v>0.0</v>
      </c>
      <c r="AA10" s="269">
        <v>0.0</v>
      </c>
      <c r="AB10" s="269">
        <v>0.0</v>
      </c>
      <c r="AC10" s="270" t="s">
        <v>416</v>
      </c>
      <c r="AD10" s="269">
        <v>0.0</v>
      </c>
      <c r="AE10" s="269">
        <v>0.0</v>
      </c>
      <c r="AF10" s="269">
        <v>0.0</v>
      </c>
      <c r="AG10" s="269">
        <v>0.0</v>
      </c>
      <c r="AH10" s="269">
        <v>0.0</v>
      </c>
      <c r="AI10" s="269">
        <v>0.0</v>
      </c>
      <c r="AJ10" s="269">
        <v>0.0</v>
      </c>
      <c r="AK10" s="269">
        <v>0.0</v>
      </c>
      <c r="AL10" s="269">
        <v>0.0</v>
      </c>
      <c r="AM10" s="269">
        <v>0.0</v>
      </c>
      <c r="AN10" s="269">
        <v>0.0</v>
      </c>
      <c r="AO10" s="269">
        <v>0.0</v>
      </c>
      <c r="AP10" s="269">
        <v>0.0</v>
      </c>
      <c r="AQ10" s="269">
        <v>0.0</v>
      </c>
      <c r="AR10" s="269">
        <v>0.0</v>
      </c>
      <c r="AS10" s="269">
        <v>0.0</v>
      </c>
    </row>
  </sheetData>
  <conditionalFormatting sqref="B2:B5 C2:C4">
    <cfRule type="expression" dxfId="3" priority="1">
      <formula>ISFORMULA(B2)</formula>
    </cfRule>
  </conditionalFormatting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7" width="12.25"/>
    <col customWidth="1" min="8" max="13" width="13.0"/>
    <col customWidth="1" min="14" max="14" width="15.25"/>
    <col customWidth="1" min="15" max="16" width="8.63"/>
    <col customWidth="1" min="17" max="22" width="5.5"/>
    <col customWidth="1" min="23" max="46" width="8.63"/>
  </cols>
  <sheetData>
    <row r="1" ht="12.75" customHeight="1">
      <c r="A1" s="271" t="s">
        <v>417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3"/>
    </row>
    <row r="2" ht="12.75" customHeight="1">
      <c r="A2" s="274" t="s">
        <v>356</v>
      </c>
      <c r="B2" s="275" t="s">
        <v>418</v>
      </c>
      <c r="C2" s="274" t="s">
        <v>419</v>
      </c>
      <c r="D2" s="274"/>
      <c r="E2" s="276" t="s">
        <v>420</v>
      </c>
      <c r="F2" s="274"/>
      <c r="G2" s="274"/>
      <c r="H2" s="274"/>
      <c r="I2" s="274"/>
      <c r="J2" s="274"/>
      <c r="K2" s="274"/>
      <c r="L2" s="274"/>
      <c r="M2" s="274"/>
      <c r="N2" s="274"/>
    </row>
    <row r="3" ht="12.75" customHeight="1">
      <c r="A3" s="277" t="s">
        <v>282</v>
      </c>
      <c r="B3" s="278">
        <v>13.0</v>
      </c>
      <c r="C3" s="279" t="s">
        <v>421</v>
      </c>
      <c r="D3" s="279"/>
      <c r="E3" s="280" t="s">
        <v>422</v>
      </c>
      <c r="F3" s="279"/>
      <c r="G3" s="279"/>
      <c r="H3" s="279"/>
      <c r="I3" s="279"/>
      <c r="J3" s="281"/>
      <c r="K3" s="279"/>
      <c r="L3" s="279"/>
      <c r="M3" s="279"/>
      <c r="N3" s="279"/>
    </row>
    <row r="4" ht="12.75" customHeight="1">
      <c r="A4" s="277" t="s">
        <v>283</v>
      </c>
      <c r="B4" s="278">
        <v>12.0</v>
      </c>
      <c r="C4" s="279" t="s">
        <v>421</v>
      </c>
      <c r="D4" s="279"/>
      <c r="E4" s="280" t="s">
        <v>423</v>
      </c>
      <c r="F4" s="279"/>
      <c r="G4" s="279"/>
      <c r="H4" s="279"/>
      <c r="I4" s="279"/>
      <c r="J4" s="281"/>
      <c r="K4" s="279"/>
      <c r="L4" s="279"/>
      <c r="M4" s="279"/>
      <c r="N4" s="279"/>
    </row>
    <row r="5" ht="12.75" customHeight="1">
      <c r="A5" s="277" t="s">
        <v>284</v>
      </c>
      <c r="B5" s="278">
        <v>12.0</v>
      </c>
      <c r="C5" s="279" t="s">
        <v>421</v>
      </c>
      <c r="D5" s="279"/>
      <c r="E5" s="280" t="s">
        <v>424</v>
      </c>
      <c r="F5" s="279"/>
      <c r="G5" s="279"/>
      <c r="H5" s="279"/>
      <c r="I5" s="279"/>
      <c r="J5" s="281"/>
      <c r="K5" s="279"/>
      <c r="L5" s="279"/>
      <c r="M5" s="279"/>
      <c r="N5" s="279"/>
    </row>
    <row r="6" ht="12.75" customHeight="1">
      <c r="A6" s="282" t="s">
        <v>41</v>
      </c>
      <c r="B6" s="278">
        <v>12.0</v>
      </c>
      <c r="C6" s="279" t="s">
        <v>421</v>
      </c>
      <c r="D6" s="279"/>
      <c r="E6" s="280" t="s">
        <v>425</v>
      </c>
      <c r="F6" s="279"/>
      <c r="G6" s="279"/>
      <c r="H6" s="279"/>
      <c r="I6" s="279"/>
      <c r="J6" s="281"/>
      <c r="K6" s="279"/>
      <c r="L6" s="279"/>
      <c r="M6" s="279"/>
      <c r="N6" s="279"/>
    </row>
    <row r="7" ht="12.75" customHeight="1">
      <c r="A7" s="277" t="s">
        <v>371</v>
      </c>
      <c r="B7" s="283">
        <v>49.0</v>
      </c>
      <c r="C7" s="279" t="s">
        <v>426</v>
      </c>
      <c r="D7" s="279"/>
      <c r="E7" s="284" t="s">
        <v>427</v>
      </c>
      <c r="F7" s="279"/>
      <c r="G7" s="279"/>
      <c r="H7" s="279"/>
      <c r="I7" s="279"/>
      <c r="J7" s="281"/>
      <c r="K7" s="279"/>
      <c r="L7" s="279"/>
      <c r="M7" s="279"/>
      <c r="N7" s="279"/>
    </row>
    <row r="8" ht="12.75" customHeight="1">
      <c r="A8" s="277" t="s">
        <v>428</v>
      </c>
      <c r="B8" s="283">
        <v>49.0</v>
      </c>
      <c r="C8" s="279" t="s">
        <v>426</v>
      </c>
      <c r="D8" s="279"/>
      <c r="E8" s="284" t="s">
        <v>427</v>
      </c>
      <c r="F8" s="279"/>
      <c r="G8" s="279"/>
      <c r="H8" s="279"/>
      <c r="I8" s="279"/>
      <c r="J8" s="281"/>
      <c r="K8" s="279"/>
      <c r="L8" s="279"/>
      <c r="M8" s="279"/>
      <c r="N8" s="279"/>
    </row>
    <row r="9" ht="12.75" customHeight="1">
      <c r="A9" s="277" t="s">
        <v>429</v>
      </c>
      <c r="B9" s="278">
        <v>12.0</v>
      </c>
      <c r="C9" s="279" t="s">
        <v>421</v>
      </c>
      <c r="D9" s="279"/>
      <c r="E9" s="284" t="s">
        <v>430</v>
      </c>
      <c r="F9" s="279"/>
      <c r="G9" s="279"/>
      <c r="H9" s="279"/>
      <c r="I9" s="279"/>
      <c r="J9" s="281"/>
      <c r="K9" s="279"/>
      <c r="L9" s="279"/>
      <c r="M9" s="279"/>
      <c r="N9" s="279"/>
    </row>
    <row r="10" ht="12.75" customHeight="1">
      <c r="A10" s="282" t="s">
        <v>163</v>
      </c>
      <c r="B10" s="278">
        <v>13.0</v>
      </c>
      <c r="C10" s="279" t="s">
        <v>421</v>
      </c>
      <c r="D10" s="279"/>
      <c r="E10" s="284" t="s">
        <v>431</v>
      </c>
      <c r="F10" s="279"/>
      <c r="G10" s="279"/>
      <c r="H10" s="279"/>
      <c r="I10" s="279"/>
      <c r="J10" s="281"/>
      <c r="K10" s="279"/>
      <c r="L10" s="279"/>
      <c r="M10" s="279"/>
      <c r="N10" s="279"/>
    </row>
    <row r="11" ht="12.75" customHeight="1">
      <c r="A11" s="277" t="s">
        <v>368</v>
      </c>
      <c r="B11" s="278">
        <v>15.0</v>
      </c>
      <c r="C11" s="279" t="s">
        <v>421</v>
      </c>
      <c r="D11" s="279"/>
      <c r="E11" s="284" t="s">
        <v>432</v>
      </c>
      <c r="F11" s="279"/>
      <c r="G11" s="279"/>
      <c r="H11" s="279"/>
      <c r="I11" s="279"/>
      <c r="J11" s="281"/>
      <c r="K11" s="279"/>
      <c r="L11" s="279"/>
      <c r="M11" s="279"/>
      <c r="N11" s="279"/>
    </row>
    <row r="12" ht="12.75" customHeight="1">
      <c r="A12" s="277" t="s">
        <v>433</v>
      </c>
      <c r="B12" s="278">
        <v>16.0</v>
      </c>
      <c r="C12" s="279" t="s">
        <v>421</v>
      </c>
      <c r="D12" s="279"/>
      <c r="E12" s="284" t="s">
        <v>434</v>
      </c>
      <c r="F12" s="279"/>
      <c r="G12" s="279"/>
      <c r="H12" s="279"/>
      <c r="I12" s="279"/>
      <c r="J12" s="281"/>
      <c r="K12" s="279"/>
      <c r="L12" s="279"/>
      <c r="M12" s="279"/>
      <c r="N12" s="279"/>
    </row>
    <row r="13" ht="12.75" customHeight="1">
      <c r="A13" s="277" t="s">
        <v>38</v>
      </c>
      <c r="B13" s="278">
        <v>21.0</v>
      </c>
      <c r="C13" s="279" t="s">
        <v>421</v>
      </c>
      <c r="D13" s="279"/>
      <c r="E13" s="284" t="s">
        <v>435</v>
      </c>
      <c r="F13" s="279"/>
      <c r="G13" s="279"/>
      <c r="H13" s="279"/>
      <c r="I13" s="279"/>
      <c r="J13" s="281"/>
      <c r="K13" s="279"/>
      <c r="L13" s="279"/>
      <c r="M13" s="279"/>
      <c r="N13" s="279"/>
    </row>
    <row r="14" ht="12.75" customHeight="1">
      <c r="A14" s="277" t="s">
        <v>367</v>
      </c>
      <c r="B14" s="278">
        <v>49.0</v>
      </c>
      <c r="C14" s="279" t="s">
        <v>421</v>
      </c>
      <c r="D14" s="279"/>
      <c r="E14" s="284" t="s">
        <v>427</v>
      </c>
      <c r="F14" s="279"/>
      <c r="G14" s="279"/>
      <c r="H14" s="279"/>
      <c r="I14" s="279"/>
      <c r="J14" s="281"/>
      <c r="K14" s="279"/>
      <c r="L14" s="279"/>
      <c r="M14" s="279"/>
      <c r="N14" s="279"/>
    </row>
    <row r="15" ht="12.75" customHeight="1">
      <c r="A15" s="282" t="s">
        <v>27</v>
      </c>
      <c r="B15" s="278">
        <v>3.0</v>
      </c>
      <c r="C15" s="279" t="s">
        <v>421</v>
      </c>
      <c r="D15" s="279"/>
      <c r="E15" s="284" t="s">
        <v>436</v>
      </c>
      <c r="F15" s="279"/>
      <c r="G15" s="279"/>
      <c r="H15" s="279"/>
      <c r="I15" s="279"/>
      <c r="J15" s="281"/>
      <c r="K15" s="279"/>
      <c r="L15" s="279"/>
      <c r="M15" s="279"/>
      <c r="N15" s="279"/>
    </row>
    <row r="16" ht="12.75" customHeight="1">
      <c r="A16" s="277" t="s">
        <v>108</v>
      </c>
      <c r="B16" s="278">
        <v>28.0</v>
      </c>
      <c r="C16" s="279" t="s">
        <v>421</v>
      </c>
      <c r="D16" s="279"/>
      <c r="E16" s="284" t="s">
        <v>437</v>
      </c>
      <c r="F16" s="279"/>
      <c r="G16" s="279"/>
      <c r="H16" s="279"/>
      <c r="I16" s="279"/>
      <c r="J16" s="281"/>
      <c r="K16" s="279"/>
      <c r="L16" s="279"/>
      <c r="M16" s="279"/>
      <c r="N16" s="279"/>
    </row>
    <row r="17" ht="12.75" customHeight="1">
      <c r="A17" s="277" t="s">
        <v>438</v>
      </c>
      <c r="B17" s="283">
        <v>49.0</v>
      </c>
      <c r="C17" s="279" t="s">
        <v>426</v>
      </c>
      <c r="D17" s="279"/>
      <c r="E17" s="284" t="s">
        <v>427</v>
      </c>
      <c r="F17" s="279"/>
      <c r="G17" s="279"/>
      <c r="H17" s="279"/>
      <c r="I17" s="279"/>
      <c r="J17" s="281"/>
      <c r="K17" s="279"/>
      <c r="L17" s="279"/>
      <c r="M17" s="279"/>
      <c r="N17" s="279"/>
    </row>
    <row r="18" ht="12.75" customHeight="1">
      <c r="A18" s="277" t="s">
        <v>44</v>
      </c>
      <c r="B18" s="278">
        <v>24.0</v>
      </c>
      <c r="C18" s="279" t="s">
        <v>421</v>
      </c>
      <c r="D18" s="279"/>
      <c r="E18" s="284" t="s">
        <v>439</v>
      </c>
      <c r="F18" s="279"/>
      <c r="G18" s="279"/>
      <c r="H18" s="279"/>
      <c r="I18" s="279"/>
      <c r="J18" s="281"/>
      <c r="K18" s="279"/>
      <c r="L18" s="279"/>
      <c r="M18" s="279"/>
      <c r="N18" s="279"/>
    </row>
    <row r="19" ht="12.75" customHeight="1">
      <c r="A19" s="282" t="s">
        <v>35</v>
      </c>
      <c r="B19" s="283">
        <v>49.0</v>
      </c>
      <c r="C19" s="279" t="s">
        <v>421</v>
      </c>
      <c r="D19" s="279"/>
      <c r="E19" s="284" t="s">
        <v>427</v>
      </c>
      <c r="F19" s="279"/>
      <c r="G19" s="279"/>
      <c r="H19" s="279"/>
      <c r="I19" s="279"/>
      <c r="J19" s="281"/>
      <c r="K19" s="279"/>
      <c r="L19" s="279"/>
      <c r="M19" s="279"/>
      <c r="N19" s="279"/>
    </row>
    <row r="20" ht="12.75" customHeight="1">
      <c r="A20" s="282" t="s">
        <v>37</v>
      </c>
      <c r="B20" s="283">
        <v>49.0</v>
      </c>
      <c r="C20" s="279" t="s">
        <v>421</v>
      </c>
      <c r="D20" s="279"/>
      <c r="E20" s="284" t="s">
        <v>427</v>
      </c>
      <c r="F20" s="279"/>
      <c r="G20" s="279"/>
      <c r="H20" s="279"/>
      <c r="I20" s="279"/>
      <c r="J20" s="281"/>
      <c r="K20" s="279"/>
      <c r="L20" s="279"/>
      <c r="M20" s="279"/>
      <c r="N20" s="279"/>
    </row>
    <row r="21" ht="12.75" customHeight="1">
      <c r="A21" s="282" t="s">
        <v>366</v>
      </c>
      <c r="B21" s="283">
        <v>49.0</v>
      </c>
      <c r="C21" s="279" t="s">
        <v>440</v>
      </c>
      <c r="D21" s="279"/>
      <c r="E21" s="284" t="s">
        <v>427</v>
      </c>
      <c r="F21" s="279"/>
      <c r="G21" s="279"/>
      <c r="H21" s="279"/>
      <c r="I21" s="279"/>
      <c r="J21" s="281"/>
      <c r="K21" s="279"/>
      <c r="L21" s="279"/>
      <c r="M21" s="279"/>
      <c r="N21" s="279"/>
    </row>
    <row r="22" ht="12.75" customHeight="1"/>
    <row r="23" ht="12.75" customHeight="1">
      <c r="A23" s="285" t="s">
        <v>441</v>
      </c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7"/>
    </row>
    <row r="24" ht="12.75" customHeight="1">
      <c r="A24" s="288" t="s">
        <v>442</v>
      </c>
      <c r="B24" s="274" t="s">
        <v>356</v>
      </c>
      <c r="C24" s="276" t="s">
        <v>79</v>
      </c>
      <c r="D24" s="276" t="s">
        <v>80</v>
      </c>
      <c r="E24" s="276" t="s">
        <v>81</v>
      </c>
      <c r="F24" s="276" t="s">
        <v>82</v>
      </c>
      <c r="G24" s="276" t="s">
        <v>83</v>
      </c>
      <c r="H24" s="276" t="s">
        <v>84</v>
      </c>
      <c r="I24" s="276" t="s">
        <v>443</v>
      </c>
      <c r="J24" s="276" t="s">
        <v>444</v>
      </c>
      <c r="K24" s="276" t="s">
        <v>445</v>
      </c>
      <c r="L24" s="276" t="s">
        <v>446</v>
      </c>
      <c r="M24" s="276" t="s">
        <v>447</v>
      </c>
      <c r="N24" s="276" t="s">
        <v>448</v>
      </c>
      <c r="O24" s="275" t="s">
        <v>449</v>
      </c>
    </row>
    <row r="25" ht="12.75" customHeight="1">
      <c r="A25" s="282" t="s">
        <v>450</v>
      </c>
      <c r="B25" s="277" t="s">
        <v>282</v>
      </c>
      <c r="C25" s="289" t="s">
        <v>451</v>
      </c>
      <c r="D25" s="289" t="s">
        <v>451</v>
      </c>
      <c r="E25" s="290">
        <v>0.25</v>
      </c>
      <c r="F25" s="289" t="s">
        <v>451</v>
      </c>
      <c r="G25" s="289" t="s">
        <v>451</v>
      </c>
      <c r="H25" s="289" t="s">
        <v>451</v>
      </c>
      <c r="I25" s="291" t="str">
        <f t="shared" ref="I25:N25" si="1">iferror(C25*$B$3, "-")</f>
        <v>-</v>
      </c>
      <c r="J25" s="291" t="str">
        <f t="shared" si="1"/>
        <v>-</v>
      </c>
      <c r="K25" s="291">
        <f t="shared" si="1"/>
        <v>3.25</v>
      </c>
      <c r="L25" s="291" t="str">
        <f t="shared" si="1"/>
        <v>-</v>
      </c>
      <c r="M25" s="291" t="str">
        <f t="shared" si="1"/>
        <v>-</v>
      </c>
      <c r="N25" s="291" t="str">
        <f t="shared" si="1"/>
        <v>-</v>
      </c>
      <c r="O25" s="292">
        <f t="shared" ref="O25:O138" si="3">SUM(I25:N25)</f>
        <v>3.25</v>
      </c>
    </row>
    <row r="26" ht="12.75" customHeight="1">
      <c r="A26" s="282" t="s">
        <v>450</v>
      </c>
      <c r="B26" s="277" t="s">
        <v>283</v>
      </c>
      <c r="C26" s="293" t="s">
        <v>451</v>
      </c>
      <c r="D26" s="293" t="s">
        <v>451</v>
      </c>
      <c r="E26" s="294">
        <v>0.25</v>
      </c>
      <c r="F26" s="293" t="s">
        <v>451</v>
      </c>
      <c r="G26" s="293" t="s">
        <v>451</v>
      </c>
      <c r="H26" s="293" t="s">
        <v>451</v>
      </c>
      <c r="I26" s="291" t="str">
        <f t="shared" ref="I26:N26" si="2">iferror(C26*$B$4, "-")</f>
        <v>-</v>
      </c>
      <c r="J26" s="291" t="str">
        <f t="shared" si="2"/>
        <v>-</v>
      </c>
      <c r="K26" s="291">
        <f t="shared" si="2"/>
        <v>3</v>
      </c>
      <c r="L26" s="291" t="str">
        <f t="shared" si="2"/>
        <v>-</v>
      </c>
      <c r="M26" s="291" t="str">
        <f t="shared" si="2"/>
        <v>-</v>
      </c>
      <c r="N26" s="291" t="str">
        <f t="shared" si="2"/>
        <v>-</v>
      </c>
      <c r="O26" s="292">
        <f t="shared" si="3"/>
        <v>3</v>
      </c>
    </row>
    <row r="27" ht="12.75" customHeight="1">
      <c r="A27" s="282" t="s">
        <v>450</v>
      </c>
      <c r="B27" s="277" t="s">
        <v>284</v>
      </c>
      <c r="C27" s="293" t="s">
        <v>451</v>
      </c>
      <c r="D27" s="293" t="s">
        <v>451</v>
      </c>
      <c r="E27" s="294">
        <v>0.25</v>
      </c>
      <c r="F27" s="293" t="s">
        <v>451</v>
      </c>
      <c r="G27" s="293" t="s">
        <v>451</v>
      </c>
      <c r="H27" s="293" t="s">
        <v>451</v>
      </c>
      <c r="I27" s="291" t="str">
        <f t="shared" ref="I27:N27" si="4">iferror(C27*$B$5, "-")</f>
        <v>-</v>
      </c>
      <c r="J27" s="291" t="str">
        <f t="shared" si="4"/>
        <v>-</v>
      </c>
      <c r="K27" s="291">
        <f t="shared" si="4"/>
        <v>3</v>
      </c>
      <c r="L27" s="291" t="str">
        <f t="shared" si="4"/>
        <v>-</v>
      </c>
      <c r="M27" s="291" t="str">
        <f t="shared" si="4"/>
        <v>-</v>
      </c>
      <c r="N27" s="291" t="str">
        <f t="shared" si="4"/>
        <v>-</v>
      </c>
      <c r="O27" s="292">
        <f t="shared" si="3"/>
        <v>3</v>
      </c>
    </row>
    <row r="28" ht="12.75" customHeight="1">
      <c r="A28" s="282" t="s">
        <v>450</v>
      </c>
      <c r="B28" s="282" t="s">
        <v>41</v>
      </c>
      <c r="C28" s="293" t="s">
        <v>451</v>
      </c>
      <c r="D28" s="293" t="s">
        <v>451</v>
      </c>
      <c r="E28" s="294">
        <v>0.25</v>
      </c>
      <c r="F28" s="293" t="s">
        <v>451</v>
      </c>
      <c r="G28" s="293" t="s">
        <v>451</v>
      </c>
      <c r="H28" s="293" t="s">
        <v>451</v>
      </c>
      <c r="I28" s="291" t="str">
        <f t="shared" ref="I28:N28" si="5">iferror(C28*$B$6, "-")</f>
        <v>-</v>
      </c>
      <c r="J28" s="291" t="str">
        <f t="shared" si="5"/>
        <v>-</v>
      </c>
      <c r="K28" s="291">
        <f t="shared" si="5"/>
        <v>3</v>
      </c>
      <c r="L28" s="291" t="str">
        <f t="shared" si="5"/>
        <v>-</v>
      </c>
      <c r="M28" s="291" t="str">
        <f t="shared" si="5"/>
        <v>-</v>
      </c>
      <c r="N28" s="291" t="str">
        <f t="shared" si="5"/>
        <v>-</v>
      </c>
      <c r="O28" s="292">
        <f t="shared" si="3"/>
        <v>3</v>
      </c>
    </row>
    <row r="29" ht="12.75" customHeight="1">
      <c r="A29" s="282" t="s">
        <v>450</v>
      </c>
      <c r="B29" s="277" t="s">
        <v>371</v>
      </c>
      <c r="C29" s="294">
        <v>0.25</v>
      </c>
      <c r="D29" s="293" t="s">
        <v>451</v>
      </c>
      <c r="E29" s="294">
        <v>0.25</v>
      </c>
      <c r="F29" s="294">
        <v>0.25</v>
      </c>
      <c r="G29" s="293" t="s">
        <v>451</v>
      </c>
      <c r="H29" s="293" t="s">
        <v>451</v>
      </c>
      <c r="I29" s="291">
        <f t="shared" ref="I29:N29" si="6">iferror(C29*$B$7, "-")</f>
        <v>12.25</v>
      </c>
      <c r="J29" s="291" t="str">
        <f t="shared" si="6"/>
        <v>-</v>
      </c>
      <c r="K29" s="291">
        <f t="shared" si="6"/>
        <v>12.25</v>
      </c>
      <c r="L29" s="291">
        <f t="shared" si="6"/>
        <v>12.25</v>
      </c>
      <c r="M29" s="291" t="str">
        <f t="shared" si="6"/>
        <v>-</v>
      </c>
      <c r="N29" s="291" t="str">
        <f t="shared" si="6"/>
        <v>-</v>
      </c>
      <c r="O29" s="292">
        <f t="shared" si="3"/>
        <v>36.75</v>
      </c>
    </row>
    <row r="30" ht="12.75" customHeight="1">
      <c r="A30" s="282" t="s">
        <v>450</v>
      </c>
      <c r="B30" s="277" t="s">
        <v>428</v>
      </c>
      <c r="C30" s="293" t="s">
        <v>451</v>
      </c>
      <c r="D30" s="293" t="s">
        <v>451</v>
      </c>
      <c r="E30" s="293" t="s">
        <v>451</v>
      </c>
      <c r="F30" s="294">
        <v>0.25</v>
      </c>
      <c r="G30" s="294">
        <v>0.25</v>
      </c>
      <c r="H30" s="293" t="s">
        <v>451</v>
      </c>
      <c r="I30" s="291" t="str">
        <f t="shared" ref="I30:N30" si="7">iferror(C30*$B$8, "-")</f>
        <v>-</v>
      </c>
      <c r="J30" s="291" t="str">
        <f t="shared" si="7"/>
        <v>-</v>
      </c>
      <c r="K30" s="291" t="str">
        <f t="shared" si="7"/>
        <v>-</v>
      </c>
      <c r="L30" s="291">
        <f t="shared" si="7"/>
        <v>12.25</v>
      </c>
      <c r="M30" s="291">
        <f t="shared" si="7"/>
        <v>12.25</v>
      </c>
      <c r="N30" s="291" t="str">
        <f t="shared" si="7"/>
        <v>-</v>
      </c>
      <c r="O30" s="292">
        <f t="shared" si="3"/>
        <v>24.5</v>
      </c>
    </row>
    <row r="31" ht="12.75" customHeight="1">
      <c r="A31" s="282" t="s">
        <v>450</v>
      </c>
      <c r="B31" s="277" t="s">
        <v>429</v>
      </c>
      <c r="C31" s="293" t="s">
        <v>451</v>
      </c>
      <c r="D31" s="294">
        <v>0.25</v>
      </c>
      <c r="E31" s="293" t="s">
        <v>451</v>
      </c>
      <c r="F31" s="293" t="s">
        <v>451</v>
      </c>
      <c r="G31" s="293" t="s">
        <v>451</v>
      </c>
      <c r="H31" s="293" t="s">
        <v>451</v>
      </c>
      <c r="I31" s="291" t="str">
        <f t="shared" ref="I31:N31" si="8">iferror(C31*$B$9, "-")</f>
        <v>-</v>
      </c>
      <c r="J31" s="291">
        <f t="shared" si="8"/>
        <v>3</v>
      </c>
      <c r="K31" s="291" t="str">
        <f t="shared" si="8"/>
        <v>-</v>
      </c>
      <c r="L31" s="291" t="str">
        <f t="shared" si="8"/>
        <v>-</v>
      </c>
      <c r="M31" s="291" t="str">
        <f t="shared" si="8"/>
        <v>-</v>
      </c>
      <c r="N31" s="291" t="str">
        <f t="shared" si="8"/>
        <v>-</v>
      </c>
      <c r="O31" s="292">
        <f t="shared" si="3"/>
        <v>3</v>
      </c>
    </row>
    <row r="32" ht="12.75" customHeight="1">
      <c r="A32" s="282" t="s">
        <v>450</v>
      </c>
      <c r="B32" s="282" t="s">
        <v>163</v>
      </c>
      <c r="C32" s="293" t="s">
        <v>451</v>
      </c>
      <c r="D32" s="294">
        <v>0.25</v>
      </c>
      <c r="E32" s="293" t="s">
        <v>451</v>
      </c>
      <c r="F32" s="293" t="s">
        <v>451</v>
      </c>
      <c r="G32" s="293" t="s">
        <v>451</v>
      </c>
      <c r="H32" s="293" t="s">
        <v>451</v>
      </c>
      <c r="I32" s="291" t="str">
        <f t="shared" ref="I32:N32" si="9">iferror(C32*$B$10, "-")</f>
        <v>-</v>
      </c>
      <c r="J32" s="291">
        <f t="shared" si="9"/>
        <v>3.25</v>
      </c>
      <c r="K32" s="291" t="str">
        <f t="shared" si="9"/>
        <v>-</v>
      </c>
      <c r="L32" s="291" t="str">
        <f t="shared" si="9"/>
        <v>-</v>
      </c>
      <c r="M32" s="291" t="str">
        <f t="shared" si="9"/>
        <v>-</v>
      </c>
      <c r="N32" s="291" t="str">
        <f t="shared" si="9"/>
        <v>-</v>
      </c>
      <c r="O32" s="292">
        <f t="shared" si="3"/>
        <v>3.25</v>
      </c>
    </row>
    <row r="33" ht="12.75" customHeight="1">
      <c r="A33" s="282" t="s">
        <v>450</v>
      </c>
      <c r="B33" s="277" t="s">
        <v>368</v>
      </c>
      <c r="C33" s="293" t="s">
        <v>451</v>
      </c>
      <c r="D33" s="294">
        <v>0.25</v>
      </c>
      <c r="E33" s="293" t="s">
        <v>451</v>
      </c>
      <c r="F33" s="293" t="s">
        <v>451</v>
      </c>
      <c r="G33" s="293" t="s">
        <v>451</v>
      </c>
      <c r="H33" s="293" t="s">
        <v>451</v>
      </c>
      <c r="I33" s="291" t="str">
        <f t="shared" ref="I33:N33" si="10">iferror(C33*$B$11, "-")</f>
        <v>-</v>
      </c>
      <c r="J33" s="291">
        <f t="shared" si="10"/>
        <v>3.75</v>
      </c>
      <c r="K33" s="291" t="str">
        <f t="shared" si="10"/>
        <v>-</v>
      </c>
      <c r="L33" s="291" t="str">
        <f t="shared" si="10"/>
        <v>-</v>
      </c>
      <c r="M33" s="291" t="str">
        <f t="shared" si="10"/>
        <v>-</v>
      </c>
      <c r="N33" s="291" t="str">
        <f t="shared" si="10"/>
        <v>-</v>
      </c>
      <c r="O33" s="292">
        <f t="shared" si="3"/>
        <v>3.75</v>
      </c>
    </row>
    <row r="34" ht="12.75" customHeight="1">
      <c r="A34" s="282" t="s">
        <v>450</v>
      </c>
      <c r="B34" s="277" t="s">
        <v>433</v>
      </c>
      <c r="C34" s="293" t="s">
        <v>451</v>
      </c>
      <c r="D34" s="294">
        <v>0.25</v>
      </c>
      <c r="E34" s="293" t="s">
        <v>451</v>
      </c>
      <c r="F34" s="293" t="s">
        <v>451</v>
      </c>
      <c r="G34" s="293" t="s">
        <v>451</v>
      </c>
      <c r="H34" s="293" t="s">
        <v>451</v>
      </c>
      <c r="I34" s="291" t="str">
        <f t="shared" ref="I34:N34" si="11">iferror(C34*$B$12, "-")</f>
        <v>-</v>
      </c>
      <c r="J34" s="291">
        <f t="shared" si="11"/>
        <v>4</v>
      </c>
      <c r="K34" s="291" t="str">
        <f t="shared" si="11"/>
        <v>-</v>
      </c>
      <c r="L34" s="291" t="str">
        <f t="shared" si="11"/>
        <v>-</v>
      </c>
      <c r="M34" s="291" t="str">
        <f t="shared" si="11"/>
        <v>-</v>
      </c>
      <c r="N34" s="291" t="str">
        <f t="shared" si="11"/>
        <v>-</v>
      </c>
      <c r="O34" s="292">
        <f t="shared" si="3"/>
        <v>4</v>
      </c>
    </row>
    <row r="35" ht="12.75" customHeight="1">
      <c r="A35" s="282" t="s">
        <v>450</v>
      </c>
      <c r="B35" s="277" t="s">
        <v>38</v>
      </c>
      <c r="C35" s="293" t="s">
        <v>451</v>
      </c>
      <c r="D35" s="293" t="s">
        <v>451</v>
      </c>
      <c r="E35" s="293" t="s">
        <v>451</v>
      </c>
      <c r="F35" s="293" t="s">
        <v>451</v>
      </c>
      <c r="G35" s="293" t="s">
        <v>451</v>
      </c>
      <c r="H35" s="293" t="s">
        <v>451</v>
      </c>
      <c r="I35" s="291" t="str">
        <f t="shared" ref="I35:N35" si="12">iferror(C35*$B$13, "-")</f>
        <v>-</v>
      </c>
      <c r="J35" s="291" t="str">
        <f t="shared" si="12"/>
        <v>-</v>
      </c>
      <c r="K35" s="291" t="str">
        <f t="shared" si="12"/>
        <v>-</v>
      </c>
      <c r="L35" s="291" t="str">
        <f t="shared" si="12"/>
        <v>-</v>
      </c>
      <c r="M35" s="291" t="str">
        <f t="shared" si="12"/>
        <v>-</v>
      </c>
      <c r="N35" s="291" t="str">
        <f t="shared" si="12"/>
        <v>-</v>
      </c>
      <c r="O35" s="292">
        <f t="shared" si="3"/>
        <v>0</v>
      </c>
    </row>
    <row r="36" ht="12.75" customHeight="1">
      <c r="A36" s="282" t="s">
        <v>450</v>
      </c>
      <c r="B36" s="277" t="s">
        <v>367</v>
      </c>
      <c r="C36" s="293" t="s">
        <v>451</v>
      </c>
      <c r="D36" s="293" t="s">
        <v>451</v>
      </c>
      <c r="E36" s="293" t="s">
        <v>451</v>
      </c>
      <c r="F36" s="293" t="s">
        <v>451</v>
      </c>
      <c r="G36" s="293" t="s">
        <v>451</v>
      </c>
      <c r="H36" s="293" t="s">
        <v>451</v>
      </c>
      <c r="I36" s="291" t="str">
        <f t="shared" ref="I36:N36" si="13">iferror(C36*$B$14, "-")</f>
        <v>-</v>
      </c>
      <c r="J36" s="291" t="str">
        <f t="shared" si="13"/>
        <v>-</v>
      </c>
      <c r="K36" s="291" t="str">
        <f t="shared" si="13"/>
        <v>-</v>
      </c>
      <c r="L36" s="291" t="str">
        <f t="shared" si="13"/>
        <v>-</v>
      </c>
      <c r="M36" s="291" t="str">
        <f t="shared" si="13"/>
        <v>-</v>
      </c>
      <c r="N36" s="291" t="str">
        <f t="shared" si="13"/>
        <v>-</v>
      </c>
      <c r="O36" s="292">
        <f t="shared" si="3"/>
        <v>0</v>
      </c>
    </row>
    <row r="37" ht="12.75" customHeight="1">
      <c r="A37" s="282" t="s">
        <v>450</v>
      </c>
      <c r="B37" s="282" t="s">
        <v>27</v>
      </c>
      <c r="C37" s="293" t="s">
        <v>451</v>
      </c>
      <c r="D37" s="294">
        <v>0.25</v>
      </c>
      <c r="E37" s="293" t="s">
        <v>451</v>
      </c>
      <c r="F37" s="293" t="s">
        <v>451</v>
      </c>
      <c r="G37" s="293" t="s">
        <v>451</v>
      </c>
      <c r="H37" s="293" t="s">
        <v>451</v>
      </c>
      <c r="I37" s="291" t="str">
        <f t="shared" ref="I37:N37" si="14">iferror(C37*$B$15, "-")</f>
        <v>-</v>
      </c>
      <c r="J37" s="291">
        <f t="shared" si="14"/>
        <v>0.75</v>
      </c>
      <c r="K37" s="291" t="str">
        <f t="shared" si="14"/>
        <v>-</v>
      </c>
      <c r="L37" s="291" t="str">
        <f t="shared" si="14"/>
        <v>-</v>
      </c>
      <c r="M37" s="291" t="str">
        <f t="shared" si="14"/>
        <v>-</v>
      </c>
      <c r="N37" s="291" t="str">
        <f t="shared" si="14"/>
        <v>-</v>
      </c>
      <c r="O37" s="292">
        <f t="shared" si="3"/>
        <v>0.75</v>
      </c>
    </row>
    <row r="38" ht="12.75" customHeight="1">
      <c r="A38" s="282" t="s">
        <v>450</v>
      </c>
      <c r="B38" s="277" t="s">
        <v>108</v>
      </c>
      <c r="C38" s="293" t="s">
        <v>451</v>
      </c>
      <c r="D38" s="293" t="s">
        <v>451</v>
      </c>
      <c r="E38" s="293" t="s">
        <v>451</v>
      </c>
      <c r="F38" s="293" t="s">
        <v>451</v>
      </c>
      <c r="G38" s="293" t="s">
        <v>451</v>
      </c>
      <c r="H38" s="293" t="s">
        <v>451</v>
      </c>
      <c r="I38" s="291" t="str">
        <f t="shared" ref="I38:N38" si="15">iferror(C38*$B$16, "-")</f>
        <v>-</v>
      </c>
      <c r="J38" s="291" t="str">
        <f t="shared" si="15"/>
        <v>-</v>
      </c>
      <c r="K38" s="291" t="str">
        <f t="shared" si="15"/>
        <v>-</v>
      </c>
      <c r="L38" s="291" t="str">
        <f t="shared" si="15"/>
        <v>-</v>
      </c>
      <c r="M38" s="291" t="str">
        <f t="shared" si="15"/>
        <v>-</v>
      </c>
      <c r="N38" s="291" t="str">
        <f t="shared" si="15"/>
        <v>-</v>
      </c>
      <c r="O38" s="292">
        <f t="shared" si="3"/>
        <v>0</v>
      </c>
    </row>
    <row r="39" ht="12.75" customHeight="1">
      <c r="A39" s="282" t="s">
        <v>450</v>
      </c>
      <c r="B39" s="277" t="s">
        <v>438</v>
      </c>
      <c r="C39" s="293" t="s">
        <v>451</v>
      </c>
      <c r="D39" s="293" t="s">
        <v>451</v>
      </c>
      <c r="E39" s="293" t="s">
        <v>451</v>
      </c>
      <c r="F39" s="293" t="s">
        <v>451</v>
      </c>
      <c r="G39" s="293" t="s">
        <v>451</v>
      </c>
      <c r="H39" s="293" t="s">
        <v>451</v>
      </c>
      <c r="I39" s="291" t="str">
        <f t="shared" ref="I39:N39" si="16">iferror(C39*$B$17, "-")</f>
        <v>-</v>
      </c>
      <c r="J39" s="291" t="str">
        <f t="shared" si="16"/>
        <v>-</v>
      </c>
      <c r="K39" s="291" t="str">
        <f t="shared" si="16"/>
        <v>-</v>
      </c>
      <c r="L39" s="291" t="str">
        <f t="shared" si="16"/>
        <v>-</v>
      </c>
      <c r="M39" s="291" t="str">
        <f t="shared" si="16"/>
        <v>-</v>
      </c>
      <c r="N39" s="291" t="str">
        <f t="shared" si="16"/>
        <v>-</v>
      </c>
      <c r="O39" s="292">
        <f t="shared" si="3"/>
        <v>0</v>
      </c>
    </row>
    <row r="40" ht="12.75" customHeight="1">
      <c r="A40" s="282" t="s">
        <v>450</v>
      </c>
      <c r="B40" s="295" t="s">
        <v>44</v>
      </c>
      <c r="C40" s="294">
        <v>0.25</v>
      </c>
      <c r="D40" s="296" t="s">
        <v>451</v>
      </c>
      <c r="E40" s="296" t="s">
        <v>451</v>
      </c>
      <c r="F40" s="296" t="s">
        <v>451</v>
      </c>
      <c r="G40" s="296" t="s">
        <v>451</v>
      </c>
      <c r="H40" s="296" t="s">
        <v>451</v>
      </c>
      <c r="I40" s="291">
        <f t="shared" ref="I40:N40" si="17">iferror(C40*$B$18, "-")</f>
        <v>6</v>
      </c>
      <c r="J40" s="291" t="str">
        <f t="shared" si="17"/>
        <v>-</v>
      </c>
      <c r="K40" s="291" t="str">
        <f t="shared" si="17"/>
        <v>-</v>
      </c>
      <c r="L40" s="291" t="str">
        <f t="shared" si="17"/>
        <v>-</v>
      </c>
      <c r="M40" s="291" t="str">
        <f t="shared" si="17"/>
        <v>-</v>
      </c>
      <c r="N40" s="291" t="str">
        <f t="shared" si="17"/>
        <v>-</v>
      </c>
      <c r="O40" s="291">
        <f t="shared" si="3"/>
        <v>6</v>
      </c>
      <c r="P40" s="297"/>
      <c r="Q40" s="297"/>
      <c r="R40" s="297"/>
      <c r="S40" s="297"/>
      <c r="T40" s="297"/>
      <c r="U40" s="297"/>
      <c r="V40" s="297"/>
      <c r="W40" s="297"/>
      <c r="X40" s="297"/>
      <c r="Y40" s="297"/>
      <c r="Z40" s="297"/>
      <c r="AA40" s="297"/>
      <c r="AB40" s="297"/>
      <c r="AC40" s="297"/>
      <c r="AD40" s="297"/>
      <c r="AE40" s="297"/>
      <c r="AF40" s="297"/>
      <c r="AG40" s="297"/>
      <c r="AH40" s="297"/>
      <c r="AI40" s="297"/>
      <c r="AJ40" s="297"/>
      <c r="AK40" s="297"/>
      <c r="AL40" s="297"/>
      <c r="AM40" s="297"/>
      <c r="AN40" s="297"/>
      <c r="AO40" s="297"/>
      <c r="AP40" s="297"/>
      <c r="AQ40" s="297"/>
      <c r="AR40" s="297"/>
      <c r="AS40" s="297"/>
      <c r="AT40" s="297"/>
    </row>
    <row r="41" ht="12.75" customHeight="1">
      <c r="A41" s="282" t="s">
        <v>450</v>
      </c>
      <c r="B41" s="282" t="s">
        <v>35</v>
      </c>
      <c r="C41" s="294">
        <v>0.25</v>
      </c>
      <c r="D41" s="296" t="s">
        <v>451</v>
      </c>
      <c r="E41" s="294">
        <v>0.25</v>
      </c>
      <c r="F41" s="296" t="s">
        <v>451</v>
      </c>
      <c r="G41" s="296" t="s">
        <v>451</v>
      </c>
      <c r="H41" s="296" t="s">
        <v>451</v>
      </c>
      <c r="I41" s="291">
        <f t="shared" ref="I41:N41" si="18">iferror(C41*$B$19, "-")</f>
        <v>12.25</v>
      </c>
      <c r="J41" s="291" t="str">
        <f t="shared" si="18"/>
        <v>-</v>
      </c>
      <c r="K41" s="291">
        <f t="shared" si="18"/>
        <v>12.25</v>
      </c>
      <c r="L41" s="291" t="str">
        <f t="shared" si="18"/>
        <v>-</v>
      </c>
      <c r="M41" s="291" t="str">
        <f t="shared" si="18"/>
        <v>-</v>
      </c>
      <c r="N41" s="291" t="str">
        <f t="shared" si="18"/>
        <v>-</v>
      </c>
      <c r="O41" s="291">
        <f t="shared" si="3"/>
        <v>24.5</v>
      </c>
    </row>
    <row r="42" ht="12.75" customHeight="1">
      <c r="A42" s="282" t="s">
        <v>450</v>
      </c>
      <c r="B42" s="282" t="s">
        <v>37</v>
      </c>
      <c r="C42" s="294">
        <v>0.25</v>
      </c>
      <c r="D42" s="296" t="s">
        <v>451</v>
      </c>
      <c r="E42" s="294">
        <v>0.25</v>
      </c>
      <c r="F42" s="296" t="s">
        <v>451</v>
      </c>
      <c r="G42" s="296" t="s">
        <v>451</v>
      </c>
      <c r="H42" s="296" t="s">
        <v>451</v>
      </c>
      <c r="I42" s="291">
        <f t="shared" ref="I42:N42" si="19">iferror(C42*$B$20, "-")</f>
        <v>12.25</v>
      </c>
      <c r="J42" s="291" t="str">
        <f t="shared" si="19"/>
        <v>-</v>
      </c>
      <c r="K42" s="291">
        <f t="shared" si="19"/>
        <v>12.25</v>
      </c>
      <c r="L42" s="291" t="str">
        <f t="shared" si="19"/>
        <v>-</v>
      </c>
      <c r="M42" s="291" t="str">
        <f t="shared" si="19"/>
        <v>-</v>
      </c>
      <c r="N42" s="291" t="str">
        <f t="shared" si="19"/>
        <v>-</v>
      </c>
      <c r="O42" s="291">
        <f t="shared" si="3"/>
        <v>24.5</v>
      </c>
    </row>
    <row r="43" ht="12.75" customHeight="1">
      <c r="A43" s="298" t="s">
        <v>450</v>
      </c>
      <c r="B43" s="298" t="s">
        <v>366</v>
      </c>
      <c r="C43" s="299" t="s">
        <v>451</v>
      </c>
      <c r="D43" s="299" t="s">
        <v>451</v>
      </c>
      <c r="E43" s="299" t="s">
        <v>451</v>
      </c>
      <c r="F43" s="299" t="s">
        <v>451</v>
      </c>
      <c r="G43" s="299" t="s">
        <v>451</v>
      </c>
      <c r="H43" s="299" t="s">
        <v>451</v>
      </c>
      <c r="I43" s="300" t="str">
        <f t="shared" ref="I43:N43" si="20">iferror(C43*$B$21, "-")</f>
        <v>-</v>
      </c>
      <c r="J43" s="300" t="str">
        <f t="shared" si="20"/>
        <v>-</v>
      </c>
      <c r="K43" s="300" t="str">
        <f t="shared" si="20"/>
        <v>-</v>
      </c>
      <c r="L43" s="300" t="str">
        <f t="shared" si="20"/>
        <v>-</v>
      </c>
      <c r="M43" s="300" t="str">
        <f t="shared" si="20"/>
        <v>-</v>
      </c>
      <c r="N43" s="300" t="str">
        <f t="shared" si="20"/>
        <v>-</v>
      </c>
      <c r="O43" s="301">
        <f t="shared" si="3"/>
        <v>0</v>
      </c>
    </row>
    <row r="44" ht="12.75" customHeight="1">
      <c r="A44" s="282" t="s">
        <v>452</v>
      </c>
      <c r="B44" s="277" t="s">
        <v>282</v>
      </c>
      <c r="C44" s="289" t="s">
        <v>451</v>
      </c>
      <c r="D44" s="289" t="s">
        <v>451</v>
      </c>
      <c r="E44" s="290">
        <v>0.25</v>
      </c>
      <c r="F44" s="289" t="s">
        <v>451</v>
      </c>
      <c r="G44" s="289" t="s">
        <v>451</v>
      </c>
      <c r="H44" s="289" t="s">
        <v>451</v>
      </c>
      <c r="I44" s="291" t="str">
        <f t="shared" ref="I44:N44" si="21">iferror(C44*$B$3, "-")</f>
        <v>-</v>
      </c>
      <c r="J44" s="291" t="str">
        <f t="shared" si="21"/>
        <v>-</v>
      </c>
      <c r="K44" s="291">
        <f t="shared" si="21"/>
        <v>3.25</v>
      </c>
      <c r="L44" s="291" t="str">
        <f t="shared" si="21"/>
        <v>-</v>
      </c>
      <c r="M44" s="291" t="str">
        <f t="shared" si="21"/>
        <v>-</v>
      </c>
      <c r="N44" s="291" t="str">
        <f t="shared" si="21"/>
        <v>-</v>
      </c>
      <c r="O44" s="302">
        <f t="shared" si="3"/>
        <v>3.25</v>
      </c>
    </row>
    <row r="45" ht="12.75" customHeight="1">
      <c r="A45" s="282" t="s">
        <v>452</v>
      </c>
      <c r="B45" s="277" t="s">
        <v>283</v>
      </c>
      <c r="C45" s="293" t="s">
        <v>451</v>
      </c>
      <c r="D45" s="293" t="s">
        <v>451</v>
      </c>
      <c r="E45" s="294">
        <v>0.25</v>
      </c>
      <c r="F45" s="293" t="s">
        <v>451</v>
      </c>
      <c r="G45" s="293" t="s">
        <v>451</v>
      </c>
      <c r="H45" s="293" t="s">
        <v>451</v>
      </c>
      <c r="I45" s="291" t="str">
        <f t="shared" ref="I45:N45" si="22">iferror(C45*$B$4, "-")</f>
        <v>-</v>
      </c>
      <c r="J45" s="291" t="str">
        <f t="shared" si="22"/>
        <v>-</v>
      </c>
      <c r="K45" s="291">
        <f t="shared" si="22"/>
        <v>3</v>
      </c>
      <c r="L45" s="291" t="str">
        <f t="shared" si="22"/>
        <v>-</v>
      </c>
      <c r="M45" s="291" t="str">
        <f t="shared" si="22"/>
        <v>-</v>
      </c>
      <c r="N45" s="291" t="str">
        <f t="shared" si="22"/>
        <v>-</v>
      </c>
      <c r="O45" s="292">
        <f t="shared" si="3"/>
        <v>3</v>
      </c>
    </row>
    <row r="46" ht="12.75" customHeight="1">
      <c r="A46" s="282" t="s">
        <v>452</v>
      </c>
      <c r="B46" s="277" t="s">
        <v>284</v>
      </c>
      <c r="C46" s="293" t="s">
        <v>451</v>
      </c>
      <c r="D46" s="293" t="s">
        <v>451</v>
      </c>
      <c r="E46" s="294">
        <v>0.25</v>
      </c>
      <c r="F46" s="293" t="s">
        <v>451</v>
      </c>
      <c r="G46" s="293" t="s">
        <v>451</v>
      </c>
      <c r="H46" s="293" t="s">
        <v>451</v>
      </c>
      <c r="I46" s="291" t="str">
        <f t="shared" ref="I46:N46" si="23">iferror(C46*$B$5, "-")</f>
        <v>-</v>
      </c>
      <c r="J46" s="291" t="str">
        <f t="shared" si="23"/>
        <v>-</v>
      </c>
      <c r="K46" s="291">
        <f t="shared" si="23"/>
        <v>3</v>
      </c>
      <c r="L46" s="291" t="str">
        <f t="shared" si="23"/>
        <v>-</v>
      </c>
      <c r="M46" s="291" t="str">
        <f t="shared" si="23"/>
        <v>-</v>
      </c>
      <c r="N46" s="291" t="str">
        <f t="shared" si="23"/>
        <v>-</v>
      </c>
      <c r="O46" s="292">
        <f t="shared" si="3"/>
        <v>3</v>
      </c>
    </row>
    <row r="47" ht="12.75" customHeight="1">
      <c r="A47" s="282" t="s">
        <v>452</v>
      </c>
      <c r="B47" s="282" t="s">
        <v>41</v>
      </c>
      <c r="C47" s="293" t="s">
        <v>451</v>
      </c>
      <c r="D47" s="293" t="s">
        <v>451</v>
      </c>
      <c r="E47" s="294">
        <v>0.25</v>
      </c>
      <c r="F47" s="293" t="s">
        <v>451</v>
      </c>
      <c r="G47" s="293" t="s">
        <v>451</v>
      </c>
      <c r="H47" s="293" t="s">
        <v>451</v>
      </c>
      <c r="I47" s="291" t="str">
        <f t="shared" ref="I47:N47" si="24">iferror(C47*$B$6, "-")</f>
        <v>-</v>
      </c>
      <c r="J47" s="291" t="str">
        <f t="shared" si="24"/>
        <v>-</v>
      </c>
      <c r="K47" s="291">
        <f t="shared" si="24"/>
        <v>3</v>
      </c>
      <c r="L47" s="291" t="str">
        <f t="shared" si="24"/>
        <v>-</v>
      </c>
      <c r="M47" s="291" t="str">
        <f t="shared" si="24"/>
        <v>-</v>
      </c>
      <c r="N47" s="291" t="str">
        <f t="shared" si="24"/>
        <v>-</v>
      </c>
      <c r="O47" s="292">
        <f t="shared" si="3"/>
        <v>3</v>
      </c>
    </row>
    <row r="48" ht="12.75" customHeight="1">
      <c r="A48" s="282" t="s">
        <v>452</v>
      </c>
      <c r="B48" s="277" t="s">
        <v>371</v>
      </c>
      <c r="C48" s="294">
        <v>0.25</v>
      </c>
      <c r="D48" s="293" t="s">
        <v>451</v>
      </c>
      <c r="E48" s="294">
        <v>0.25</v>
      </c>
      <c r="F48" s="294">
        <v>0.25</v>
      </c>
      <c r="G48" s="293" t="s">
        <v>451</v>
      </c>
      <c r="H48" s="293" t="s">
        <v>451</v>
      </c>
      <c r="I48" s="291">
        <f t="shared" ref="I48:N48" si="25">iferror(C48*$B$7, "-")</f>
        <v>12.25</v>
      </c>
      <c r="J48" s="291" t="str">
        <f t="shared" si="25"/>
        <v>-</v>
      </c>
      <c r="K48" s="291">
        <f t="shared" si="25"/>
        <v>12.25</v>
      </c>
      <c r="L48" s="291">
        <f t="shared" si="25"/>
        <v>12.25</v>
      </c>
      <c r="M48" s="291" t="str">
        <f t="shared" si="25"/>
        <v>-</v>
      </c>
      <c r="N48" s="291" t="str">
        <f t="shared" si="25"/>
        <v>-</v>
      </c>
      <c r="O48" s="292">
        <f t="shared" si="3"/>
        <v>36.75</v>
      </c>
    </row>
    <row r="49" ht="12.75" customHeight="1">
      <c r="A49" s="282" t="s">
        <v>452</v>
      </c>
      <c r="B49" s="277" t="s">
        <v>428</v>
      </c>
      <c r="C49" s="293" t="s">
        <v>451</v>
      </c>
      <c r="D49" s="293" t="s">
        <v>451</v>
      </c>
      <c r="E49" s="293" t="s">
        <v>451</v>
      </c>
      <c r="F49" s="294">
        <v>0.25</v>
      </c>
      <c r="G49" s="294">
        <v>0.25</v>
      </c>
      <c r="H49" s="293" t="s">
        <v>451</v>
      </c>
      <c r="I49" s="291" t="str">
        <f t="shared" ref="I49:N49" si="26">iferror(C49*$B$8, "-")</f>
        <v>-</v>
      </c>
      <c r="J49" s="291" t="str">
        <f t="shared" si="26"/>
        <v>-</v>
      </c>
      <c r="K49" s="291" t="str">
        <f t="shared" si="26"/>
        <v>-</v>
      </c>
      <c r="L49" s="291">
        <f t="shared" si="26"/>
        <v>12.25</v>
      </c>
      <c r="M49" s="291">
        <f t="shared" si="26"/>
        <v>12.25</v>
      </c>
      <c r="N49" s="291" t="str">
        <f t="shared" si="26"/>
        <v>-</v>
      </c>
      <c r="O49" s="292">
        <f t="shared" si="3"/>
        <v>24.5</v>
      </c>
    </row>
    <row r="50" ht="12.75" customHeight="1">
      <c r="A50" s="282" t="s">
        <v>452</v>
      </c>
      <c r="B50" s="277" t="s">
        <v>429</v>
      </c>
      <c r="C50" s="293" t="s">
        <v>451</v>
      </c>
      <c r="D50" s="294">
        <v>0.25</v>
      </c>
      <c r="E50" s="293" t="s">
        <v>451</v>
      </c>
      <c r="F50" s="293" t="s">
        <v>451</v>
      </c>
      <c r="G50" s="293" t="s">
        <v>451</v>
      </c>
      <c r="H50" s="293" t="s">
        <v>451</v>
      </c>
      <c r="I50" s="291" t="str">
        <f t="shared" ref="I50:N50" si="27">iferror(C50*$B$9, "-")</f>
        <v>-</v>
      </c>
      <c r="J50" s="291">
        <f t="shared" si="27"/>
        <v>3</v>
      </c>
      <c r="K50" s="291" t="str">
        <f t="shared" si="27"/>
        <v>-</v>
      </c>
      <c r="L50" s="291" t="str">
        <f t="shared" si="27"/>
        <v>-</v>
      </c>
      <c r="M50" s="291" t="str">
        <f t="shared" si="27"/>
        <v>-</v>
      </c>
      <c r="N50" s="291" t="str">
        <f t="shared" si="27"/>
        <v>-</v>
      </c>
      <c r="O50" s="292">
        <f t="shared" si="3"/>
        <v>3</v>
      </c>
    </row>
    <row r="51" ht="12.75" customHeight="1">
      <c r="A51" s="282" t="s">
        <v>452</v>
      </c>
      <c r="B51" s="282" t="s">
        <v>163</v>
      </c>
      <c r="C51" s="293" t="s">
        <v>451</v>
      </c>
      <c r="D51" s="294">
        <v>0.25</v>
      </c>
      <c r="E51" s="293" t="s">
        <v>451</v>
      </c>
      <c r="F51" s="293" t="s">
        <v>451</v>
      </c>
      <c r="G51" s="293" t="s">
        <v>451</v>
      </c>
      <c r="H51" s="293" t="s">
        <v>451</v>
      </c>
      <c r="I51" s="291" t="str">
        <f t="shared" ref="I51:N51" si="28">iferror(C51*$B$10, "-")</f>
        <v>-</v>
      </c>
      <c r="J51" s="291">
        <f t="shared" si="28"/>
        <v>3.25</v>
      </c>
      <c r="K51" s="291" t="str">
        <f t="shared" si="28"/>
        <v>-</v>
      </c>
      <c r="L51" s="291" t="str">
        <f t="shared" si="28"/>
        <v>-</v>
      </c>
      <c r="M51" s="291" t="str">
        <f t="shared" si="28"/>
        <v>-</v>
      </c>
      <c r="N51" s="291" t="str">
        <f t="shared" si="28"/>
        <v>-</v>
      </c>
      <c r="O51" s="292">
        <f t="shared" si="3"/>
        <v>3.25</v>
      </c>
    </row>
    <row r="52" ht="12.75" customHeight="1">
      <c r="A52" s="282" t="s">
        <v>452</v>
      </c>
      <c r="B52" s="277" t="s">
        <v>368</v>
      </c>
      <c r="C52" s="293" t="s">
        <v>451</v>
      </c>
      <c r="D52" s="294">
        <v>0.25</v>
      </c>
      <c r="E52" s="293" t="s">
        <v>451</v>
      </c>
      <c r="F52" s="293" t="s">
        <v>451</v>
      </c>
      <c r="G52" s="293" t="s">
        <v>451</v>
      </c>
      <c r="H52" s="293" t="s">
        <v>451</v>
      </c>
      <c r="I52" s="291" t="str">
        <f t="shared" ref="I52:N52" si="29">iferror(C52*$B$11, "-")</f>
        <v>-</v>
      </c>
      <c r="J52" s="291">
        <f t="shared" si="29"/>
        <v>3.75</v>
      </c>
      <c r="K52" s="291" t="str">
        <f t="shared" si="29"/>
        <v>-</v>
      </c>
      <c r="L52" s="291" t="str">
        <f t="shared" si="29"/>
        <v>-</v>
      </c>
      <c r="M52" s="291" t="str">
        <f t="shared" si="29"/>
        <v>-</v>
      </c>
      <c r="N52" s="291" t="str">
        <f t="shared" si="29"/>
        <v>-</v>
      </c>
      <c r="O52" s="292">
        <f t="shared" si="3"/>
        <v>3.75</v>
      </c>
    </row>
    <row r="53" ht="12.75" customHeight="1">
      <c r="A53" s="282" t="s">
        <v>452</v>
      </c>
      <c r="B53" s="277" t="s">
        <v>433</v>
      </c>
      <c r="C53" s="293" t="s">
        <v>451</v>
      </c>
      <c r="D53" s="294">
        <v>0.25</v>
      </c>
      <c r="E53" s="293" t="s">
        <v>451</v>
      </c>
      <c r="F53" s="293" t="s">
        <v>451</v>
      </c>
      <c r="G53" s="293" t="s">
        <v>451</v>
      </c>
      <c r="H53" s="293" t="s">
        <v>451</v>
      </c>
      <c r="I53" s="291" t="str">
        <f t="shared" ref="I53:N53" si="30">iferror(C53*$B$12, "-")</f>
        <v>-</v>
      </c>
      <c r="J53" s="291">
        <f t="shared" si="30"/>
        <v>4</v>
      </c>
      <c r="K53" s="291" t="str">
        <f t="shared" si="30"/>
        <v>-</v>
      </c>
      <c r="L53" s="291" t="str">
        <f t="shared" si="30"/>
        <v>-</v>
      </c>
      <c r="M53" s="291" t="str">
        <f t="shared" si="30"/>
        <v>-</v>
      </c>
      <c r="N53" s="291" t="str">
        <f t="shared" si="30"/>
        <v>-</v>
      </c>
      <c r="O53" s="292">
        <f t="shared" si="3"/>
        <v>4</v>
      </c>
    </row>
    <row r="54" ht="12.75" customHeight="1">
      <c r="A54" s="282" t="s">
        <v>452</v>
      </c>
      <c r="B54" s="277" t="s">
        <v>38</v>
      </c>
      <c r="C54" s="293" t="s">
        <v>451</v>
      </c>
      <c r="D54" s="293" t="s">
        <v>451</v>
      </c>
      <c r="E54" s="293" t="s">
        <v>451</v>
      </c>
      <c r="F54" s="293" t="s">
        <v>451</v>
      </c>
      <c r="G54" s="293" t="s">
        <v>451</v>
      </c>
      <c r="H54" s="293" t="s">
        <v>451</v>
      </c>
      <c r="I54" s="291" t="str">
        <f t="shared" ref="I54:N54" si="31">iferror(C54*$B$13, "-")</f>
        <v>-</v>
      </c>
      <c r="J54" s="291" t="str">
        <f t="shared" si="31"/>
        <v>-</v>
      </c>
      <c r="K54" s="291" t="str">
        <f t="shared" si="31"/>
        <v>-</v>
      </c>
      <c r="L54" s="291" t="str">
        <f t="shared" si="31"/>
        <v>-</v>
      </c>
      <c r="M54" s="291" t="str">
        <f t="shared" si="31"/>
        <v>-</v>
      </c>
      <c r="N54" s="291" t="str">
        <f t="shared" si="31"/>
        <v>-</v>
      </c>
      <c r="O54" s="292">
        <f t="shared" si="3"/>
        <v>0</v>
      </c>
    </row>
    <row r="55" ht="12.75" customHeight="1">
      <c r="A55" s="282" t="s">
        <v>452</v>
      </c>
      <c r="B55" s="277" t="s">
        <v>367</v>
      </c>
      <c r="C55" s="293" t="s">
        <v>451</v>
      </c>
      <c r="D55" s="293" t="s">
        <v>451</v>
      </c>
      <c r="E55" s="293" t="s">
        <v>451</v>
      </c>
      <c r="F55" s="293" t="s">
        <v>451</v>
      </c>
      <c r="G55" s="293" t="s">
        <v>451</v>
      </c>
      <c r="H55" s="293" t="s">
        <v>451</v>
      </c>
      <c r="I55" s="291" t="str">
        <f t="shared" ref="I55:N55" si="32">iferror(C55*$B$14, "-")</f>
        <v>-</v>
      </c>
      <c r="J55" s="291" t="str">
        <f t="shared" si="32"/>
        <v>-</v>
      </c>
      <c r="K55" s="291" t="str">
        <f t="shared" si="32"/>
        <v>-</v>
      </c>
      <c r="L55" s="291" t="str">
        <f t="shared" si="32"/>
        <v>-</v>
      </c>
      <c r="M55" s="291" t="str">
        <f t="shared" si="32"/>
        <v>-</v>
      </c>
      <c r="N55" s="291" t="str">
        <f t="shared" si="32"/>
        <v>-</v>
      </c>
      <c r="O55" s="292">
        <f t="shared" si="3"/>
        <v>0</v>
      </c>
    </row>
    <row r="56" ht="12.75" customHeight="1">
      <c r="A56" s="282" t="s">
        <v>452</v>
      </c>
      <c r="B56" s="282" t="s">
        <v>27</v>
      </c>
      <c r="C56" s="293" t="s">
        <v>451</v>
      </c>
      <c r="D56" s="294">
        <v>0.25</v>
      </c>
      <c r="E56" s="293" t="s">
        <v>451</v>
      </c>
      <c r="F56" s="293" t="s">
        <v>451</v>
      </c>
      <c r="G56" s="293" t="s">
        <v>451</v>
      </c>
      <c r="H56" s="293" t="s">
        <v>451</v>
      </c>
      <c r="I56" s="291" t="str">
        <f t="shared" ref="I56:N56" si="33">iferror(C56*$B$15, "-")</f>
        <v>-</v>
      </c>
      <c r="J56" s="291">
        <f t="shared" si="33"/>
        <v>0.75</v>
      </c>
      <c r="K56" s="291" t="str">
        <f t="shared" si="33"/>
        <v>-</v>
      </c>
      <c r="L56" s="291" t="str">
        <f t="shared" si="33"/>
        <v>-</v>
      </c>
      <c r="M56" s="291" t="str">
        <f t="shared" si="33"/>
        <v>-</v>
      </c>
      <c r="N56" s="291" t="str">
        <f t="shared" si="33"/>
        <v>-</v>
      </c>
      <c r="O56" s="292">
        <f t="shared" si="3"/>
        <v>0.75</v>
      </c>
    </row>
    <row r="57" ht="12.75" customHeight="1">
      <c r="A57" s="282" t="s">
        <v>452</v>
      </c>
      <c r="B57" s="277" t="s">
        <v>108</v>
      </c>
      <c r="C57" s="293" t="s">
        <v>451</v>
      </c>
      <c r="D57" s="293" t="s">
        <v>451</v>
      </c>
      <c r="E57" s="293" t="s">
        <v>451</v>
      </c>
      <c r="F57" s="293" t="s">
        <v>451</v>
      </c>
      <c r="G57" s="293" t="s">
        <v>451</v>
      </c>
      <c r="H57" s="293" t="s">
        <v>451</v>
      </c>
      <c r="I57" s="291" t="str">
        <f t="shared" ref="I57:N57" si="34">iferror(C57*$B$16, "-")</f>
        <v>-</v>
      </c>
      <c r="J57" s="291" t="str">
        <f t="shared" si="34"/>
        <v>-</v>
      </c>
      <c r="K57" s="291" t="str">
        <f t="shared" si="34"/>
        <v>-</v>
      </c>
      <c r="L57" s="291" t="str">
        <f t="shared" si="34"/>
        <v>-</v>
      </c>
      <c r="M57" s="291" t="str">
        <f t="shared" si="34"/>
        <v>-</v>
      </c>
      <c r="N57" s="291" t="str">
        <f t="shared" si="34"/>
        <v>-</v>
      </c>
      <c r="O57" s="292">
        <f t="shared" si="3"/>
        <v>0</v>
      </c>
    </row>
    <row r="58" ht="12.75" customHeight="1">
      <c r="A58" s="282" t="s">
        <v>452</v>
      </c>
      <c r="B58" s="277" t="s">
        <v>438</v>
      </c>
      <c r="C58" s="293" t="s">
        <v>451</v>
      </c>
      <c r="D58" s="293" t="s">
        <v>451</v>
      </c>
      <c r="E58" s="293" t="s">
        <v>451</v>
      </c>
      <c r="F58" s="293" t="s">
        <v>451</v>
      </c>
      <c r="G58" s="293" t="s">
        <v>451</v>
      </c>
      <c r="H58" s="293" t="s">
        <v>451</v>
      </c>
      <c r="I58" s="291" t="str">
        <f t="shared" ref="I58:N58" si="35">iferror(C58*$B$17, "-")</f>
        <v>-</v>
      </c>
      <c r="J58" s="291" t="str">
        <f t="shared" si="35"/>
        <v>-</v>
      </c>
      <c r="K58" s="291" t="str">
        <f t="shared" si="35"/>
        <v>-</v>
      </c>
      <c r="L58" s="291" t="str">
        <f t="shared" si="35"/>
        <v>-</v>
      </c>
      <c r="M58" s="291" t="str">
        <f t="shared" si="35"/>
        <v>-</v>
      </c>
      <c r="N58" s="291" t="str">
        <f t="shared" si="35"/>
        <v>-</v>
      </c>
      <c r="O58" s="292">
        <f t="shared" si="3"/>
        <v>0</v>
      </c>
    </row>
    <row r="59" ht="12.75" customHeight="1">
      <c r="A59" s="282" t="s">
        <v>452</v>
      </c>
      <c r="B59" s="295" t="s">
        <v>44</v>
      </c>
      <c r="C59" s="294">
        <v>0.25</v>
      </c>
      <c r="D59" s="296" t="s">
        <v>451</v>
      </c>
      <c r="E59" s="296" t="s">
        <v>451</v>
      </c>
      <c r="F59" s="296" t="s">
        <v>451</v>
      </c>
      <c r="G59" s="296" t="s">
        <v>451</v>
      </c>
      <c r="H59" s="296" t="s">
        <v>451</v>
      </c>
      <c r="I59" s="291">
        <f t="shared" ref="I59:N59" si="36">iferror(C59*$B$18, "-")</f>
        <v>6</v>
      </c>
      <c r="J59" s="291" t="str">
        <f t="shared" si="36"/>
        <v>-</v>
      </c>
      <c r="K59" s="291" t="str">
        <f t="shared" si="36"/>
        <v>-</v>
      </c>
      <c r="L59" s="291" t="str">
        <f t="shared" si="36"/>
        <v>-</v>
      </c>
      <c r="M59" s="291" t="str">
        <f t="shared" si="36"/>
        <v>-</v>
      </c>
      <c r="N59" s="291" t="str">
        <f t="shared" si="36"/>
        <v>-</v>
      </c>
      <c r="O59" s="291">
        <f t="shared" si="3"/>
        <v>6</v>
      </c>
      <c r="P59" s="297"/>
      <c r="Q59" s="297"/>
      <c r="R59" s="297"/>
      <c r="S59" s="297"/>
      <c r="T59" s="297"/>
      <c r="U59" s="297"/>
      <c r="V59" s="297"/>
      <c r="W59" s="297"/>
      <c r="X59" s="297"/>
      <c r="Y59" s="297"/>
      <c r="Z59" s="297"/>
      <c r="AA59" s="297"/>
      <c r="AB59" s="297"/>
      <c r="AC59" s="297"/>
      <c r="AD59" s="297"/>
      <c r="AE59" s="297"/>
      <c r="AF59" s="297"/>
      <c r="AG59" s="297"/>
      <c r="AH59" s="297"/>
      <c r="AI59" s="297"/>
      <c r="AJ59" s="297"/>
      <c r="AK59" s="297"/>
      <c r="AL59" s="297"/>
      <c r="AM59" s="297"/>
      <c r="AN59" s="297"/>
      <c r="AO59" s="297"/>
      <c r="AP59" s="297"/>
      <c r="AQ59" s="297"/>
      <c r="AR59" s="297"/>
      <c r="AS59" s="297"/>
      <c r="AT59" s="297"/>
    </row>
    <row r="60" ht="12.75" customHeight="1">
      <c r="A60" s="282" t="s">
        <v>452</v>
      </c>
      <c r="B60" s="282" t="s">
        <v>35</v>
      </c>
      <c r="C60" s="294">
        <v>0.25</v>
      </c>
      <c r="D60" s="296" t="s">
        <v>451</v>
      </c>
      <c r="E60" s="294">
        <v>0.25</v>
      </c>
      <c r="F60" s="296" t="s">
        <v>451</v>
      </c>
      <c r="G60" s="296" t="s">
        <v>451</v>
      </c>
      <c r="H60" s="296" t="s">
        <v>451</v>
      </c>
      <c r="I60" s="291">
        <f t="shared" ref="I60:N60" si="37">iferror(C60*$B$19, "-")</f>
        <v>12.25</v>
      </c>
      <c r="J60" s="291" t="str">
        <f t="shared" si="37"/>
        <v>-</v>
      </c>
      <c r="K60" s="291">
        <f t="shared" si="37"/>
        <v>12.25</v>
      </c>
      <c r="L60" s="291" t="str">
        <f t="shared" si="37"/>
        <v>-</v>
      </c>
      <c r="M60" s="291" t="str">
        <f t="shared" si="37"/>
        <v>-</v>
      </c>
      <c r="N60" s="291" t="str">
        <f t="shared" si="37"/>
        <v>-</v>
      </c>
      <c r="O60" s="291">
        <f t="shared" si="3"/>
        <v>24.5</v>
      </c>
    </row>
    <row r="61" ht="12.75" customHeight="1">
      <c r="A61" s="282" t="s">
        <v>452</v>
      </c>
      <c r="B61" s="282" t="s">
        <v>37</v>
      </c>
      <c r="C61" s="294">
        <v>0.25</v>
      </c>
      <c r="D61" s="296" t="s">
        <v>451</v>
      </c>
      <c r="E61" s="294">
        <v>0.25</v>
      </c>
      <c r="F61" s="296" t="s">
        <v>451</v>
      </c>
      <c r="G61" s="296" t="s">
        <v>451</v>
      </c>
      <c r="H61" s="296" t="s">
        <v>451</v>
      </c>
      <c r="I61" s="291">
        <f t="shared" ref="I61:N61" si="38">iferror(C61*$B$20, "-")</f>
        <v>12.25</v>
      </c>
      <c r="J61" s="291" t="str">
        <f t="shared" si="38"/>
        <v>-</v>
      </c>
      <c r="K61" s="291">
        <f t="shared" si="38"/>
        <v>12.25</v>
      </c>
      <c r="L61" s="291" t="str">
        <f t="shared" si="38"/>
        <v>-</v>
      </c>
      <c r="M61" s="291" t="str">
        <f t="shared" si="38"/>
        <v>-</v>
      </c>
      <c r="N61" s="291" t="str">
        <f t="shared" si="38"/>
        <v>-</v>
      </c>
      <c r="O61" s="291">
        <f t="shared" si="3"/>
        <v>24.5</v>
      </c>
    </row>
    <row r="62" ht="12.75" customHeight="1">
      <c r="A62" s="298" t="s">
        <v>452</v>
      </c>
      <c r="B62" s="298" t="s">
        <v>366</v>
      </c>
      <c r="C62" s="299" t="s">
        <v>451</v>
      </c>
      <c r="D62" s="299" t="s">
        <v>451</v>
      </c>
      <c r="E62" s="299" t="s">
        <v>451</v>
      </c>
      <c r="F62" s="299" t="s">
        <v>451</v>
      </c>
      <c r="G62" s="299" t="s">
        <v>451</v>
      </c>
      <c r="H62" s="299" t="s">
        <v>451</v>
      </c>
      <c r="I62" s="300" t="str">
        <f t="shared" ref="I62:N62" si="39">iferror(C62*$B$21, "-")</f>
        <v>-</v>
      </c>
      <c r="J62" s="300" t="str">
        <f t="shared" si="39"/>
        <v>-</v>
      </c>
      <c r="K62" s="300" t="str">
        <f t="shared" si="39"/>
        <v>-</v>
      </c>
      <c r="L62" s="300" t="str">
        <f t="shared" si="39"/>
        <v>-</v>
      </c>
      <c r="M62" s="300" t="str">
        <f t="shared" si="39"/>
        <v>-</v>
      </c>
      <c r="N62" s="300" t="str">
        <f t="shared" si="39"/>
        <v>-</v>
      </c>
      <c r="O62" s="301">
        <f t="shared" si="3"/>
        <v>0</v>
      </c>
    </row>
    <row r="63" ht="12.75" customHeight="1">
      <c r="A63" s="282" t="s">
        <v>453</v>
      </c>
      <c r="B63" s="277" t="s">
        <v>282</v>
      </c>
      <c r="C63" s="289" t="s">
        <v>451</v>
      </c>
      <c r="D63" s="289" t="s">
        <v>451</v>
      </c>
      <c r="E63" s="290">
        <v>0.25</v>
      </c>
      <c r="F63" s="289" t="s">
        <v>451</v>
      </c>
      <c r="G63" s="289" t="s">
        <v>451</v>
      </c>
      <c r="H63" s="289" t="s">
        <v>451</v>
      </c>
      <c r="I63" s="291" t="str">
        <f t="shared" ref="I63:N63" si="40">iferror(C63*$B$3, "-")</f>
        <v>-</v>
      </c>
      <c r="J63" s="291" t="str">
        <f t="shared" si="40"/>
        <v>-</v>
      </c>
      <c r="K63" s="291">
        <f t="shared" si="40"/>
        <v>3.25</v>
      </c>
      <c r="L63" s="291" t="str">
        <f t="shared" si="40"/>
        <v>-</v>
      </c>
      <c r="M63" s="291" t="str">
        <f t="shared" si="40"/>
        <v>-</v>
      </c>
      <c r="N63" s="291" t="str">
        <f t="shared" si="40"/>
        <v>-</v>
      </c>
      <c r="O63" s="302">
        <f t="shared" si="3"/>
        <v>3.25</v>
      </c>
    </row>
    <row r="64" ht="12.75" customHeight="1">
      <c r="A64" s="282" t="s">
        <v>453</v>
      </c>
      <c r="B64" s="277" t="s">
        <v>283</v>
      </c>
      <c r="C64" s="293" t="s">
        <v>451</v>
      </c>
      <c r="D64" s="293" t="s">
        <v>451</v>
      </c>
      <c r="E64" s="294">
        <v>0.25</v>
      </c>
      <c r="F64" s="293" t="s">
        <v>451</v>
      </c>
      <c r="G64" s="293" t="s">
        <v>451</v>
      </c>
      <c r="H64" s="293" t="s">
        <v>451</v>
      </c>
      <c r="I64" s="291" t="str">
        <f t="shared" ref="I64:N64" si="41">iferror(C64*$B$4, "-")</f>
        <v>-</v>
      </c>
      <c r="J64" s="291" t="str">
        <f t="shared" si="41"/>
        <v>-</v>
      </c>
      <c r="K64" s="291">
        <f t="shared" si="41"/>
        <v>3</v>
      </c>
      <c r="L64" s="291" t="str">
        <f t="shared" si="41"/>
        <v>-</v>
      </c>
      <c r="M64" s="291" t="str">
        <f t="shared" si="41"/>
        <v>-</v>
      </c>
      <c r="N64" s="291" t="str">
        <f t="shared" si="41"/>
        <v>-</v>
      </c>
      <c r="O64" s="292">
        <f t="shared" si="3"/>
        <v>3</v>
      </c>
    </row>
    <row r="65" ht="12.75" customHeight="1">
      <c r="A65" s="282" t="s">
        <v>453</v>
      </c>
      <c r="B65" s="277" t="s">
        <v>284</v>
      </c>
      <c r="C65" s="293" t="s">
        <v>451</v>
      </c>
      <c r="D65" s="293" t="s">
        <v>451</v>
      </c>
      <c r="E65" s="294">
        <v>0.25</v>
      </c>
      <c r="F65" s="293" t="s">
        <v>451</v>
      </c>
      <c r="G65" s="293" t="s">
        <v>451</v>
      </c>
      <c r="H65" s="293" t="s">
        <v>451</v>
      </c>
      <c r="I65" s="291" t="str">
        <f t="shared" ref="I65:N65" si="42">iferror(C65*$B$5, "-")</f>
        <v>-</v>
      </c>
      <c r="J65" s="291" t="str">
        <f t="shared" si="42"/>
        <v>-</v>
      </c>
      <c r="K65" s="291">
        <f t="shared" si="42"/>
        <v>3</v>
      </c>
      <c r="L65" s="291" t="str">
        <f t="shared" si="42"/>
        <v>-</v>
      </c>
      <c r="M65" s="291" t="str">
        <f t="shared" si="42"/>
        <v>-</v>
      </c>
      <c r="N65" s="291" t="str">
        <f t="shared" si="42"/>
        <v>-</v>
      </c>
      <c r="O65" s="292">
        <f t="shared" si="3"/>
        <v>3</v>
      </c>
    </row>
    <row r="66" ht="12.75" customHeight="1">
      <c r="A66" s="282" t="s">
        <v>453</v>
      </c>
      <c r="B66" s="282" t="s">
        <v>41</v>
      </c>
      <c r="C66" s="293" t="s">
        <v>451</v>
      </c>
      <c r="D66" s="293" t="s">
        <v>451</v>
      </c>
      <c r="E66" s="294">
        <v>0.25</v>
      </c>
      <c r="F66" s="293" t="s">
        <v>451</v>
      </c>
      <c r="G66" s="293" t="s">
        <v>451</v>
      </c>
      <c r="H66" s="293" t="s">
        <v>451</v>
      </c>
      <c r="I66" s="291" t="str">
        <f t="shared" ref="I66:N66" si="43">iferror(C66*$B$6, "-")</f>
        <v>-</v>
      </c>
      <c r="J66" s="291" t="str">
        <f t="shared" si="43"/>
        <v>-</v>
      </c>
      <c r="K66" s="291">
        <f t="shared" si="43"/>
        <v>3</v>
      </c>
      <c r="L66" s="291" t="str">
        <f t="shared" si="43"/>
        <v>-</v>
      </c>
      <c r="M66" s="291" t="str">
        <f t="shared" si="43"/>
        <v>-</v>
      </c>
      <c r="N66" s="291" t="str">
        <f t="shared" si="43"/>
        <v>-</v>
      </c>
      <c r="O66" s="292">
        <f t="shared" si="3"/>
        <v>3</v>
      </c>
    </row>
    <row r="67" ht="12.75" customHeight="1">
      <c r="A67" s="282" t="s">
        <v>453</v>
      </c>
      <c r="B67" s="277" t="s">
        <v>371</v>
      </c>
      <c r="C67" s="294">
        <v>0.25</v>
      </c>
      <c r="D67" s="293" t="s">
        <v>451</v>
      </c>
      <c r="E67" s="294">
        <v>0.25</v>
      </c>
      <c r="F67" s="294">
        <v>0.25</v>
      </c>
      <c r="G67" s="293" t="s">
        <v>451</v>
      </c>
      <c r="H67" s="293" t="s">
        <v>451</v>
      </c>
      <c r="I67" s="291">
        <f t="shared" ref="I67:N67" si="44">iferror(C67*$B$7, "-")</f>
        <v>12.25</v>
      </c>
      <c r="J67" s="291" t="str">
        <f t="shared" si="44"/>
        <v>-</v>
      </c>
      <c r="K67" s="291">
        <f t="shared" si="44"/>
        <v>12.25</v>
      </c>
      <c r="L67" s="291">
        <f t="shared" si="44"/>
        <v>12.25</v>
      </c>
      <c r="M67" s="291" t="str">
        <f t="shared" si="44"/>
        <v>-</v>
      </c>
      <c r="N67" s="291" t="str">
        <f t="shared" si="44"/>
        <v>-</v>
      </c>
      <c r="O67" s="292">
        <f t="shared" si="3"/>
        <v>36.75</v>
      </c>
    </row>
    <row r="68" ht="12.75" customHeight="1">
      <c r="A68" s="282" t="s">
        <v>453</v>
      </c>
      <c r="B68" s="277" t="s">
        <v>428</v>
      </c>
      <c r="C68" s="293" t="s">
        <v>451</v>
      </c>
      <c r="D68" s="293" t="s">
        <v>451</v>
      </c>
      <c r="E68" s="293" t="s">
        <v>451</v>
      </c>
      <c r="F68" s="294">
        <v>0.25</v>
      </c>
      <c r="G68" s="294">
        <v>0.25</v>
      </c>
      <c r="H68" s="293" t="s">
        <v>451</v>
      </c>
      <c r="I68" s="291" t="str">
        <f t="shared" ref="I68:N68" si="45">iferror(C68*$B$8, "-")</f>
        <v>-</v>
      </c>
      <c r="J68" s="291" t="str">
        <f t="shared" si="45"/>
        <v>-</v>
      </c>
      <c r="K68" s="291" t="str">
        <f t="shared" si="45"/>
        <v>-</v>
      </c>
      <c r="L68" s="291">
        <f t="shared" si="45"/>
        <v>12.25</v>
      </c>
      <c r="M68" s="291">
        <f t="shared" si="45"/>
        <v>12.25</v>
      </c>
      <c r="N68" s="291" t="str">
        <f t="shared" si="45"/>
        <v>-</v>
      </c>
      <c r="O68" s="292">
        <f t="shared" si="3"/>
        <v>24.5</v>
      </c>
    </row>
    <row r="69" ht="12.75" customHeight="1">
      <c r="A69" s="282" t="s">
        <v>453</v>
      </c>
      <c r="B69" s="277" t="s">
        <v>429</v>
      </c>
      <c r="C69" s="293" t="s">
        <v>451</v>
      </c>
      <c r="D69" s="294">
        <v>0.25</v>
      </c>
      <c r="E69" s="293" t="s">
        <v>451</v>
      </c>
      <c r="F69" s="293" t="s">
        <v>451</v>
      </c>
      <c r="G69" s="293" t="s">
        <v>451</v>
      </c>
      <c r="H69" s="293" t="s">
        <v>451</v>
      </c>
      <c r="I69" s="291" t="str">
        <f t="shared" ref="I69:N69" si="46">iferror(C69*$B$9, "-")</f>
        <v>-</v>
      </c>
      <c r="J69" s="291">
        <f t="shared" si="46"/>
        <v>3</v>
      </c>
      <c r="K69" s="291" t="str">
        <f t="shared" si="46"/>
        <v>-</v>
      </c>
      <c r="L69" s="291" t="str">
        <f t="shared" si="46"/>
        <v>-</v>
      </c>
      <c r="M69" s="291" t="str">
        <f t="shared" si="46"/>
        <v>-</v>
      </c>
      <c r="N69" s="291" t="str">
        <f t="shared" si="46"/>
        <v>-</v>
      </c>
      <c r="O69" s="292">
        <f t="shared" si="3"/>
        <v>3</v>
      </c>
    </row>
    <row r="70" ht="12.75" customHeight="1">
      <c r="A70" s="282" t="s">
        <v>453</v>
      </c>
      <c r="B70" s="282" t="s">
        <v>163</v>
      </c>
      <c r="C70" s="293" t="s">
        <v>451</v>
      </c>
      <c r="D70" s="294">
        <v>0.25</v>
      </c>
      <c r="E70" s="293" t="s">
        <v>451</v>
      </c>
      <c r="F70" s="293" t="s">
        <v>451</v>
      </c>
      <c r="G70" s="293" t="s">
        <v>451</v>
      </c>
      <c r="H70" s="293" t="s">
        <v>451</v>
      </c>
      <c r="I70" s="291" t="str">
        <f t="shared" ref="I70:N70" si="47">iferror(C70*$B$10, "-")</f>
        <v>-</v>
      </c>
      <c r="J70" s="291">
        <f t="shared" si="47"/>
        <v>3.25</v>
      </c>
      <c r="K70" s="291" t="str">
        <f t="shared" si="47"/>
        <v>-</v>
      </c>
      <c r="L70" s="291" t="str">
        <f t="shared" si="47"/>
        <v>-</v>
      </c>
      <c r="M70" s="291" t="str">
        <f t="shared" si="47"/>
        <v>-</v>
      </c>
      <c r="N70" s="291" t="str">
        <f t="shared" si="47"/>
        <v>-</v>
      </c>
      <c r="O70" s="292">
        <f t="shared" si="3"/>
        <v>3.25</v>
      </c>
    </row>
    <row r="71" ht="12.75" customHeight="1">
      <c r="A71" s="282" t="s">
        <v>453</v>
      </c>
      <c r="B71" s="277" t="s">
        <v>368</v>
      </c>
      <c r="C71" s="293" t="s">
        <v>451</v>
      </c>
      <c r="D71" s="294">
        <v>0.25</v>
      </c>
      <c r="E71" s="293" t="s">
        <v>451</v>
      </c>
      <c r="F71" s="293" t="s">
        <v>451</v>
      </c>
      <c r="G71" s="293" t="s">
        <v>451</v>
      </c>
      <c r="H71" s="293" t="s">
        <v>451</v>
      </c>
      <c r="I71" s="291" t="str">
        <f t="shared" ref="I71:N71" si="48">iferror(C71*$B$11, "-")</f>
        <v>-</v>
      </c>
      <c r="J71" s="291">
        <f t="shared" si="48"/>
        <v>3.75</v>
      </c>
      <c r="K71" s="291" t="str">
        <f t="shared" si="48"/>
        <v>-</v>
      </c>
      <c r="L71" s="291" t="str">
        <f t="shared" si="48"/>
        <v>-</v>
      </c>
      <c r="M71" s="291" t="str">
        <f t="shared" si="48"/>
        <v>-</v>
      </c>
      <c r="N71" s="291" t="str">
        <f t="shared" si="48"/>
        <v>-</v>
      </c>
      <c r="O71" s="292">
        <f t="shared" si="3"/>
        <v>3.75</v>
      </c>
    </row>
    <row r="72" ht="12.75" customHeight="1">
      <c r="A72" s="282" t="s">
        <v>453</v>
      </c>
      <c r="B72" s="277" t="s">
        <v>433</v>
      </c>
      <c r="C72" s="293" t="s">
        <v>451</v>
      </c>
      <c r="D72" s="294">
        <v>0.25</v>
      </c>
      <c r="E72" s="293" t="s">
        <v>451</v>
      </c>
      <c r="F72" s="293" t="s">
        <v>451</v>
      </c>
      <c r="G72" s="293" t="s">
        <v>451</v>
      </c>
      <c r="H72" s="293" t="s">
        <v>451</v>
      </c>
      <c r="I72" s="291" t="str">
        <f t="shared" ref="I72:N72" si="49">iferror(C72*$B$12, "-")</f>
        <v>-</v>
      </c>
      <c r="J72" s="291">
        <f t="shared" si="49"/>
        <v>4</v>
      </c>
      <c r="K72" s="291" t="str">
        <f t="shared" si="49"/>
        <v>-</v>
      </c>
      <c r="L72" s="291" t="str">
        <f t="shared" si="49"/>
        <v>-</v>
      </c>
      <c r="M72" s="291" t="str">
        <f t="shared" si="49"/>
        <v>-</v>
      </c>
      <c r="N72" s="291" t="str">
        <f t="shared" si="49"/>
        <v>-</v>
      </c>
      <c r="O72" s="292">
        <f t="shared" si="3"/>
        <v>4</v>
      </c>
    </row>
    <row r="73" ht="12.75" customHeight="1">
      <c r="A73" s="282" t="s">
        <v>453</v>
      </c>
      <c r="B73" s="277" t="s">
        <v>38</v>
      </c>
      <c r="C73" s="293" t="s">
        <v>451</v>
      </c>
      <c r="D73" s="293" t="s">
        <v>451</v>
      </c>
      <c r="E73" s="293" t="s">
        <v>451</v>
      </c>
      <c r="F73" s="293" t="s">
        <v>451</v>
      </c>
      <c r="G73" s="293" t="s">
        <v>451</v>
      </c>
      <c r="H73" s="293" t="s">
        <v>451</v>
      </c>
      <c r="I73" s="291" t="str">
        <f t="shared" ref="I73:N73" si="50">iferror(C73*$B$13, "-")</f>
        <v>-</v>
      </c>
      <c r="J73" s="291" t="str">
        <f t="shared" si="50"/>
        <v>-</v>
      </c>
      <c r="K73" s="291" t="str">
        <f t="shared" si="50"/>
        <v>-</v>
      </c>
      <c r="L73" s="291" t="str">
        <f t="shared" si="50"/>
        <v>-</v>
      </c>
      <c r="M73" s="291" t="str">
        <f t="shared" si="50"/>
        <v>-</v>
      </c>
      <c r="N73" s="291" t="str">
        <f t="shared" si="50"/>
        <v>-</v>
      </c>
      <c r="O73" s="292">
        <f t="shared" si="3"/>
        <v>0</v>
      </c>
    </row>
    <row r="74" ht="12.75" customHeight="1">
      <c r="A74" s="282" t="s">
        <v>453</v>
      </c>
      <c r="B74" s="277" t="s">
        <v>367</v>
      </c>
      <c r="C74" s="293" t="s">
        <v>451</v>
      </c>
      <c r="D74" s="293" t="s">
        <v>451</v>
      </c>
      <c r="E74" s="293" t="s">
        <v>451</v>
      </c>
      <c r="F74" s="293" t="s">
        <v>451</v>
      </c>
      <c r="G74" s="293" t="s">
        <v>451</v>
      </c>
      <c r="H74" s="293" t="s">
        <v>451</v>
      </c>
      <c r="I74" s="291" t="str">
        <f t="shared" ref="I74:N74" si="51">iferror(C74*$B$14, "-")</f>
        <v>-</v>
      </c>
      <c r="J74" s="291" t="str">
        <f t="shared" si="51"/>
        <v>-</v>
      </c>
      <c r="K74" s="291" t="str">
        <f t="shared" si="51"/>
        <v>-</v>
      </c>
      <c r="L74" s="291" t="str">
        <f t="shared" si="51"/>
        <v>-</v>
      </c>
      <c r="M74" s="291" t="str">
        <f t="shared" si="51"/>
        <v>-</v>
      </c>
      <c r="N74" s="291" t="str">
        <f t="shared" si="51"/>
        <v>-</v>
      </c>
      <c r="O74" s="292">
        <f t="shared" si="3"/>
        <v>0</v>
      </c>
    </row>
    <row r="75" ht="12.75" customHeight="1">
      <c r="A75" s="282" t="s">
        <v>453</v>
      </c>
      <c r="B75" s="282" t="s">
        <v>27</v>
      </c>
      <c r="C75" s="293" t="s">
        <v>451</v>
      </c>
      <c r="D75" s="294">
        <v>0.25</v>
      </c>
      <c r="E75" s="293" t="s">
        <v>451</v>
      </c>
      <c r="F75" s="293" t="s">
        <v>451</v>
      </c>
      <c r="G75" s="293" t="s">
        <v>451</v>
      </c>
      <c r="H75" s="293" t="s">
        <v>451</v>
      </c>
      <c r="I75" s="291" t="str">
        <f t="shared" ref="I75:N75" si="52">iferror(C75*$B$15, "-")</f>
        <v>-</v>
      </c>
      <c r="J75" s="291">
        <f t="shared" si="52"/>
        <v>0.75</v>
      </c>
      <c r="K75" s="291" t="str">
        <f t="shared" si="52"/>
        <v>-</v>
      </c>
      <c r="L75" s="291" t="str">
        <f t="shared" si="52"/>
        <v>-</v>
      </c>
      <c r="M75" s="291" t="str">
        <f t="shared" si="52"/>
        <v>-</v>
      </c>
      <c r="N75" s="291" t="str">
        <f t="shared" si="52"/>
        <v>-</v>
      </c>
      <c r="O75" s="292">
        <f t="shared" si="3"/>
        <v>0.75</v>
      </c>
    </row>
    <row r="76" ht="12.75" customHeight="1">
      <c r="A76" s="282" t="s">
        <v>453</v>
      </c>
      <c r="B76" s="277" t="s">
        <v>108</v>
      </c>
      <c r="C76" s="293" t="s">
        <v>451</v>
      </c>
      <c r="D76" s="293" t="s">
        <v>451</v>
      </c>
      <c r="E76" s="293" t="s">
        <v>451</v>
      </c>
      <c r="F76" s="293" t="s">
        <v>451</v>
      </c>
      <c r="G76" s="293" t="s">
        <v>451</v>
      </c>
      <c r="H76" s="293" t="s">
        <v>451</v>
      </c>
      <c r="I76" s="291" t="str">
        <f t="shared" ref="I76:N76" si="53">iferror(C76*$B$16, "-")</f>
        <v>-</v>
      </c>
      <c r="J76" s="291" t="str">
        <f t="shared" si="53"/>
        <v>-</v>
      </c>
      <c r="K76" s="291" t="str">
        <f t="shared" si="53"/>
        <v>-</v>
      </c>
      <c r="L76" s="291" t="str">
        <f t="shared" si="53"/>
        <v>-</v>
      </c>
      <c r="M76" s="291" t="str">
        <f t="shared" si="53"/>
        <v>-</v>
      </c>
      <c r="N76" s="291" t="str">
        <f t="shared" si="53"/>
        <v>-</v>
      </c>
      <c r="O76" s="292">
        <f t="shared" si="3"/>
        <v>0</v>
      </c>
    </row>
    <row r="77" ht="12.75" customHeight="1">
      <c r="A77" s="282" t="s">
        <v>453</v>
      </c>
      <c r="B77" s="277" t="s">
        <v>438</v>
      </c>
      <c r="C77" s="293" t="s">
        <v>451</v>
      </c>
      <c r="D77" s="293" t="s">
        <v>451</v>
      </c>
      <c r="E77" s="293" t="s">
        <v>451</v>
      </c>
      <c r="F77" s="293" t="s">
        <v>451</v>
      </c>
      <c r="G77" s="293" t="s">
        <v>451</v>
      </c>
      <c r="H77" s="293" t="s">
        <v>451</v>
      </c>
      <c r="I77" s="291" t="str">
        <f t="shared" ref="I77:N77" si="54">iferror(C77*$B$17, "-")</f>
        <v>-</v>
      </c>
      <c r="J77" s="291" t="str">
        <f t="shared" si="54"/>
        <v>-</v>
      </c>
      <c r="K77" s="291" t="str">
        <f t="shared" si="54"/>
        <v>-</v>
      </c>
      <c r="L77" s="291" t="str">
        <f t="shared" si="54"/>
        <v>-</v>
      </c>
      <c r="M77" s="291" t="str">
        <f t="shared" si="54"/>
        <v>-</v>
      </c>
      <c r="N77" s="291" t="str">
        <f t="shared" si="54"/>
        <v>-</v>
      </c>
      <c r="O77" s="292">
        <f t="shared" si="3"/>
        <v>0</v>
      </c>
    </row>
    <row r="78" ht="12.75" customHeight="1">
      <c r="A78" s="282" t="s">
        <v>453</v>
      </c>
      <c r="B78" s="295" t="s">
        <v>44</v>
      </c>
      <c r="C78" s="294">
        <v>0.25</v>
      </c>
      <c r="D78" s="296" t="s">
        <v>451</v>
      </c>
      <c r="E78" s="296" t="s">
        <v>451</v>
      </c>
      <c r="F78" s="296" t="s">
        <v>451</v>
      </c>
      <c r="G78" s="296" t="s">
        <v>451</v>
      </c>
      <c r="H78" s="296" t="s">
        <v>451</v>
      </c>
      <c r="I78" s="291">
        <f t="shared" ref="I78:N78" si="55">iferror(C78*$B$18, "-")</f>
        <v>6</v>
      </c>
      <c r="J78" s="291" t="str">
        <f t="shared" si="55"/>
        <v>-</v>
      </c>
      <c r="K78" s="291" t="str">
        <f t="shared" si="55"/>
        <v>-</v>
      </c>
      <c r="L78" s="291" t="str">
        <f t="shared" si="55"/>
        <v>-</v>
      </c>
      <c r="M78" s="291" t="str">
        <f t="shared" si="55"/>
        <v>-</v>
      </c>
      <c r="N78" s="291" t="str">
        <f t="shared" si="55"/>
        <v>-</v>
      </c>
      <c r="O78" s="291">
        <f t="shared" si="3"/>
        <v>6</v>
      </c>
    </row>
    <row r="79" ht="12.75" customHeight="1">
      <c r="A79" s="282" t="s">
        <v>453</v>
      </c>
      <c r="B79" s="282" t="s">
        <v>35</v>
      </c>
      <c r="C79" s="294">
        <v>0.25</v>
      </c>
      <c r="D79" s="296" t="s">
        <v>451</v>
      </c>
      <c r="E79" s="294">
        <v>0.25</v>
      </c>
      <c r="F79" s="296" t="s">
        <v>451</v>
      </c>
      <c r="G79" s="296" t="s">
        <v>451</v>
      </c>
      <c r="H79" s="296" t="s">
        <v>451</v>
      </c>
      <c r="I79" s="291">
        <f t="shared" ref="I79:N79" si="56">iferror(C79*$B$19, "-")</f>
        <v>12.25</v>
      </c>
      <c r="J79" s="291" t="str">
        <f t="shared" si="56"/>
        <v>-</v>
      </c>
      <c r="K79" s="291">
        <f t="shared" si="56"/>
        <v>12.25</v>
      </c>
      <c r="L79" s="291" t="str">
        <f t="shared" si="56"/>
        <v>-</v>
      </c>
      <c r="M79" s="291" t="str">
        <f t="shared" si="56"/>
        <v>-</v>
      </c>
      <c r="N79" s="291" t="str">
        <f t="shared" si="56"/>
        <v>-</v>
      </c>
      <c r="O79" s="291">
        <f t="shared" si="3"/>
        <v>24.5</v>
      </c>
    </row>
    <row r="80" ht="12.75" customHeight="1">
      <c r="A80" s="282" t="s">
        <v>453</v>
      </c>
      <c r="B80" s="282" t="s">
        <v>37</v>
      </c>
      <c r="C80" s="294">
        <v>0.25</v>
      </c>
      <c r="D80" s="296" t="s">
        <v>451</v>
      </c>
      <c r="E80" s="294">
        <v>0.25</v>
      </c>
      <c r="F80" s="296" t="s">
        <v>451</v>
      </c>
      <c r="G80" s="296" t="s">
        <v>451</v>
      </c>
      <c r="H80" s="296" t="s">
        <v>451</v>
      </c>
      <c r="I80" s="291">
        <f t="shared" ref="I80:N80" si="57">iferror(C80*$B$20, "-")</f>
        <v>12.25</v>
      </c>
      <c r="J80" s="291" t="str">
        <f t="shared" si="57"/>
        <v>-</v>
      </c>
      <c r="K80" s="291">
        <f t="shared" si="57"/>
        <v>12.25</v>
      </c>
      <c r="L80" s="291" t="str">
        <f t="shared" si="57"/>
        <v>-</v>
      </c>
      <c r="M80" s="291" t="str">
        <f t="shared" si="57"/>
        <v>-</v>
      </c>
      <c r="N80" s="291" t="str">
        <f t="shared" si="57"/>
        <v>-</v>
      </c>
      <c r="O80" s="291">
        <f t="shared" si="3"/>
        <v>24.5</v>
      </c>
    </row>
    <row r="81" ht="12.75" customHeight="1">
      <c r="A81" s="298" t="s">
        <v>453</v>
      </c>
      <c r="B81" s="298" t="s">
        <v>366</v>
      </c>
      <c r="C81" s="299" t="s">
        <v>451</v>
      </c>
      <c r="D81" s="299" t="s">
        <v>451</v>
      </c>
      <c r="E81" s="299" t="s">
        <v>451</v>
      </c>
      <c r="F81" s="299" t="s">
        <v>451</v>
      </c>
      <c r="G81" s="299" t="s">
        <v>451</v>
      </c>
      <c r="H81" s="299" t="s">
        <v>451</v>
      </c>
      <c r="I81" s="300" t="str">
        <f t="shared" ref="I81:N81" si="58">iferror(C81*$B$21, "-")</f>
        <v>-</v>
      </c>
      <c r="J81" s="300" t="str">
        <f t="shared" si="58"/>
        <v>-</v>
      </c>
      <c r="K81" s="300" t="str">
        <f t="shared" si="58"/>
        <v>-</v>
      </c>
      <c r="L81" s="300" t="str">
        <f t="shared" si="58"/>
        <v>-</v>
      </c>
      <c r="M81" s="300" t="str">
        <f t="shared" si="58"/>
        <v>-</v>
      </c>
      <c r="N81" s="300" t="str">
        <f t="shared" si="58"/>
        <v>-</v>
      </c>
      <c r="O81" s="301">
        <f t="shared" si="3"/>
        <v>0</v>
      </c>
    </row>
    <row r="82" ht="12.75" customHeight="1">
      <c r="A82" s="282" t="s">
        <v>454</v>
      </c>
      <c r="B82" s="277" t="s">
        <v>282</v>
      </c>
      <c r="C82" s="289" t="s">
        <v>451</v>
      </c>
      <c r="D82" s="289" t="s">
        <v>451</v>
      </c>
      <c r="E82" s="290">
        <v>0.25</v>
      </c>
      <c r="F82" s="289" t="s">
        <v>451</v>
      </c>
      <c r="G82" s="289" t="s">
        <v>451</v>
      </c>
      <c r="H82" s="289" t="s">
        <v>451</v>
      </c>
      <c r="I82" s="291" t="str">
        <f t="shared" ref="I82:N82" si="59">iferror(C82*$B$3, "-")</f>
        <v>-</v>
      </c>
      <c r="J82" s="291" t="str">
        <f t="shared" si="59"/>
        <v>-</v>
      </c>
      <c r="K82" s="291">
        <f t="shared" si="59"/>
        <v>3.25</v>
      </c>
      <c r="L82" s="291" t="str">
        <f t="shared" si="59"/>
        <v>-</v>
      </c>
      <c r="M82" s="291" t="str">
        <f t="shared" si="59"/>
        <v>-</v>
      </c>
      <c r="N82" s="291" t="str">
        <f t="shared" si="59"/>
        <v>-</v>
      </c>
      <c r="O82" s="302">
        <f t="shared" si="3"/>
        <v>3.25</v>
      </c>
    </row>
    <row r="83" ht="12.75" customHeight="1">
      <c r="A83" s="282" t="s">
        <v>454</v>
      </c>
      <c r="B83" s="277" t="s">
        <v>283</v>
      </c>
      <c r="C83" s="293" t="s">
        <v>451</v>
      </c>
      <c r="D83" s="293" t="s">
        <v>451</v>
      </c>
      <c r="E83" s="294">
        <v>0.25</v>
      </c>
      <c r="F83" s="293" t="s">
        <v>451</v>
      </c>
      <c r="G83" s="293" t="s">
        <v>451</v>
      </c>
      <c r="H83" s="293" t="s">
        <v>451</v>
      </c>
      <c r="I83" s="291" t="str">
        <f t="shared" ref="I83:N83" si="60">iferror(C83*$B$4, "-")</f>
        <v>-</v>
      </c>
      <c r="J83" s="291" t="str">
        <f t="shared" si="60"/>
        <v>-</v>
      </c>
      <c r="K83" s="291">
        <f t="shared" si="60"/>
        <v>3</v>
      </c>
      <c r="L83" s="291" t="str">
        <f t="shared" si="60"/>
        <v>-</v>
      </c>
      <c r="M83" s="291" t="str">
        <f t="shared" si="60"/>
        <v>-</v>
      </c>
      <c r="N83" s="291" t="str">
        <f t="shared" si="60"/>
        <v>-</v>
      </c>
      <c r="O83" s="292">
        <f t="shared" si="3"/>
        <v>3</v>
      </c>
    </row>
    <row r="84" ht="12.75" customHeight="1">
      <c r="A84" s="282" t="s">
        <v>454</v>
      </c>
      <c r="B84" s="277" t="s">
        <v>284</v>
      </c>
      <c r="C84" s="293" t="s">
        <v>451</v>
      </c>
      <c r="D84" s="293" t="s">
        <v>451</v>
      </c>
      <c r="E84" s="294">
        <v>0.25</v>
      </c>
      <c r="F84" s="293" t="s">
        <v>451</v>
      </c>
      <c r="G84" s="293" t="s">
        <v>451</v>
      </c>
      <c r="H84" s="293" t="s">
        <v>451</v>
      </c>
      <c r="I84" s="291" t="str">
        <f t="shared" ref="I84:N84" si="61">iferror(C84*$B$5, "-")</f>
        <v>-</v>
      </c>
      <c r="J84" s="291" t="str">
        <f t="shared" si="61"/>
        <v>-</v>
      </c>
      <c r="K84" s="291">
        <f t="shared" si="61"/>
        <v>3</v>
      </c>
      <c r="L84" s="291" t="str">
        <f t="shared" si="61"/>
        <v>-</v>
      </c>
      <c r="M84" s="291" t="str">
        <f t="shared" si="61"/>
        <v>-</v>
      </c>
      <c r="N84" s="291" t="str">
        <f t="shared" si="61"/>
        <v>-</v>
      </c>
      <c r="O84" s="292">
        <f t="shared" si="3"/>
        <v>3</v>
      </c>
    </row>
    <row r="85" ht="12.75" customHeight="1">
      <c r="A85" s="282" t="s">
        <v>454</v>
      </c>
      <c r="B85" s="282" t="s">
        <v>41</v>
      </c>
      <c r="C85" s="293" t="s">
        <v>451</v>
      </c>
      <c r="D85" s="293" t="s">
        <v>451</v>
      </c>
      <c r="E85" s="294">
        <v>0.25</v>
      </c>
      <c r="F85" s="293" t="s">
        <v>451</v>
      </c>
      <c r="G85" s="293" t="s">
        <v>451</v>
      </c>
      <c r="H85" s="293" t="s">
        <v>451</v>
      </c>
      <c r="I85" s="291" t="str">
        <f t="shared" ref="I85:N85" si="62">iferror(C85*$B$6, "-")</f>
        <v>-</v>
      </c>
      <c r="J85" s="291" t="str">
        <f t="shared" si="62"/>
        <v>-</v>
      </c>
      <c r="K85" s="291">
        <f t="shared" si="62"/>
        <v>3</v>
      </c>
      <c r="L85" s="291" t="str">
        <f t="shared" si="62"/>
        <v>-</v>
      </c>
      <c r="M85" s="291" t="str">
        <f t="shared" si="62"/>
        <v>-</v>
      </c>
      <c r="N85" s="291" t="str">
        <f t="shared" si="62"/>
        <v>-</v>
      </c>
      <c r="O85" s="292">
        <f t="shared" si="3"/>
        <v>3</v>
      </c>
    </row>
    <row r="86" ht="12.75" customHeight="1">
      <c r="A86" s="282" t="s">
        <v>454</v>
      </c>
      <c r="B86" s="277" t="s">
        <v>371</v>
      </c>
      <c r="C86" s="294">
        <v>0.25</v>
      </c>
      <c r="D86" s="293" t="s">
        <v>451</v>
      </c>
      <c r="E86" s="294">
        <v>0.25</v>
      </c>
      <c r="F86" s="294">
        <v>0.25</v>
      </c>
      <c r="G86" s="293" t="s">
        <v>451</v>
      </c>
      <c r="H86" s="293" t="s">
        <v>451</v>
      </c>
      <c r="I86" s="291">
        <f t="shared" ref="I86:N86" si="63">iferror(C86*$B$7, "-")</f>
        <v>12.25</v>
      </c>
      <c r="J86" s="291" t="str">
        <f t="shared" si="63"/>
        <v>-</v>
      </c>
      <c r="K86" s="291">
        <f t="shared" si="63"/>
        <v>12.25</v>
      </c>
      <c r="L86" s="291">
        <f t="shared" si="63"/>
        <v>12.25</v>
      </c>
      <c r="M86" s="291" t="str">
        <f t="shared" si="63"/>
        <v>-</v>
      </c>
      <c r="N86" s="291" t="str">
        <f t="shared" si="63"/>
        <v>-</v>
      </c>
      <c r="O86" s="292">
        <f t="shared" si="3"/>
        <v>36.75</v>
      </c>
    </row>
    <row r="87" ht="12.75" customHeight="1">
      <c r="A87" s="282" t="s">
        <v>454</v>
      </c>
      <c r="B87" s="277" t="s">
        <v>428</v>
      </c>
      <c r="C87" s="293" t="s">
        <v>451</v>
      </c>
      <c r="D87" s="293" t="s">
        <v>451</v>
      </c>
      <c r="E87" s="293" t="s">
        <v>451</v>
      </c>
      <c r="F87" s="294">
        <v>0.25</v>
      </c>
      <c r="G87" s="294">
        <v>0.25</v>
      </c>
      <c r="H87" s="293" t="s">
        <v>451</v>
      </c>
      <c r="I87" s="291" t="str">
        <f t="shared" ref="I87:N87" si="64">iferror(C87*$B$8, "-")</f>
        <v>-</v>
      </c>
      <c r="J87" s="291" t="str">
        <f t="shared" si="64"/>
        <v>-</v>
      </c>
      <c r="K87" s="291" t="str">
        <f t="shared" si="64"/>
        <v>-</v>
      </c>
      <c r="L87" s="291">
        <f t="shared" si="64"/>
        <v>12.25</v>
      </c>
      <c r="M87" s="291">
        <f t="shared" si="64"/>
        <v>12.25</v>
      </c>
      <c r="N87" s="291" t="str">
        <f t="shared" si="64"/>
        <v>-</v>
      </c>
      <c r="O87" s="292">
        <f t="shared" si="3"/>
        <v>24.5</v>
      </c>
    </row>
    <row r="88" ht="12.75" customHeight="1">
      <c r="A88" s="282" t="s">
        <v>454</v>
      </c>
      <c r="B88" s="277" t="s">
        <v>429</v>
      </c>
      <c r="C88" s="293" t="s">
        <v>451</v>
      </c>
      <c r="D88" s="294">
        <v>0.25</v>
      </c>
      <c r="E88" s="293" t="s">
        <v>451</v>
      </c>
      <c r="F88" s="293" t="s">
        <v>451</v>
      </c>
      <c r="G88" s="293" t="s">
        <v>451</v>
      </c>
      <c r="H88" s="293" t="s">
        <v>451</v>
      </c>
      <c r="I88" s="291" t="str">
        <f t="shared" ref="I88:N88" si="65">iferror(C88*$B$9, "-")</f>
        <v>-</v>
      </c>
      <c r="J88" s="291">
        <f t="shared" si="65"/>
        <v>3</v>
      </c>
      <c r="K88" s="291" t="str">
        <f t="shared" si="65"/>
        <v>-</v>
      </c>
      <c r="L88" s="291" t="str">
        <f t="shared" si="65"/>
        <v>-</v>
      </c>
      <c r="M88" s="291" t="str">
        <f t="shared" si="65"/>
        <v>-</v>
      </c>
      <c r="N88" s="291" t="str">
        <f t="shared" si="65"/>
        <v>-</v>
      </c>
      <c r="O88" s="292">
        <f t="shared" si="3"/>
        <v>3</v>
      </c>
    </row>
    <row r="89" ht="12.75" customHeight="1">
      <c r="A89" s="282" t="s">
        <v>454</v>
      </c>
      <c r="B89" s="282" t="s">
        <v>163</v>
      </c>
      <c r="C89" s="293" t="s">
        <v>451</v>
      </c>
      <c r="D89" s="294">
        <v>0.25</v>
      </c>
      <c r="E89" s="293" t="s">
        <v>451</v>
      </c>
      <c r="F89" s="293" t="s">
        <v>451</v>
      </c>
      <c r="G89" s="293" t="s">
        <v>451</v>
      </c>
      <c r="H89" s="293" t="s">
        <v>451</v>
      </c>
      <c r="I89" s="291" t="str">
        <f t="shared" ref="I89:N89" si="66">iferror(C89*$B$10, "-")</f>
        <v>-</v>
      </c>
      <c r="J89" s="291">
        <f t="shared" si="66"/>
        <v>3.25</v>
      </c>
      <c r="K89" s="291" t="str">
        <f t="shared" si="66"/>
        <v>-</v>
      </c>
      <c r="L89" s="291" t="str">
        <f t="shared" si="66"/>
        <v>-</v>
      </c>
      <c r="M89" s="291" t="str">
        <f t="shared" si="66"/>
        <v>-</v>
      </c>
      <c r="N89" s="291" t="str">
        <f t="shared" si="66"/>
        <v>-</v>
      </c>
      <c r="O89" s="292">
        <f t="shared" si="3"/>
        <v>3.25</v>
      </c>
    </row>
    <row r="90" ht="12.75" customHeight="1">
      <c r="A90" s="282" t="s">
        <v>454</v>
      </c>
      <c r="B90" s="277" t="s">
        <v>368</v>
      </c>
      <c r="C90" s="293" t="s">
        <v>451</v>
      </c>
      <c r="D90" s="294">
        <v>0.25</v>
      </c>
      <c r="E90" s="293" t="s">
        <v>451</v>
      </c>
      <c r="F90" s="293" t="s">
        <v>451</v>
      </c>
      <c r="G90" s="293" t="s">
        <v>451</v>
      </c>
      <c r="H90" s="293" t="s">
        <v>451</v>
      </c>
      <c r="I90" s="291" t="str">
        <f t="shared" ref="I90:N90" si="67">iferror(C90*$B$11, "-")</f>
        <v>-</v>
      </c>
      <c r="J90" s="291">
        <f t="shared" si="67"/>
        <v>3.75</v>
      </c>
      <c r="K90" s="291" t="str">
        <f t="shared" si="67"/>
        <v>-</v>
      </c>
      <c r="L90" s="291" t="str">
        <f t="shared" si="67"/>
        <v>-</v>
      </c>
      <c r="M90" s="291" t="str">
        <f t="shared" si="67"/>
        <v>-</v>
      </c>
      <c r="N90" s="291" t="str">
        <f t="shared" si="67"/>
        <v>-</v>
      </c>
      <c r="O90" s="292">
        <f t="shared" si="3"/>
        <v>3.75</v>
      </c>
    </row>
    <row r="91" ht="12.75" customHeight="1">
      <c r="A91" s="282" t="s">
        <v>454</v>
      </c>
      <c r="B91" s="277" t="s">
        <v>433</v>
      </c>
      <c r="C91" s="293" t="s">
        <v>451</v>
      </c>
      <c r="D91" s="294">
        <v>0.25</v>
      </c>
      <c r="E91" s="293" t="s">
        <v>451</v>
      </c>
      <c r="F91" s="293" t="s">
        <v>451</v>
      </c>
      <c r="G91" s="293" t="s">
        <v>451</v>
      </c>
      <c r="H91" s="293" t="s">
        <v>451</v>
      </c>
      <c r="I91" s="291" t="str">
        <f t="shared" ref="I91:N91" si="68">iferror(C91*$B$12, "-")</f>
        <v>-</v>
      </c>
      <c r="J91" s="291">
        <f t="shared" si="68"/>
        <v>4</v>
      </c>
      <c r="K91" s="291" t="str">
        <f t="shared" si="68"/>
        <v>-</v>
      </c>
      <c r="L91" s="291" t="str">
        <f t="shared" si="68"/>
        <v>-</v>
      </c>
      <c r="M91" s="291" t="str">
        <f t="shared" si="68"/>
        <v>-</v>
      </c>
      <c r="N91" s="291" t="str">
        <f t="shared" si="68"/>
        <v>-</v>
      </c>
      <c r="O91" s="292">
        <f t="shared" si="3"/>
        <v>4</v>
      </c>
    </row>
    <row r="92" ht="12.75" customHeight="1">
      <c r="A92" s="282" t="s">
        <v>454</v>
      </c>
      <c r="B92" s="277" t="s">
        <v>38</v>
      </c>
      <c r="C92" s="293" t="s">
        <v>451</v>
      </c>
      <c r="D92" s="293" t="s">
        <v>451</v>
      </c>
      <c r="E92" s="293" t="s">
        <v>451</v>
      </c>
      <c r="F92" s="293" t="s">
        <v>451</v>
      </c>
      <c r="G92" s="293" t="s">
        <v>451</v>
      </c>
      <c r="H92" s="293" t="s">
        <v>451</v>
      </c>
      <c r="I92" s="291" t="str">
        <f t="shared" ref="I92:N92" si="69">iferror(C92*$B$13, "-")</f>
        <v>-</v>
      </c>
      <c r="J92" s="291" t="str">
        <f t="shared" si="69"/>
        <v>-</v>
      </c>
      <c r="K92" s="291" t="str">
        <f t="shared" si="69"/>
        <v>-</v>
      </c>
      <c r="L92" s="291" t="str">
        <f t="shared" si="69"/>
        <v>-</v>
      </c>
      <c r="M92" s="291" t="str">
        <f t="shared" si="69"/>
        <v>-</v>
      </c>
      <c r="N92" s="291" t="str">
        <f t="shared" si="69"/>
        <v>-</v>
      </c>
      <c r="O92" s="292">
        <f t="shared" si="3"/>
        <v>0</v>
      </c>
    </row>
    <row r="93" ht="12.75" customHeight="1">
      <c r="A93" s="282" t="s">
        <v>454</v>
      </c>
      <c r="B93" s="277" t="s">
        <v>367</v>
      </c>
      <c r="C93" s="293" t="s">
        <v>451</v>
      </c>
      <c r="D93" s="293" t="s">
        <v>451</v>
      </c>
      <c r="E93" s="293" t="s">
        <v>451</v>
      </c>
      <c r="F93" s="293" t="s">
        <v>451</v>
      </c>
      <c r="G93" s="293" t="s">
        <v>451</v>
      </c>
      <c r="H93" s="293" t="s">
        <v>451</v>
      </c>
      <c r="I93" s="291" t="str">
        <f t="shared" ref="I93:N93" si="70">iferror(C93*$B$14, "-")</f>
        <v>-</v>
      </c>
      <c r="J93" s="291" t="str">
        <f t="shared" si="70"/>
        <v>-</v>
      </c>
      <c r="K93" s="291" t="str">
        <f t="shared" si="70"/>
        <v>-</v>
      </c>
      <c r="L93" s="291" t="str">
        <f t="shared" si="70"/>
        <v>-</v>
      </c>
      <c r="M93" s="291" t="str">
        <f t="shared" si="70"/>
        <v>-</v>
      </c>
      <c r="N93" s="291" t="str">
        <f t="shared" si="70"/>
        <v>-</v>
      </c>
      <c r="O93" s="292">
        <f t="shared" si="3"/>
        <v>0</v>
      </c>
    </row>
    <row r="94" ht="12.75" customHeight="1">
      <c r="A94" s="282" t="s">
        <v>454</v>
      </c>
      <c r="B94" s="282" t="s">
        <v>27</v>
      </c>
      <c r="C94" s="293" t="s">
        <v>451</v>
      </c>
      <c r="D94" s="294">
        <v>0.25</v>
      </c>
      <c r="E94" s="293" t="s">
        <v>451</v>
      </c>
      <c r="F94" s="293" t="s">
        <v>451</v>
      </c>
      <c r="G94" s="293" t="s">
        <v>451</v>
      </c>
      <c r="H94" s="293" t="s">
        <v>451</v>
      </c>
      <c r="I94" s="291" t="str">
        <f t="shared" ref="I94:N94" si="71">iferror(C94*$B$15, "-")</f>
        <v>-</v>
      </c>
      <c r="J94" s="291">
        <f t="shared" si="71"/>
        <v>0.75</v>
      </c>
      <c r="K94" s="291" t="str">
        <f t="shared" si="71"/>
        <v>-</v>
      </c>
      <c r="L94" s="291" t="str">
        <f t="shared" si="71"/>
        <v>-</v>
      </c>
      <c r="M94" s="291" t="str">
        <f t="shared" si="71"/>
        <v>-</v>
      </c>
      <c r="N94" s="291" t="str">
        <f t="shared" si="71"/>
        <v>-</v>
      </c>
      <c r="O94" s="292">
        <f t="shared" si="3"/>
        <v>0.75</v>
      </c>
    </row>
    <row r="95" ht="12.75" customHeight="1">
      <c r="A95" s="282" t="s">
        <v>454</v>
      </c>
      <c r="B95" s="277" t="s">
        <v>108</v>
      </c>
      <c r="C95" s="293" t="s">
        <v>451</v>
      </c>
      <c r="D95" s="293" t="s">
        <v>451</v>
      </c>
      <c r="E95" s="293" t="s">
        <v>451</v>
      </c>
      <c r="F95" s="293" t="s">
        <v>451</v>
      </c>
      <c r="G95" s="293" t="s">
        <v>451</v>
      </c>
      <c r="H95" s="293" t="s">
        <v>451</v>
      </c>
      <c r="I95" s="291" t="str">
        <f t="shared" ref="I95:N95" si="72">iferror(C95*$B$16, "-")</f>
        <v>-</v>
      </c>
      <c r="J95" s="291" t="str">
        <f t="shared" si="72"/>
        <v>-</v>
      </c>
      <c r="K95" s="291" t="str">
        <f t="shared" si="72"/>
        <v>-</v>
      </c>
      <c r="L95" s="291" t="str">
        <f t="shared" si="72"/>
        <v>-</v>
      </c>
      <c r="M95" s="291" t="str">
        <f t="shared" si="72"/>
        <v>-</v>
      </c>
      <c r="N95" s="291" t="str">
        <f t="shared" si="72"/>
        <v>-</v>
      </c>
      <c r="O95" s="292">
        <f t="shared" si="3"/>
        <v>0</v>
      </c>
    </row>
    <row r="96" ht="12.75" customHeight="1">
      <c r="A96" s="282" t="s">
        <v>454</v>
      </c>
      <c r="B96" s="277" t="s">
        <v>438</v>
      </c>
      <c r="C96" s="293" t="s">
        <v>451</v>
      </c>
      <c r="D96" s="293" t="s">
        <v>451</v>
      </c>
      <c r="E96" s="293" t="s">
        <v>451</v>
      </c>
      <c r="F96" s="293" t="s">
        <v>451</v>
      </c>
      <c r="G96" s="293" t="s">
        <v>451</v>
      </c>
      <c r="H96" s="293" t="s">
        <v>451</v>
      </c>
      <c r="I96" s="291" t="str">
        <f t="shared" ref="I96:N96" si="73">iferror(C96*$B$17, "-")</f>
        <v>-</v>
      </c>
      <c r="J96" s="291" t="str">
        <f t="shared" si="73"/>
        <v>-</v>
      </c>
      <c r="K96" s="291" t="str">
        <f t="shared" si="73"/>
        <v>-</v>
      </c>
      <c r="L96" s="291" t="str">
        <f t="shared" si="73"/>
        <v>-</v>
      </c>
      <c r="M96" s="291" t="str">
        <f t="shared" si="73"/>
        <v>-</v>
      </c>
      <c r="N96" s="291" t="str">
        <f t="shared" si="73"/>
        <v>-</v>
      </c>
      <c r="O96" s="292">
        <f t="shared" si="3"/>
        <v>0</v>
      </c>
    </row>
    <row r="97" ht="12.75" customHeight="1">
      <c r="A97" s="282" t="s">
        <v>454</v>
      </c>
      <c r="B97" s="295" t="s">
        <v>44</v>
      </c>
      <c r="C97" s="294">
        <v>0.25</v>
      </c>
      <c r="D97" s="296" t="s">
        <v>451</v>
      </c>
      <c r="E97" s="296" t="s">
        <v>451</v>
      </c>
      <c r="F97" s="296" t="s">
        <v>451</v>
      </c>
      <c r="G97" s="296" t="s">
        <v>451</v>
      </c>
      <c r="H97" s="296" t="s">
        <v>451</v>
      </c>
      <c r="I97" s="291">
        <f t="shared" ref="I97:N97" si="74">iferror(C97*$B$18, "-")</f>
        <v>6</v>
      </c>
      <c r="J97" s="291" t="str">
        <f t="shared" si="74"/>
        <v>-</v>
      </c>
      <c r="K97" s="291" t="str">
        <f t="shared" si="74"/>
        <v>-</v>
      </c>
      <c r="L97" s="291" t="str">
        <f t="shared" si="74"/>
        <v>-</v>
      </c>
      <c r="M97" s="291" t="str">
        <f t="shared" si="74"/>
        <v>-</v>
      </c>
      <c r="N97" s="291" t="str">
        <f t="shared" si="74"/>
        <v>-</v>
      </c>
      <c r="O97" s="291">
        <f t="shared" si="3"/>
        <v>6</v>
      </c>
    </row>
    <row r="98" ht="12.75" customHeight="1">
      <c r="A98" s="282" t="s">
        <v>454</v>
      </c>
      <c r="B98" s="282" t="s">
        <v>35</v>
      </c>
      <c r="C98" s="294">
        <v>0.25</v>
      </c>
      <c r="D98" s="296" t="s">
        <v>451</v>
      </c>
      <c r="E98" s="294">
        <v>0.25</v>
      </c>
      <c r="F98" s="296" t="s">
        <v>451</v>
      </c>
      <c r="G98" s="296" t="s">
        <v>451</v>
      </c>
      <c r="H98" s="296" t="s">
        <v>451</v>
      </c>
      <c r="I98" s="291">
        <f t="shared" ref="I98:N98" si="75">iferror(C98*$B$19, "-")</f>
        <v>12.25</v>
      </c>
      <c r="J98" s="291" t="str">
        <f t="shared" si="75"/>
        <v>-</v>
      </c>
      <c r="K98" s="291">
        <f t="shared" si="75"/>
        <v>12.25</v>
      </c>
      <c r="L98" s="291" t="str">
        <f t="shared" si="75"/>
        <v>-</v>
      </c>
      <c r="M98" s="291" t="str">
        <f t="shared" si="75"/>
        <v>-</v>
      </c>
      <c r="N98" s="291" t="str">
        <f t="shared" si="75"/>
        <v>-</v>
      </c>
      <c r="O98" s="291">
        <f t="shared" si="3"/>
        <v>24.5</v>
      </c>
    </row>
    <row r="99" ht="12.75" customHeight="1">
      <c r="A99" s="282" t="s">
        <v>454</v>
      </c>
      <c r="B99" s="282" t="s">
        <v>37</v>
      </c>
      <c r="C99" s="294">
        <v>0.25</v>
      </c>
      <c r="D99" s="296" t="s">
        <v>451</v>
      </c>
      <c r="E99" s="294">
        <v>0.25</v>
      </c>
      <c r="F99" s="296" t="s">
        <v>451</v>
      </c>
      <c r="G99" s="296" t="s">
        <v>451</v>
      </c>
      <c r="H99" s="296" t="s">
        <v>451</v>
      </c>
      <c r="I99" s="291">
        <f t="shared" ref="I99:N99" si="76">iferror(C99*$B$20, "-")</f>
        <v>12.25</v>
      </c>
      <c r="J99" s="291" t="str">
        <f t="shared" si="76"/>
        <v>-</v>
      </c>
      <c r="K99" s="291">
        <f t="shared" si="76"/>
        <v>12.25</v>
      </c>
      <c r="L99" s="291" t="str">
        <f t="shared" si="76"/>
        <v>-</v>
      </c>
      <c r="M99" s="291" t="str">
        <f t="shared" si="76"/>
        <v>-</v>
      </c>
      <c r="N99" s="291" t="str">
        <f t="shared" si="76"/>
        <v>-</v>
      </c>
      <c r="O99" s="291">
        <f t="shared" si="3"/>
        <v>24.5</v>
      </c>
    </row>
    <row r="100" ht="12.75" customHeight="1">
      <c r="A100" s="298" t="s">
        <v>454</v>
      </c>
      <c r="B100" s="298" t="s">
        <v>366</v>
      </c>
      <c r="C100" s="299" t="s">
        <v>451</v>
      </c>
      <c r="D100" s="299" t="s">
        <v>451</v>
      </c>
      <c r="E100" s="299" t="s">
        <v>451</v>
      </c>
      <c r="F100" s="299" t="s">
        <v>451</v>
      </c>
      <c r="G100" s="299" t="s">
        <v>451</v>
      </c>
      <c r="H100" s="299" t="s">
        <v>451</v>
      </c>
      <c r="I100" s="300" t="str">
        <f t="shared" ref="I100:N100" si="77">iferror(C100*$B$21, "-")</f>
        <v>-</v>
      </c>
      <c r="J100" s="300" t="str">
        <f t="shared" si="77"/>
        <v>-</v>
      </c>
      <c r="K100" s="300" t="str">
        <f t="shared" si="77"/>
        <v>-</v>
      </c>
      <c r="L100" s="300" t="str">
        <f t="shared" si="77"/>
        <v>-</v>
      </c>
      <c r="M100" s="300" t="str">
        <f t="shared" si="77"/>
        <v>-</v>
      </c>
      <c r="N100" s="300" t="str">
        <f t="shared" si="77"/>
        <v>-</v>
      </c>
      <c r="O100" s="301">
        <f t="shared" si="3"/>
        <v>0</v>
      </c>
    </row>
    <row r="101" ht="12.75" customHeight="1">
      <c r="A101" s="282" t="s">
        <v>455</v>
      </c>
      <c r="B101" s="277" t="s">
        <v>282</v>
      </c>
      <c r="C101" s="289" t="s">
        <v>451</v>
      </c>
      <c r="D101" s="289" t="s">
        <v>451</v>
      </c>
      <c r="E101" s="290">
        <v>0.25</v>
      </c>
      <c r="F101" s="289" t="s">
        <v>451</v>
      </c>
      <c r="G101" s="289" t="s">
        <v>451</v>
      </c>
      <c r="H101" s="289" t="s">
        <v>451</v>
      </c>
      <c r="I101" s="291" t="str">
        <f t="shared" ref="I101:N101" si="78">iferror(C101*$B$3, "-")</f>
        <v>-</v>
      </c>
      <c r="J101" s="291" t="str">
        <f t="shared" si="78"/>
        <v>-</v>
      </c>
      <c r="K101" s="291">
        <f t="shared" si="78"/>
        <v>3.25</v>
      </c>
      <c r="L101" s="291" t="str">
        <f t="shared" si="78"/>
        <v>-</v>
      </c>
      <c r="M101" s="291" t="str">
        <f t="shared" si="78"/>
        <v>-</v>
      </c>
      <c r="N101" s="291" t="str">
        <f t="shared" si="78"/>
        <v>-</v>
      </c>
      <c r="O101" s="302">
        <f t="shared" si="3"/>
        <v>3.25</v>
      </c>
    </row>
    <row r="102" ht="12.75" customHeight="1">
      <c r="A102" s="282" t="s">
        <v>455</v>
      </c>
      <c r="B102" s="277" t="s">
        <v>283</v>
      </c>
      <c r="C102" s="293" t="s">
        <v>451</v>
      </c>
      <c r="D102" s="293" t="s">
        <v>451</v>
      </c>
      <c r="E102" s="294">
        <v>0.25</v>
      </c>
      <c r="F102" s="293" t="s">
        <v>451</v>
      </c>
      <c r="G102" s="293" t="s">
        <v>451</v>
      </c>
      <c r="H102" s="293" t="s">
        <v>451</v>
      </c>
      <c r="I102" s="291" t="str">
        <f t="shared" ref="I102:N102" si="79">iferror(C102*$B$4, "-")</f>
        <v>-</v>
      </c>
      <c r="J102" s="291" t="str">
        <f t="shared" si="79"/>
        <v>-</v>
      </c>
      <c r="K102" s="291">
        <f t="shared" si="79"/>
        <v>3</v>
      </c>
      <c r="L102" s="291" t="str">
        <f t="shared" si="79"/>
        <v>-</v>
      </c>
      <c r="M102" s="291" t="str">
        <f t="shared" si="79"/>
        <v>-</v>
      </c>
      <c r="N102" s="291" t="str">
        <f t="shared" si="79"/>
        <v>-</v>
      </c>
      <c r="O102" s="292">
        <f t="shared" si="3"/>
        <v>3</v>
      </c>
    </row>
    <row r="103" ht="12.75" customHeight="1">
      <c r="A103" s="282" t="s">
        <v>455</v>
      </c>
      <c r="B103" s="277" t="s">
        <v>284</v>
      </c>
      <c r="C103" s="293" t="s">
        <v>451</v>
      </c>
      <c r="D103" s="293" t="s">
        <v>451</v>
      </c>
      <c r="E103" s="294">
        <v>0.25</v>
      </c>
      <c r="F103" s="293" t="s">
        <v>451</v>
      </c>
      <c r="G103" s="293" t="s">
        <v>451</v>
      </c>
      <c r="H103" s="293" t="s">
        <v>451</v>
      </c>
      <c r="I103" s="291" t="str">
        <f t="shared" ref="I103:N103" si="80">iferror(C103*$B$5, "-")</f>
        <v>-</v>
      </c>
      <c r="J103" s="291" t="str">
        <f t="shared" si="80"/>
        <v>-</v>
      </c>
      <c r="K103" s="291">
        <f t="shared" si="80"/>
        <v>3</v>
      </c>
      <c r="L103" s="291" t="str">
        <f t="shared" si="80"/>
        <v>-</v>
      </c>
      <c r="M103" s="291" t="str">
        <f t="shared" si="80"/>
        <v>-</v>
      </c>
      <c r="N103" s="291" t="str">
        <f t="shared" si="80"/>
        <v>-</v>
      </c>
      <c r="O103" s="292">
        <f t="shared" si="3"/>
        <v>3</v>
      </c>
    </row>
    <row r="104" ht="12.75" customHeight="1">
      <c r="A104" s="282" t="s">
        <v>455</v>
      </c>
      <c r="B104" s="282" t="s">
        <v>41</v>
      </c>
      <c r="C104" s="293" t="s">
        <v>451</v>
      </c>
      <c r="D104" s="293" t="s">
        <v>451</v>
      </c>
      <c r="E104" s="294">
        <v>0.25</v>
      </c>
      <c r="F104" s="293" t="s">
        <v>451</v>
      </c>
      <c r="G104" s="293" t="s">
        <v>451</v>
      </c>
      <c r="H104" s="293" t="s">
        <v>451</v>
      </c>
      <c r="I104" s="291" t="str">
        <f t="shared" ref="I104:N104" si="81">iferror(C104*$B$6, "-")</f>
        <v>-</v>
      </c>
      <c r="J104" s="291" t="str">
        <f t="shared" si="81"/>
        <v>-</v>
      </c>
      <c r="K104" s="291">
        <f t="shared" si="81"/>
        <v>3</v>
      </c>
      <c r="L104" s="291" t="str">
        <f t="shared" si="81"/>
        <v>-</v>
      </c>
      <c r="M104" s="291" t="str">
        <f t="shared" si="81"/>
        <v>-</v>
      </c>
      <c r="N104" s="291" t="str">
        <f t="shared" si="81"/>
        <v>-</v>
      </c>
      <c r="O104" s="292">
        <f t="shared" si="3"/>
        <v>3</v>
      </c>
    </row>
    <row r="105" ht="12.75" customHeight="1">
      <c r="A105" s="282" t="s">
        <v>455</v>
      </c>
      <c r="B105" s="277" t="s">
        <v>371</v>
      </c>
      <c r="C105" s="294">
        <v>0.25</v>
      </c>
      <c r="D105" s="293" t="s">
        <v>451</v>
      </c>
      <c r="E105" s="294">
        <v>0.25</v>
      </c>
      <c r="F105" s="294">
        <v>0.25</v>
      </c>
      <c r="G105" s="293" t="s">
        <v>451</v>
      </c>
      <c r="H105" s="293" t="s">
        <v>451</v>
      </c>
      <c r="I105" s="291">
        <f t="shared" ref="I105:N105" si="82">iferror(C105*$B$7, "-")</f>
        <v>12.25</v>
      </c>
      <c r="J105" s="291" t="str">
        <f t="shared" si="82"/>
        <v>-</v>
      </c>
      <c r="K105" s="291">
        <f t="shared" si="82"/>
        <v>12.25</v>
      </c>
      <c r="L105" s="291">
        <f t="shared" si="82"/>
        <v>12.25</v>
      </c>
      <c r="M105" s="291" t="str">
        <f t="shared" si="82"/>
        <v>-</v>
      </c>
      <c r="N105" s="291" t="str">
        <f t="shared" si="82"/>
        <v>-</v>
      </c>
      <c r="O105" s="292">
        <f t="shared" si="3"/>
        <v>36.75</v>
      </c>
    </row>
    <row r="106" ht="12.75" customHeight="1">
      <c r="A106" s="282" t="s">
        <v>455</v>
      </c>
      <c r="B106" s="277" t="s">
        <v>428</v>
      </c>
      <c r="C106" s="293" t="s">
        <v>451</v>
      </c>
      <c r="D106" s="293" t="s">
        <v>451</v>
      </c>
      <c r="E106" s="293" t="s">
        <v>451</v>
      </c>
      <c r="F106" s="294">
        <v>0.25</v>
      </c>
      <c r="G106" s="294">
        <v>0.25</v>
      </c>
      <c r="H106" s="293" t="s">
        <v>451</v>
      </c>
      <c r="I106" s="291" t="str">
        <f t="shared" ref="I106:N106" si="83">iferror(C106*$B$8, "-")</f>
        <v>-</v>
      </c>
      <c r="J106" s="291" t="str">
        <f t="shared" si="83"/>
        <v>-</v>
      </c>
      <c r="K106" s="291" t="str">
        <f t="shared" si="83"/>
        <v>-</v>
      </c>
      <c r="L106" s="291">
        <f t="shared" si="83"/>
        <v>12.25</v>
      </c>
      <c r="M106" s="291">
        <f t="shared" si="83"/>
        <v>12.25</v>
      </c>
      <c r="N106" s="291" t="str">
        <f t="shared" si="83"/>
        <v>-</v>
      </c>
      <c r="O106" s="292">
        <f t="shared" si="3"/>
        <v>24.5</v>
      </c>
    </row>
    <row r="107" ht="12.75" customHeight="1">
      <c r="A107" s="282" t="s">
        <v>455</v>
      </c>
      <c r="B107" s="277" t="s">
        <v>429</v>
      </c>
      <c r="C107" s="293" t="s">
        <v>451</v>
      </c>
      <c r="D107" s="294">
        <v>0.25</v>
      </c>
      <c r="E107" s="293" t="s">
        <v>451</v>
      </c>
      <c r="F107" s="293" t="s">
        <v>451</v>
      </c>
      <c r="G107" s="293" t="s">
        <v>451</v>
      </c>
      <c r="H107" s="293" t="s">
        <v>451</v>
      </c>
      <c r="I107" s="291" t="str">
        <f t="shared" ref="I107:N107" si="84">iferror(C107*$B$9, "-")</f>
        <v>-</v>
      </c>
      <c r="J107" s="291">
        <f t="shared" si="84"/>
        <v>3</v>
      </c>
      <c r="K107" s="291" t="str">
        <f t="shared" si="84"/>
        <v>-</v>
      </c>
      <c r="L107" s="291" t="str">
        <f t="shared" si="84"/>
        <v>-</v>
      </c>
      <c r="M107" s="291" t="str">
        <f t="shared" si="84"/>
        <v>-</v>
      </c>
      <c r="N107" s="291" t="str">
        <f t="shared" si="84"/>
        <v>-</v>
      </c>
      <c r="O107" s="292">
        <f t="shared" si="3"/>
        <v>3</v>
      </c>
    </row>
    <row r="108" ht="12.75" customHeight="1">
      <c r="A108" s="282" t="s">
        <v>455</v>
      </c>
      <c r="B108" s="282" t="s">
        <v>163</v>
      </c>
      <c r="C108" s="293" t="s">
        <v>451</v>
      </c>
      <c r="D108" s="294">
        <v>0.25</v>
      </c>
      <c r="E108" s="293" t="s">
        <v>451</v>
      </c>
      <c r="F108" s="293" t="s">
        <v>451</v>
      </c>
      <c r="G108" s="293" t="s">
        <v>451</v>
      </c>
      <c r="H108" s="293" t="s">
        <v>451</v>
      </c>
      <c r="I108" s="291" t="str">
        <f t="shared" ref="I108:N108" si="85">iferror(C108*$B$10, "-")</f>
        <v>-</v>
      </c>
      <c r="J108" s="291">
        <f t="shared" si="85"/>
        <v>3.25</v>
      </c>
      <c r="K108" s="291" t="str">
        <f t="shared" si="85"/>
        <v>-</v>
      </c>
      <c r="L108" s="291" t="str">
        <f t="shared" si="85"/>
        <v>-</v>
      </c>
      <c r="M108" s="291" t="str">
        <f t="shared" si="85"/>
        <v>-</v>
      </c>
      <c r="N108" s="291" t="str">
        <f t="shared" si="85"/>
        <v>-</v>
      </c>
      <c r="O108" s="292">
        <f t="shared" si="3"/>
        <v>3.25</v>
      </c>
    </row>
    <row r="109" ht="12.75" customHeight="1">
      <c r="A109" s="282" t="s">
        <v>455</v>
      </c>
      <c r="B109" s="277" t="s">
        <v>368</v>
      </c>
      <c r="C109" s="293" t="s">
        <v>451</v>
      </c>
      <c r="D109" s="294">
        <v>0.25</v>
      </c>
      <c r="E109" s="293" t="s">
        <v>451</v>
      </c>
      <c r="F109" s="293" t="s">
        <v>451</v>
      </c>
      <c r="G109" s="293" t="s">
        <v>451</v>
      </c>
      <c r="H109" s="293" t="s">
        <v>451</v>
      </c>
      <c r="I109" s="291" t="str">
        <f t="shared" ref="I109:N109" si="86">iferror(C109*$B$11, "-")</f>
        <v>-</v>
      </c>
      <c r="J109" s="291">
        <f t="shared" si="86"/>
        <v>3.75</v>
      </c>
      <c r="K109" s="291" t="str">
        <f t="shared" si="86"/>
        <v>-</v>
      </c>
      <c r="L109" s="291" t="str">
        <f t="shared" si="86"/>
        <v>-</v>
      </c>
      <c r="M109" s="291" t="str">
        <f t="shared" si="86"/>
        <v>-</v>
      </c>
      <c r="N109" s="291" t="str">
        <f t="shared" si="86"/>
        <v>-</v>
      </c>
      <c r="O109" s="292">
        <f t="shared" si="3"/>
        <v>3.75</v>
      </c>
    </row>
    <row r="110" ht="12.75" customHeight="1">
      <c r="A110" s="282" t="s">
        <v>455</v>
      </c>
      <c r="B110" s="277" t="s">
        <v>433</v>
      </c>
      <c r="C110" s="293" t="s">
        <v>451</v>
      </c>
      <c r="D110" s="294">
        <v>0.25</v>
      </c>
      <c r="E110" s="293" t="s">
        <v>451</v>
      </c>
      <c r="F110" s="293" t="s">
        <v>451</v>
      </c>
      <c r="G110" s="293" t="s">
        <v>451</v>
      </c>
      <c r="H110" s="293" t="s">
        <v>451</v>
      </c>
      <c r="I110" s="291" t="str">
        <f t="shared" ref="I110:N110" si="87">iferror(C110*$B$12, "-")</f>
        <v>-</v>
      </c>
      <c r="J110" s="291">
        <f t="shared" si="87"/>
        <v>4</v>
      </c>
      <c r="K110" s="291" t="str">
        <f t="shared" si="87"/>
        <v>-</v>
      </c>
      <c r="L110" s="291" t="str">
        <f t="shared" si="87"/>
        <v>-</v>
      </c>
      <c r="M110" s="291" t="str">
        <f t="shared" si="87"/>
        <v>-</v>
      </c>
      <c r="N110" s="291" t="str">
        <f t="shared" si="87"/>
        <v>-</v>
      </c>
      <c r="O110" s="292">
        <f t="shared" si="3"/>
        <v>4</v>
      </c>
    </row>
    <row r="111" ht="12.75" customHeight="1">
      <c r="A111" s="282" t="s">
        <v>455</v>
      </c>
      <c r="B111" s="277" t="s">
        <v>38</v>
      </c>
      <c r="C111" s="293" t="s">
        <v>451</v>
      </c>
      <c r="D111" s="293" t="s">
        <v>451</v>
      </c>
      <c r="E111" s="293" t="s">
        <v>451</v>
      </c>
      <c r="F111" s="293" t="s">
        <v>451</v>
      </c>
      <c r="G111" s="293" t="s">
        <v>451</v>
      </c>
      <c r="H111" s="293" t="s">
        <v>451</v>
      </c>
      <c r="I111" s="291" t="str">
        <f t="shared" ref="I111:N111" si="88">iferror(C111*$B$13, "-")</f>
        <v>-</v>
      </c>
      <c r="J111" s="291" t="str">
        <f t="shared" si="88"/>
        <v>-</v>
      </c>
      <c r="K111" s="291" t="str">
        <f t="shared" si="88"/>
        <v>-</v>
      </c>
      <c r="L111" s="291" t="str">
        <f t="shared" si="88"/>
        <v>-</v>
      </c>
      <c r="M111" s="291" t="str">
        <f t="shared" si="88"/>
        <v>-</v>
      </c>
      <c r="N111" s="291" t="str">
        <f t="shared" si="88"/>
        <v>-</v>
      </c>
      <c r="O111" s="292">
        <f t="shared" si="3"/>
        <v>0</v>
      </c>
    </row>
    <row r="112" ht="12.75" customHeight="1">
      <c r="A112" s="282" t="s">
        <v>455</v>
      </c>
      <c r="B112" s="277" t="s">
        <v>367</v>
      </c>
      <c r="C112" s="293" t="s">
        <v>451</v>
      </c>
      <c r="D112" s="293" t="s">
        <v>451</v>
      </c>
      <c r="E112" s="293" t="s">
        <v>451</v>
      </c>
      <c r="F112" s="293" t="s">
        <v>451</v>
      </c>
      <c r="G112" s="293" t="s">
        <v>451</v>
      </c>
      <c r="H112" s="293" t="s">
        <v>451</v>
      </c>
      <c r="I112" s="291" t="str">
        <f t="shared" ref="I112:N112" si="89">iferror(C112*$B$14, "-")</f>
        <v>-</v>
      </c>
      <c r="J112" s="291" t="str">
        <f t="shared" si="89"/>
        <v>-</v>
      </c>
      <c r="K112" s="291" t="str">
        <f t="shared" si="89"/>
        <v>-</v>
      </c>
      <c r="L112" s="291" t="str">
        <f t="shared" si="89"/>
        <v>-</v>
      </c>
      <c r="M112" s="291" t="str">
        <f t="shared" si="89"/>
        <v>-</v>
      </c>
      <c r="N112" s="291" t="str">
        <f t="shared" si="89"/>
        <v>-</v>
      </c>
      <c r="O112" s="292">
        <f t="shared" si="3"/>
        <v>0</v>
      </c>
    </row>
    <row r="113" ht="12.75" customHeight="1">
      <c r="A113" s="282" t="s">
        <v>455</v>
      </c>
      <c r="B113" s="282" t="s">
        <v>27</v>
      </c>
      <c r="C113" s="293" t="s">
        <v>451</v>
      </c>
      <c r="D113" s="294">
        <v>0.25</v>
      </c>
      <c r="E113" s="293" t="s">
        <v>451</v>
      </c>
      <c r="F113" s="293" t="s">
        <v>451</v>
      </c>
      <c r="G113" s="293" t="s">
        <v>451</v>
      </c>
      <c r="H113" s="293" t="s">
        <v>451</v>
      </c>
      <c r="I113" s="291" t="str">
        <f t="shared" ref="I113:N113" si="90">iferror(C113*$B$15, "-")</f>
        <v>-</v>
      </c>
      <c r="J113" s="291">
        <f t="shared" si="90"/>
        <v>0.75</v>
      </c>
      <c r="K113" s="291" t="str">
        <f t="shared" si="90"/>
        <v>-</v>
      </c>
      <c r="L113" s="291" t="str">
        <f t="shared" si="90"/>
        <v>-</v>
      </c>
      <c r="M113" s="291" t="str">
        <f t="shared" si="90"/>
        <v>-</v>
      </c>
      <c r="N113" s="291" t="str">
        <f t="shared" si="90"/>
        <v>-</v>
      </c>
      <c r="O113" s="292">
        <f t="shared" si="3"/>
        <v>0.75</v>
      </c>
    </row>
    <row r="114" ht="12.75" customHeight="1">
      <c r="A114" s="282" t="s">
        <v>455</v>
      </c>
      <c r="B114" s="277" t="s">
        <v>108</v>
      </c>
      <c r="C114" s="293" t="s">
        <v>451</v>
      </c>
      <c r="D114" s="293" t="s">
        <v>451</v>
      </c>
      <c r="E114" s="293" t="s">
        <v>451</v>
      </c>
      <c r="F114" s="293" t="s">
        <v>451</v>
      </c>
      <c r="G114" s="293" t="s">
        <v>451</v>
      </c>
      <c r="H114" s="293" t="s">
        <v>451</v>
      </c>
      <c r="I114" s="291" t="str">
        <f t="shared" ref="I114:N114" si="91">iferror(C114*$B$16, "-")</f>
        <v>-</v>
      </c>
      <c r="J114" s="291" t="str">
        <f t="shared" si="91"/>
        <v>-</v>
      </c>
      <c r="K114" s="291" t="str">
        <f t="shared" si="91"/>
        <v>-</v>
      </c>
      <c r="L114" s="291" t="str">
        <f t="shared" si="91"/>
        <v>-</v>
      </c>
      <c r="M114" s="291" t="str">
        <f t="shared" si="91"/>
        <v>-</v>
      </c>
      <c r="N114" s="291" t="str">
        <f t="shared" si="91"/>
        <v>-</v>
      </c>
      <c r="O114" s="292">
        <f t="shared" si="3"/>
        <v>0</v>
      </c>
    </row>
    <row r="115" ht="12.75" customHeight="1">
      <c r="A115" s="282" t="s">
        <v>455</v>
      </c>
      <c r="B115" s="277" t="s">
        <v>438</v>
      </c>
      <c r="C115" s="293" t="s">
        <v>451</v>
      </c>
      <c r="D115" s="293" t="s">
        <v>451</v>
      </c>
      <c r="E115" s="293" t="s">
        <v>451</v>
      </c>
      <c r="F115" s="293" t="s">
        <v>451</v>
      </c>
      <c r="G115" s="293" t="s">
        <v>451</v>
      </c>
      <c r="H115" s="293" t="s">
        <v>451</v>
      </c>
      <c r="I115" s="291" t="str">
        <f t="shared" ref="I115:N115" si="92">iferror(C115*$B$17, "-")</f>
        <v>-</v>
      </c>
      <c r="J115" s="291" t="str">
        <f t="shared" si="92"/>
        <v>-</v>
      </c>
      <c r="K115" s="291" t="str">
        <f t="shared" si="92"/>
        <v>-</v>
      </c>
      <c r="L115" s="291" t="str">
        <f t="shared" si="92"/>
        <v>-</v>
      </c>
      <c r="M115" s="291" t="str">
        <f t="shared" si="92"/>
        <v>-</v>
      </c>
      <c r="N115" s="291" t="str">
        <f t="shared" si="92"/>
        <v>-</v>
      </c>
      <c r="O115" s="292">
        <f t="shared" si="3"/>
        <v>0</v>
      </c>
    </row>
    <row r="116" ht="12.75" customHeight="1">
      <c r="A116" s="282" t="s">
        <v>455</v>
      </c>
      <c r="B116" s="295" t="s">
        <v>44</v>
      </c>
      <c r="C116" s="294">
        <v>0.25</v>
      </c>
      <c r="D116" s="296" t="s">
        <v>451</v>
      </c>
      <c r="E116" s="296" t="s">
        <v>451</v>
      </c>
      <c r="F116" s="296" t="s">
        <v>451</v>
      </c>
      <c r="G116" s="296" t="s">
        <v>451</v>
      </c>
      <c r="H116" s="296" t="s">
        <v>451</v>
      </c>
      <c r="I116" s="291">
        <f t="shared" ref="I116:N116" si="93">iferror(C116*$B$18, "-")</f>
        <v>6</v>
      </c>
      <c r="J116" s="291" t="str">
        <f t="shared" si="93"/>
        <v>-</v>
      </c>
      <c r="K116" s="291" t="str">
        <f t="shared" si="93"/>
        <v>-</v>
      </c>
      <c r="L116" s="291" t="str">
        <f t="shared" si="93"/>
        <v>-</v>
      </c>
      <c r="M116" s="291" t="str">
        <f t="shared" si="93"/>
        <v>-</v>
      </c>
      <c r="N116" s="291" t="str">
        <f t="shared" si="93"/>
        <v>-</v>
      </c>
      <c r="O116" s="291">
        <f t="shared" si="3"/>
        <v>6</v>
      </c>
    </row>
    <row r="117" ht="12.75" customHeight="1">
      <c r="A117" s="282" t="s">
        <v>455</v>
      </c>
      <c r="B117" s="282" t="s">
        <v>35</v>
      </c>
      <c r="C117" s="294">
        <v>0.25</v>
      </c>
      <c r="D117" s="296" t="s">
        <v>451</v>
      </c>
      <c r="E117" s="294">
        <v>0.25</v>
      </c>
      <c r="F117" s="296" t="s">
        <v>451</v>
      </c>
      <c r="G117" s="296" t="s">
        <v>451</v>
      </c>
      <c r="H117" s="296" t="s">
        <v>451</v>
      </c>
      <c r="I117" s="291">
        <f t="shared" ref="I117:N117" si="94">iferror(C117*$B$19, "-")</f>
        <v>12.25</v>
      </c>
      <c r="J117" s="291" t="str">
        <f t="shared" si="94"/>
        <v>-</v>
      </c>
      <c r="K117" s="291">
        <f t="shared" si="94"/>
        <v>12.25</v>
      </c>
      <c r="L117" s="291" t="str">
        <f t="shared" si="94"/>
        <v>-</v>
      </c>
      <c r="M117" s="291" t="str">
        <f t="shared" si="94"/>
        <v>-</v>
      </c>
      <c r="N117" s="291" t="str">
        <f t="shared" si="94"/>
        <v>-</v>
      </c>
      <c r="O117" s="291">
        <f t="shared" si="3"/>
        <v>24.5</v>
      </c>
    </row>
    <row r="118" ht="12.75" customHeight="1">
      <c r="A118" s="282" t="s">
        <v>455</v>
      </c>
      <c r="B118" s="282" t="s">
        <v>37</v>
      </c>
      <c r="C118" s="294">
        <v>0.25</v>
      </c>
      <c r="D118" s="296" t="s">
        <v>451</v>
      </c>
      <c r="E118" s="294">
        <v>0.25</v>
      </c>
      <c r="F118" s="296" t="s">
        <v>451</v>
      </c>
      <c r="G118" s="296" t="s">
        <v>451</v>
      </c>
      <c r="H118" s="296" t="s">
        <v>451</v>
      </c>
      <c r="I118" s="291">
        <f t="shared" ref="I118:N118" si="95">iferror(C118*$B$20, "-")</f>
        <v>12.25</v>
      </c>
      <c r="J118" s="291" t="str">
        <f t="shared" si="95"/>
        <v>-</v>
      </c>
      <c r="K118" s="291">
        <f t="shared" si="95"/>
        <v>12.25</v>
      </c>
      <c r="L118" s="291" t="str">
        <f t="shared" si="95"/>
        <v>-</v>
      </c>
      <c r="M118" s="291" t="str">
        <f t="shared" si="95"/>
        <v>-</v>
      </c>
      <c r="N118" s="291" t="str">
        <f t="shared" si="95"/>
        <v>-</v>
      </c>
      <c r="O118" s="291">
        <f t="shared" si="3"/>
        <v>24.5</v>
      </c>
    </row>
    <row r="119" ht="12.75" customHeight="1">
      <c r="A119" s="298" t="s">
        <v>455</v>
      </c>
      <c r="B119" s="298" t="s">
        <v>366</v>
      </c>
      <c r="C119" s="299" t="s">
        <v>451</v>
      </c>
      <c r="D119" s="299" t="s">
        <v>451</v>
      </c>
      <c r="E119" s="299" t="s">
        <v>451</v>
      </c>
      <c r="F119" s="299" t="s">
        <v>451</v>
      </c>
      <c r="G119" s="299" t="s">
        <v>451</v>
      </c>
      <c r="H119" s="299" t="s">
        <v>451</v>
      </c>
      <c r="I119" s="300" t="str">
        <f t="shared" ref="I119:N119" si="96">iferror(C119*$B$21, "-")</f>
        <v>-</v>
      </c>
      <c r="J119" s="300" t="str">
        <f t="shared" si="96"/>
        <v>-</v>
      </c>
      <c r="K119" s="300" t="str">
        <f t="shared" si="96"/>
        <v>-</v>
      </c>
      <c r="L119" s="300" t="str">
        <f t="shared" si="96"/>
        <v>-</v>
      </c>
      <c r="M119" s="300" t="str">
        <f t="shared" si="96"/>
        <v>-</v>
      </c>
      <c r="N119" s="300" t="str">
        <f t="shared" si="96"/>
        <v>-</v>
      </c>
      <c r="O119" s="301">
        <f t="shared" si="3"/>
        <v>0</v>
      </c>
    </row>
    <row r="120" ht="12.75" customHeight="1">
      <c r="A120" s="282" t="s">
        <v>456</v>
      </c>
      <c r="B120" s="277" t="s">
        <v>282</v>
      </c>
      <c r="C120" s="289" t="s">
        <v>451</v>
      </c>
      <c r="D120" s="289" t="s">
        <v>451</v>
      </c>
      <c r="E120" s="290">
        <v>0.25</v>
      </c>
      <c r="F120" s="289" t="s">
        <v>451</v>
      </c>
      <c r="G120" s="289" t="s">
        <v>451</v>
      </c>
      <c r="H120" s="289" t="s">
        <v>451</v>
      </c>
      <c r="I120" s="291" t="str">
        <f t="shared" ref="I120:N120" si="97">iferror(C120*$B$3, "-")</f>
        <v>-</v>
      </c>
      <c r="J120" s="291" t="str">
        <f t="shared" si="97"/>
        <v>-</v>
      </c>
      <c r="K120" s="291">
        <f t="shared" si="97"/>
        <v>3.25</v>
      </c>
      <c r="L120" s="291" t="str">
        <f t="shared" si="97"/>
        <v>-</v>
      </c>
      <c r="M120" s="291" t="str">
        <f t="shared" si="97"/>
        <v>-</v>
      </c>
      <c r="N120" s="291" t="str">
        <f t="shared" si="97"/>
        <v>-</v>
      </c>
      <c r="O120" s="302">
        <f t="shared" si="3"/>
        <v>3.25</v>
      </c>
    </row>
    <row r="121" ht="12.75" customHeight="1">
      <c r="A121" s="282" t="s">
        <v>456</v>
      </c>
      <c r="B121" s="277" t="s">
        <v>283</v>
      </c>
      <c r="C121" s="293" t="s">
        <v>451</v>
      </c>
      <c r="D121" s="293" t="s">
        <v>451</v>
      </c>
      <c r="E121" s="294">
        <v>0.25</v>
      </c>
      <c r="F121" s="293" t="s">
        <v>451</v>
      </c>
      <c r="G121" s="293" t="s">
        <v>451</v>
      </c>
      <c r="H121" s="293" t="s">
        <v>451</v>
      </c>
      <c r="I121" s="291" t="str">
        <f t="shared" ref="I121:N121" si="98">iferror(C121*$B$4, "-")</f>
        <v>-</v>
      </c>
      <c r="J121" s="291" t="str">
        <f t="shared" si="98"/>
        <v>-</v>
      </c>
      <c r="K121" s="291">
        <f t="shared" si="98"/>
        <v>3</v>
      </c>
      <c r="L121" s="291" t="str">
        <f t="shared" si="98"/>
        <v>-</v>
      </c>
      <c r="M121" s="291" t="str">
        <f t="shared" si="98"/>
        <v>-</v>
      </c>
      <c r="N121" s="291" t="str">
        <f t="shared" si="98"/>
        <v>-</v>
      </c>
      <c r="O121" s="292">
        <f t="shared" si="3"/>
        <v>3</v>
      </c>
    </row>
    <row r="122" ht="12.75" customHeight="1">
      <c r="A122" s="282" t="s">
        <v>456</v>
      </c>
      <c r="B122" s="277" t="s">
        <v>284</v>
      </c>
      <c r="C122" s="293" t="s">
        <v>451</v>
      </c>
      <c r="D122" s="293" t="s">
        <v>451</v>
      </c>
      <c r="E122" s="294">
        <v>0.25</v>
      </c>
      <c r="F122" s="293" t="s">
        <v>451</v>
      </c>
      <c r="G122" s="293" t="s">
        <v>451</v>
      </c>
      <c r="H122" s="293" t="s">
        <v>451</v>
      </c>
      <c r="I122" s="291" t="str">
        <f t="shared" ref="I122:N122" si="99">iferror(C122*$B$5, "-")</f>
        <v>-</v>
      </c>
      <c r="J122" s="291" t="str">
        <f t="shared" si="99"/>
        <v>-</v>
      </c>
      <c r="K122" s="291">
        <f t="shared" si="99"/>
        <v>3</v>
      </c>
      <c r="L122" s="291" t="str">
        <f t="shared" si="99"/>
        <v>-</v>
      </c>
      <c r="M122" s="291" t="str">
        <f t="shared" si="99"/>
        <v>-</v>
      </c>
      <c r="N122" s="291" t="str">
        <f t="shared" si="99"/>
        <v>-</v>
      </c>
      <c r="O122" s="292">
        <f t="shared" si="3"/>
        <v>3</v>
      </c>
    </row>
    <row r="123" ht="12.75" customHeight="1">
      <c r="A123" s="282" t="s">
        <v>456</v>
      </c>
      <c r="B123" s="282" t="s">
        <v>41</v>
      </c>
      <c r="C123" s="293" t="s">
        <v>451</v>
      </c>
      <c r="D123" s="293" t="s">
        <v>451</v>
      </c>
      <c r="E123" s="294">
        <v>0.25</v>
      </c>
      <c r="F123" s="293" t="s">
        <v>451</v>
      </c>
      <c r="G123" s="293" t="s">
        <v>451</v>
      </c>
      <c r="H123" s="293" t="s">
        <v>451</v>
      </c>
      <c r="I123" s="291" t="str">
        <f t="shared" ref="I123:N123" si="100">iferror(C123*$B$6, "-")</f>
        <v>-</v>
      </c>
      <c r="J123" s="291" t="str">
        <f t="shared" si="100"/>
        <v>-</v>
      </c>
      <c r="K123" s="291">
        <f t="shared" si="100"/>
        <v>3</v>
      </c>
      <c r="L123" s="291" t="str">
        <f t="shared" si="100"/>
        <v>-</v>
      </c>
      <c r="M123" s="291" t="str">
        <f t="shared" si="100"/>
        <v>-</v>
      </c>
      <c r="N123" s="291" t="str">
        <f t="shared" si="100"/>
        <v>-</v>
      </c>
      <c r="O123" s="292">
        <f t="shared" si="3"/>
        <v>3</v>
      </c>
    </row>
    <row r="124" ht="12.75" customHeight="1">
      <c r="A124" s="282" t="s">
        <v>456</v>
      </c>
      <c r="B124" s="277" t="s">
        <v>371</v>
      </c>
      <c r="C124" s="294">
        <v>0.25</v>
      </c>
      <c r="D124" s="293" t="s">
        <v>451</v>
      </c>
      <c r="E124" s="294">
        <v>0.25</v>
      </c>
      <c r="F124" s="294">
        <v>0.25</v>
      </c>
      <c r="G124" s="293" t="s">
        <v>451</v>
      </c>
      <c r="H124" s="293" t="s">
        <v>451</v>
      </c>
      <c r="I124" s="291">
        <f t="shared" ref="I124:N124" si="101">iferror(C124*$B$7, "-")</f>
        <v>12.25</v>
      </c>
      <c r="J124" s="291" t="str">
        <f t="shared" si="101"/>
        <v>-</v>
      </c>
      <c r="K124" s="291">
        <f t="shared" si="101"/>
        <v>12.25</v>
      </c>
      <c r="L124" s="291">
        <f t="shared" si="101"/>
        <v>12.25</v>
      </c>
      <c r="M124" s="291" t="str">
        <f t="shared" si="101"/>
        <v>-</v>
      </c>
      <c r="N124" s="291" t="str">
        <f t="shared" si="101"/>
        <v>-</v>
      </c>
      <c r="O124" s="292">
        <f t="shared" si="3"/>
        <v>36.75</v>
      </c>
    </row>
    <row r="125" ht="12.75" customHeight="1">
      <c r="A125" s="282" t="s">
        <v>456</v>
      </c>
      <c r="B125" s="277" t="s">
        <v>428</v>
      </c>
      <c r="C125" s="293" t="s">
        <v>451</v>
      </c>
      <c r="D125" s="293" t="s">
        <v>451</v>
      </c>
      <c r="E125" s="293" t="s">
        <v>451</v>
      </c>
      <c r="F125" s="294">
        <v>0.25</v>
      </c>
      <c r="G125" s="294">
        <v>0.25</v>
      </c>
      <c r="H125" s="293" t="s">
        <v>451</v>
      </c>
      <c r="I125" s="291" t="str">
        <f t="shared" ref="I125:N125" si="102">iferror(C125*$B$8, "-")</f>
        <v>-</v>
      </c>
      <c r="J125" s="291" t="str">
        <f t="shared" si="102"/>
        <v>-</v>
      </c>
      <c r="K125" s="291" t="str">
        <f t="shared" si="102"/>
        <v>-</v>
      </c>
      <c r="L125" s="291">
        <f t="shared" si="102"/>
        <v>12.25</v>
      </c>
      <c r="M125" s="291">
        <f t="shared" si="102"/>
        <v>12.25</v>
      </c>
      <c r="N125" s="291" t="str">
        <f t="shared" si="102"/>
        <v>-</v>
      </c>
      <c r="O125" s="292">
        <f t="shared" si="3"/>
        <v>24.5</v>
      </c>
    </row>
    <row r="126" ht="12.75" customHeight="1">
      <c r="A126" s="282" t="s">
        <v>456</v>
      </c>
      <c r="B126" s="277" t="s">
        <v>429</v>
      </c>
      <c r="C126" s="293" t="s">
        <v>451</v>
      </c>
      <c r="D126" s="294">
        <v>0.25</v>
      </c>
      <c r="E126" s="293" t="s">
        <v>451</v>
      </c>
      <c r="F126" s="293" t="s">
        <v>451</v>
      </c>
      <c r="G126" s="293" t="s">
        <v>451</v>
      </c>
      <c r="H126" s="293" t="s">
        <v>451</v>
      </c>
      <c r="I126" s="291" t="str">
        <f t="shared" ref="I126:N126" si="103">iferror(C126*$B$9, "-")</f>
        <v>-</v>
      </c>
      <c r="J126" s="291">
        <f t="shared" si="103"/>
        <v>3</v>
      </c>
      <c r="K126" s="291" t="str">
        <f t="shared" si="103"/>
        <v>-</v>
      </c>
      <c r="L126" s="291" t="str">
        <f t="shared" si="103"/>
        <v>-</v>
      </c>
      <c r="M126" s="291" t="str">
        <f t="shared" si="103"/>
        <v>-</v>
      </c>
      <c r="N126" s="291" t="str">
        <f t="shared" si="103"/>
        <v>-</v>
      </c>
      <c r="O126" s="292">
        <f t="shared" si="3"/>
        <v>3</v>
      </c>
    </row>
    <row r="127" ht="12.75" customHeight="1">
      <c r="A127" s="282" t="s">
        <v>456</v>
      </c>
      <c r="B127" s="282" t="s">
        <v>163</v>
      </c>
      <c r="C127" s="293" t="s">
        <v>451</v>
      </c>
      <c r="D127" s="294">
        <v>0.25</v>
      </c>
      <c r="E127" s="293" t="s">
        <v>451</v>
      </c>
      <c r="F127" s="293" t="s">
        <v>451</v>
      </c>
      <c r="G127" s="293" t="s">
        <v>451</v>
      </c>
      <c r="H127" s="293" t="s">
        <v>451</v>
      </c>
      <c r="I127" s="291" t="str">
        <f t="shared" ref="I127:N127" si="104">iferror(C127*$B$10, "-")</f>
        <v>-</v>
      </c>
      <c r="J127" s="291">
        <f t="shared" si="104"/>
        <v>3.25</v>
      </c>
      <c r="K127" s="291" t="str">
        <f t="shared" si="104"/>
        <v>-</v>
      </c>
      <c r="L127" s="291" t="str">
        <f t="shared" si="104"/>
        <v>-</v>
      </c>
      <c r="M127" s="291" t="str">
        <f t="shared" si="104"/>
        <v>-</v>
      </c>
      <c r="N127" s="291" t="str">
        <f t="shared" si="104"/>
        <v>-</v>
      </c>
      <c r="O127" s="292">
        <f t="shared" si="3"/>
        <v>3.25</v>
      </c>
    </row>
    <row r="128" ht="12.75" customHeight="1">
      <c r="A128" s="282" t="s">
        <v>456</v>
      </c>
      <c r="B128" s="277" t="s">
        <v>368</v>
      </c>
      <c r="C128" s="293" t="s">
        <v>451</v>
      </c>
      <c r="D128" s="294">
        <v>0.25</v>
      </c>
      <c r="E128" s="293" t="s">
        <v>451</v>
      </c>
      <c r="F128" s="293" t="s">
        <v>451</v>
      </c>
      <c r="G128" s="293" t="s">
        <v>451</v>
      </c>
      <c r="H128" s="293" t="s">
        <v>451</v>
      </c>
      <c r="I128" s="291" t="str">
        <f t="shared" ref="I128:N128" si="105">iferror(C128*$B$11, "-")</f>
        <v>-</v>
      </c>
      <c r="J128" s="291">
        <f t="shared" si="105"/>
        <v>3.75</v>
      </c>
      <c r="K128" s="291" t="str">
        <f t="shared" si="105"/>
        <v>-</v>
      </c>
      <c r="L128" s="291" t="str">
        <f t="shared" si="105"/>
        <v>-</v>
      </c>
      <c r="M128" s="291" t="str">
        <f t="shared" si="105"/>
        <v>-</v>
      </c>
      <c r="N128" s="291" t="str">
        <f t="shared" si="105"/>
        <v>-</v>
      </c>
      <c r="O128" s="292">
        <f t="shared" si="3"/>
        <v>3.75</v>
      </c>
    </row>
    <row r="129" ht="12.75" customHeight="1">
      <c r="A129" s="282" t="s">
        <v>456</v>
      </c>
      <c r="B129" s="277" t="s">
        <v>433</v>
      </c>
      <c r="C129" s="293" t="s">
        <v>451</v>
      </c>
      <c r="D129" s="294">
        <v>0.25</v>
      </c>
      <c r="E129" s="293" t="s">
        <v>451</v>
      </c>
      <c r="F129" s="293" t="s">
        <v>451</v>
      </c>
      <c r="G129" s="293" t="s">
        <v>451</v>
      </c>
      <c r="H129" s="293" t="s">
        <v>451</v>
      </c>
      <c r="I129" s="291" t="str">
        <f t="shared" ref="I129:N129" si="106">iferror(C129*$B$12, "-")</f>
        <v>-</v>
      </c>
      <c r="J129" s="291">
        <f t="shared" si="106"/>
        <v>4</v>
      </c>
      <c r="K129" s="291" t="str">
        <f t="shared" si="106"/>
        <v>-</v>
      </c>
      <c r="L129" s="291" t="str">
        <f t="shared" si="106"/>
        <v>-</v>
      </c>
      <c r="M129" s="291" t="str">
        <f t="shared" si="106"/>
        <v>-</v>
      </c>
      <c r="N129" s="291" t="str">
        <f t="shared" si="106"/>
        <v>-</v>
      </c>
      <c r="O129" s="292">
        <f t="shared" si="3"/>
        <v>4</v>
      </c>
    </row>
    <row r="130" ht="12.75" customHeight="1">
      <c r="A130" s="282" t="s">
        <v>456</v>
      </c>
      <c r="B130" s="277" t="s">
        <v>38</v>
      </c>
      <c r="C130" s="293" t="s">
        <v>451</v>
      </c>
      <c r="D130" s="293" t="s">
        <v>451</v>
      </c>
      <c r="E130" s="293" t="s">
        <v>451</v>
      </c>
      <c r="F130" s="293" t="s">
        <v>451</v>
      </c>
      <c r="G130" s="293" t="s">
        <v>451</v>
      </c>
      <c r="H130" s="293" t="s">
        <v>451</v>
      </c>
      <c r="I130" s="291" t="str">
        <f t="shared" ref="I130:N130" si="107">iferror(C130*$B$13, "-")</f>
        <v>-</v>
      </c>
      <c r="J130" s="291" t="str">
        <f t="shared" si="107"/>
        <v>-</v>
      </c>
      <c r="K130" s="291" t="str">
        <f t="shared" si="107"/>
        <v>-</v>
      </c>
      <c r="L130" s="291" t="str">
        <f t="shared" si="107"/>
        <v>-</v>
      </c>
      <c r="M130" s="291" t="str">
        <f t="shared" si="107"/>
        <v>-</v>
      </c>
      <c r="N130" s="291" t="str">
        <f t="shared" si="107"/>
        <v>-</v>
      </c>
      <c r="O130" s="292">
        <f t="shared" si="3"/>
        <v>0</v>
      </c>
    </row>
    <row r="131" ht="12.75" customHeight="1">
      <c r="A131" s="282" t="s">
        <v>456</v>
      </c>
      <c r="B131" s="277" t="s">
        <v>367</v>
      </c>
      <c r="C131" s="293" t="s">
        <v>451</v>
      </c>
      <c r="D131" s="293" t="s">
        <v>451</v>
      </c>
      <c r="E131" s="293" t="s">
        <v>451</v>
      </c>
      <c r="F131" s="293" t="s">
        <v>451</v>
      </c>
      <c r="G131" s="293" t="s">
        <v>451</v>
      </c>
      <c r="H131" s="293" t="s">
        <v>451</v>
      </c>
      <c r="I131" s="291" t="str">
        <f t="shared" ref="I131:N131" si="108">iferror(C131*$B$14, "-")</f>
        <v>-</v>
      </c>
      <c r="J131" s="291" t="str">
        <f t="shared" si="108"/>
        <v>-</v>
      </c>
      <c r="K131" s="291" t="str">
        <f t="shared" si="108"/>
        <v>-</v>
      </c>
      <c r="L131" s="291" t="str">
        <f t="shared" si="108"/>
        <v>-</v>
      </c>
      <c r="M131" s="291" t="str">
        <f t="shared" si="108"/>
        <v>-</v>
      </c>
      <c r="N131" s="291" t="str">
        <f t="shared" si="108"/>
        <v>-</v>
      </c>
      <c r="O131" s="292">
        <f t="shared" si="3"/>
        <v>0</v>
      </c>
    </row>
    <row r="132" ht="12.75" customHeight="1">
      <c r="A132" s="282" t="s">
        <v>456</v>
      </c>
      <c r="B132" s="282" t="s">
        <v>27</v>
      </c>
      <c r="C132" s="293" t="s">
        <v>451</v>
      </c>
      <c r="D132" s="294">
        <v>0.25</v>
      </c>
      <c r="E132" s="293" t="s">
        <v>451</v>
      </c>
      <c r="F132" s="293" t="s">
        <v>451</v>
      </c>
      <c r="G132" s="293" t="s">
        <v>451</v>
      </c>
      <c r="H132" s="293" t="s">
        <v>451</v>
      </c>
      <c r="I132" s="291" t="str">
        <f t="shared" ref="I132:N132" si="109">iferror(C132*$B$15, "-")</f>
        <v>-</v>
      </c>
      <c r="J132" s="291">
        <f t="shared" si="109"/>
        <v>0.75</v>
      </c>
      <c r="K132" s="291" t="str">
        <f t="shared" si="109"/>
        <v>-</v>
      </c>
      <c r="L132" s="291" t="str">
        <f t="shared" si="109"/>
        <v>-</v>
      </c>
      <c r="M132" s="291" t="str">
        <f t="shared" si="109"/>
        <v>-</v>
      </c>
      <c r="N132" s="291" t="str">
        <f t="shared" si="109"/>
        <v>-</v>
      </c>
      <c r="O132" s="292">
        <f t="shared" si="3"/>
        <v>0.75</v>
      </c>
    </row>
    <row r="133" ht="12.75" customHeight="1">
      <c r="A133" s="282" t="s">
        <v>456</v>
      </c>
      <c r="B133" s="277" t="s">
        <v>108</v>
      </c>
      <c r="C133" s="293" t="s">
        <v>451</v>
      </c>
      <c r="D133" s="293" t="s">
        <v>451</v>
      </c>
      <c r="E133" s="293" t="s">
        <v>451</v>
      </c>
      <c r="F133" s="293" t="s">
        <v>451</v>
      </c>
      <c r="G133" s="293" t="s">
        <v>451</v>
      </c>
      <c r="H133" s="293" t="s">
        <v>451</v>
      </c>
      <c r="I133" s="291" t="str">
        <f t="shared" ref="I133:N133" si="110">iferror(C133*$B$16, "-")</f>
        <v>-</v>
      </c>
      <c r="J133" s="291" t="str">
        <f t="shared" si="110"/>
        <v>-</v>
      </c>
      <c r="K133" s="291" t="str">
        <f t="shared" si="110"/>
        <v>-</v>
      </c>
      <c r="L133" s="291" t="str">
        <f t="shared" si="110"/>
        <v>-</v>
      </c>
      <c r="M133" s="291" t="str">
        <f t="shared" si="110"/>
        <v>-</v>
      </c>
      <c r="N133" s="291" t="str">
        <f t="shared" si="110"/>
        <v>-</v>
      </c>
      <c r="O133" s="292">
        <f t="shared" si="3"/>
        <v>0</v>
      </c>
    </row>
    <row r="134" ht="12.75" customHeight="1">
      <c r="A134" s="282" t="s">
        <v>456</v>
      </c>
      <c r="B134" s="277" t="s">
        <v>438</v>
      </c>
      <c r="C134" s="293" t="s">
        <v>451</v>
      </c>
      <c r="D134" s="293" t="s">
        <v>451</v>
      </c>
      <c r="E134" s="293" t="s">
        <v>451</v>
      </c>
      <c r="F134" s="293" t="s">
        <v>451</v>
      </c>
      <c r="G134" s="293" t="s">
        <v>451</v>
      </c>
      <c r="H134" s="293" t="s">
        <v>451</v>
      </c>
      <c r="I134" s="291" t="str">
        <f t="shared" ref="I134:N134" si="111">iferror(C134*$B$17, "-")</f>
        <v>-</v>
      </c>
      <c r="J134" s="291" t="str">
        <f t="shared" si="111"/>
        <v>-</v>
      </c>
      <c r="K134" s="291" t="str">
        <f t="shared" si="111"/>
        <v>-</v>
      </c>
      <c r="L134" s="291" t="str">
        <f t="shared" si="111"/>
        <v>-</v>
      </c>
      <c r="M134" s="291" t="str">
        <f t="shared" si="111"/>
        <v>-</v>
      </c>
      <c r="N134" s="291" t="str">
        <f t="shared" si="111"/>
        <v>-</v>
      </c>
      <c r="O134" s="292">
        <f t="shared" si="3"/>
        <v>0</v>
      </c>
    </row>
    <row r="135" ht="12.75" customHeight="1">
      <c r="A135" s="282" t="s">
        <v>456</v>
      </c>
      <c r="B135" s="295" t="s">
        <v>44</v>
      </c>
      <c r="C135" s="294">
        <v>0.25</v>
      </c>
      <c r="D135" s="296" t="s">
        <v>451</v>
      </c>
      <c r="E135" s="296" t="s">
        <v>451</v>
      </c>
      <c r="F135" s="296" t="s">
        <v>451</v>
      </c>
      <c r="G135" s="296" t="s">
        <v>451</v>
      </c>
      <c r="H135" s="296" t="s">
        <v>451</v>
      </c>
      <c r="I135" s="291">
        <f t="shared" ref="I135:N135" si="112">iferror(C135*$B$18, "-")</f>
        <v>6</v>
      </c>
      <c r="J135" s="291" t="str">
        <f t="shared" si="112"/>
        <v>-</v>
      </c>
      <c r="K135" s="291" t="str">
        <f t="shared" si="112"/>
        <v>-</v>
      </c>
      <c r="L135" s="291" t="str">
        <f t="shared" si="112"/>
        <v>-</v>
      </c>
      <c r="M135" s="291" t="str">
        <f t="shared" si="112"/>
        <v>-</v>
      </c>
      <c r="N135" s="291" t="str">
        <f t="shared" si="112"/>
        <v>-</v>
      </c>
      <c r="O135" s="291">
        <f t="shared" si="3"/>
        <v>6</v>
      </c>
    </row>
    <row r="136" ht="12.75" customHeight="1">
      <c r="A136" s="282" t="s">
        <v>456</v>
      </c>
      <c r="B136" s="282" t="s">
        <v>35</v>
      </c>
      <c r="C136" s="294">
        <v>0.25</v>
      </c>
      <c r="D136" s="296" t="s">
        <v>451</v>
      </c>
      <c r="E136" s="294">
        <v>0.25</v>
      </c>
      <c r="F136" s="296" t="s">
        <v>451</v>
      </c>
      <c r="G136" s="296" t="s">
        <v>451</v>
      </c>
      <c r="H136" s="296" t="s">
        <v>451</v>
      </c>
      <c r="I136" s="291">
        <f t="shared" ref="I136:N136" si="113">iferror(C136*$B$19, "-")</f>
        <v>12.25</v>
      </c>
      <c r="J136" s="291" t="str">
        <f t="shared" si="113"/>
        <v>-</v>
      </c>
      <c r="K136" s="291">
        <f t="shared" si="113"/>
        <v>12.25</v>
      </c>
      <c r="L136" s="291" t="str">
        <f t="shared" si="113"/>
        <v>-</v>
      </c>
      <c r="M136" s="291" t="str">
        <f t="shared" si="113"/>
        <v>-</v>
      </c>
      <c r="N136" s="291" t="str">
        <f t="shared" si="113"/>
        <v>-</v>
      </c>
      <c r="O136" s="291">
        <f t="shared" si="3"/>
        <v>24.5</v>
      </c>
    </row>
    <row r="137" ht="12.75" customHeight="1">
      <c r="A137" s="282" t="s">
        <v>456</v>
      </c>
      <c r="B137" s="282" t="s">
        <v>37</v>
      </c>
      <c r="C137" s="294">
        <v>0.25</v>
      </c>
      <c r="D137" s="296" t="s">
        <v>451</v>
      </c>
      <c r="E137" s="294">
        <v>0.25</v>
      </c>
      <c r="F137" s="296" t="s">
        <v>451</v>
      </c>
      <c r="G137" s="296" t="s">
        <v>451</v>
      </c>
      <c r="H137" s="296" t="s">
        <v>451</v>
      </c>
      <c r="I137" s="291">
        <f t="shared" ref="I137:N137" si="114">iferror(C137*$B$20, "-")</f>
        <v>12.25</v>
      </c>
      <c r="J137" s="291" t="str">
        <f t="shared" si="114"/>
        <v>-</v>
      </c>
      <c r="K137" s="291">
        <f t="shared" si="114"/>
        <v>12.25</v>
      </c>
      <c r="L137" s="291" t="str">
        <f t="shared" si="114"/>
        <v>-</v>
      </c>
      <c r="M137" s="291" t="str">
        <f t="shared" si="114"/>
        <v>-</v>
      </c>
      <c r="N137" s="291" t="str">
        <f t="shared" si="114"/>
        <v>-</v>
      </c>
      <c r="O137" s="291">
        <f t="shared" si="3"/>
        <v>24.5</v>
      </c>
    </row>
    <row r="138" ht="12.75" customHeight="1">
      <c r="A138" s="282" t="s">
        <v>456</v>
      </c>
      <c r="B138" s="282" t="s">
        <v>366</v>
      </c>
      <c r="C138" s="299" t="s">
        <v>451</v>
      </c>
      <c r="D138" s="299" t="s">
        <v>451</v>
      </c>
      <c r="E138" s="299" t="s">
        <v>451</v>
      </c>
      <c r="F138" s="299" t="s">
        <v>451</v>
      </c>
      <c r="G138" s="299" t="s">
        <v>451</v>
      </c>
      <c r="H138" s="299" t="s">
        <v>451</v>
      </c>
      <c r="I138" s="300" t="str">
        <f t="shared" ref="I138:N138" si="115">iferror(C138*$B$21, "-")</f>
        <v>-</v>
      </c>
      <c r="J138" s="300" t="str">
        <f t="shared" si="115"/>
        <v>-</v>
      </c>
      <c r="K138" s="300" t="str">
        <f t="shared" si="115"/>
        <v>-</v>
      </c>
      <c r="L138" s="300" t="str">
        <f t="shared" si="115"/>
        <v>-</v>
      </c>
      <c r="M138" s="300" t="str">
        <f t="shared" si="115"/>
        <v>-</v>
      </c>
      <c r="N138" s="300" t="str">
        <f t="shared" si="115"/>
        <v>-</v>
      </c>
      <c r="O138" s="292">
        <f t="shared" si="3"/>
        <v>0</v>
      </c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</sheetData>
  <mergeCells count="1">
    <mergeCell ref="A1:N1"/>
  </mergeCells>
  <conditionalFormatting sqref="A25:A138 B25:B40 C25:N138 B43:B138">
    <cfRule type="cellIs" dxfId="7" priority="1" operator="equal">
      <formula>"-"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19.75"/>
    <col customWidth="1" min="3" max="8" width="14.38"/>
    <col customWidth="1" min="9" max="9" width="19.75"/>
    <col customWidth="1" min="10" max="26" width="8.63"/>
  </cols>
  <sheetData>
    <row r="1" ht="12.75" customHeight="1">
      <c r="A1" s="271" t="s">
        <v>457</v>
      </c>
    </row>
    <row r="2" ht="12.75" customHeight="1">
      <c r="A2" s="274" t="s">
        <v>458</v>
      </c>
      <c r="B2" s="275" t="s">
        <v>459</v>
      </c>
    </row>
    <row r="3" ht="12.75" customHeight="1">
      <c r="A3" s="277" t="s">
        <v>460</v>
      </c>
      <c r="B3" s="303">
        <v>72.0</v>
      </c>
      <c r="C3" s="304" t="s">
        <v>461</v>
      </c>
    </row>
    <row r="4" ht="12.75" customHeight="1">
      <c r="A4" s="277" t="s">
        <v>462</v>
      </c>
      <c r="B4" s="303">
        <v>8.0</v>
      </c>
      <c r="C4" s="304" t="s">
        <v>461</v>
      </c>
    </row>
    <row r="5" ht="12.75" customHeight="1">
      <c r="A5" s="277" t="s">
        <v>463</v>
      </c>
      <c r="B5" s="303">
        <v>9.0</v>
      </c>
      <c r="C5" s="304" t="s">
        <v>461</v>
      </c>
    </row>
    <row r="6" ht="12.75" customHeight="1">
      <c r="A6" s="277" t="s">
        <v>464</v>
      </c>
      <c r="B6" s="278">
        <v>29.0</v>
      </c>
      <c r="C6" s="304" t="s">
        <v>461</v>
      </c>
    </row>
    <row r="7" ht="12.75" customHeight="1">
      <c r="A7" s="277" t="s">
        <v>465</v>
      </c>
      <c r="B7" s="303">
        <v>3.0</v>
      </c>
      <c r="C7" s="304" t="s">
        <v>461</v>
      </c>
    </row>
    <row r="8" ht="12.75" customHeight="1"/>
    <row r="9" ht="12.75" customHeight="1">
      <c r="A9" s="271" t="s">
        <v>466</v>
      </c>
    </row>
    <row r="10" ht="12.75" customHeight="1">
      <c r="A10" s="274" t="s">
        <v>467</v>
      </c>
      <c r="B10" s="275" t="s">
        <v>468</v>
      </c>
    </row>
    <row r="11" ht="12.75" customHeight="1">
      <c r="A11" s="277" t="s">
        <v>469</v>
      </c>
      <c r="B11" s="303">
        <v>1.0</v>
      </c>
    </row>
    <row r="12" ht="12.75" customHeight="1">
      <c r="A12" s="277" t="s">
        <v>470</v>
      </c>
      <c r="B12" s="303">
        <v>2.0</v>
      </c>
    </row>
    <row r="13" ht="12.75" customHeight="1">
      <c r="A13" s="277" t="s">
        <v>471</v>
      </c>
      <c r="B13" s="303">
        <v>3.0</v>
      </c>
    </row>
    <row r="14" ht="12.75" customHeight="1">
      <c r="A14" s="277" t="s">
        <v>472</v>
      </c>
      <c r="B14" s="303">
        <v>4.0</v>
      </c>
    </row>
    <row r="15" ht="12.75" customHeight="1">
      <c r="A15" s="277" t="s">
        <v>473</v>
      </c>
      <c r="B15" s="303">
        <v>5.0</v>
      </c>
    </row>
    <row r="16" ht="12.75" customHeight="1">
      <c r="A16" s="277" t="s">
        <v>474</v>
      </c>
      <c r="B16" s="303">
        <v>6.0</v>
      </c>
    </row>
    <row r="17" ht="12.75" customHeight="1"/>
    <row r="18" ht="12.75" customHeight="1">
      <c r="A18" s="271" t="s">
        <v>475</v>
      </c>
    </row>
    <row r="19" ht="12.75" customHeight="1">
      <c r="A19" s="274" t="s">
        <v>476</v>
      </c>
      <c r="B19" s="275" t="s">
        <v>477</v>
      </c>
      <c r="C19" s="275" t="s">
        <v>469</v>
      </c>
      <c r="D19" s="275" t="s">
        <v>470</v>
      </c>
      <c r="E19" s="275" t="s">
        <v>471</v>
      </c>
      <c r="F19" s="275" t="s">
        <v>472</v>
      </c>
      <c r="G19" s="275" t="s">
        <v>473</v>
      </c>
      <c r="H19" s="275" t="s">
        <v>474</v>
      </c>
      <c r="I19" s="275" t="s">
        <v>478</v>
      </c>
    </row>
    <row r="20" ht="12.75" customHeight="1">
      <c r="A20" s="277" t="s">
        <v>479</v>
      </c>
      <c r="B20" s="303">
        <v>2.0</v>
      </c>
      <c r="C20" s="305">
        <v>0.37</v>
      </c>
      <c r="D20" s="306">
        <v>0.29</v>
      </c>
      <c r="E20" s="306">
        <v>0.2</v>
      </c>
      <c r="F20" s="306">
        <v>0.1</v>
      </c>
      <c r="G20" s="306">
        <v>0.04</v>
      </c>
      <c r="H20" s="305">
        <v>0.0</v>
      </c>
      <c r="I20" s="307">
        <f t="shared" ref="I20:I25" si="1">SUM(C20:H20)</f>
        <v>1</v>
      </c>
    </row>
    <row r="21" ht="12.75" customHeight="1">
      <c r="A21" s="277" t="s">
        <v>480</v>
      </c>
      <c r="B21" s="303">
        <v>3.0</v>
      </c>
      <c r="C21" s="305">
        <v>0.34</v>
      </c>
      <c r="D21" s="306">
        <v>0.26</v>
      </c>
      <c r="E21" s="306">
        <v>0.19</v>
      </c>
      <c r="F21" s="306">
        <v>0.14</v>
      </c>
      <c r="G21" s="306">
        <v>0.07</v>
      </c>
      <c r="H21" s="305">
        <v>0.0</v>
      </c>
      <c r="I21" s="307">
        <f t="shared" si="1"/>
        <v>1</v>
      </c>
    </row>
    <row r="22" ht="12.75" customHeight="1">
      <c r="A22" s="277" t="s">
        <v>481</v>
      </c>
      <c r="B22" s="303">
        <v>4.0</v>
      </c>
      <c r="C22" s="305">
        <v>0.32</v>
      </c>
      <c r="D22" s="306">
        <v>0.24</v>
      </c>
      <c r="E22" s="306">
        <v>0.18</v>
      </c>
      <c r="F22" s="306">
        <v>0.16</v>
      </c>
      <c r="G22" s="306">
        <v>0.1</v>
      </c>
      <c r="H22" s="305">
        <v>0.0</v>
      </c>
      <c r="I22" s="307">
        <f t="shared" si="1"/>
        <v>1</v>
      </c>
    </row>
    <row r="23" ht="12.75" customHeight="1">
      <c r="A23" s="277" t="s">
        <v>482</v>
      </c>
      <c r="B23" s="303">
        <v>5.0</v>
      </c>
      <c r="C23" s="305">
        <v>0.31</v>
      </c>
      <c r="D23" s="306">
        <v>0.22</v>
      </c>
      <c r="E23" s="306">
        <v>0.17</v>
      </c>
      <c r="F23" s="306">
        <v>0.18</v>
      </c>
      <c r="G23" s="305">
        <v>0.12</v>
      </c>
      <c r="H23" s="305">
        <v>0.0</v>
      </c>
      <c r="I23" s="307">
        <f t="shared" si="1"/>
        <v>1</v>
      </c>
    </row>
    <row r="24" ht="12.75" customHeight="1">
      <c r="A24" s="277" t="s">
        <v>483</v>
      </c>
      <c r="B24" s="303">
        <v>6.0</v>
      </c>
      <c r="C24" s="305">
        <v>0.285</v>
      </c>
      <c r="D24" s="306">
        <v>0.2</v>
      </c>
      <c r="E24" s="306">
        <v>0.16</v>
      </c>
      <c r="F24" s="306">
        <v>0.2</v>
      </c>
      <c r="G24" s="305">
        <v>0.155</v>
      </c>
      <c r="H24" s="305">
        <v>0.0</v>
      </c>
      <c r="I24" s="307">
        <f t="shared" si="1"/>
        <v>1</v>
      </c>
    </row>
    <row r="25" ht="12.75" customHeight="1">
      <c r="A25" s="282" t="s">
        <v>484</v>
      </c>
      <c r="B25" s="278">
        <v>7.0</v>
      </c>
      <c r="C25" s="305">
        <v>0.26</v>
      </c>
      <c r="D25" s="306">
        <v>0.18</v>
      </c>
      <c r="E25" s="306">
        <v>0.15</v>
      </c>
      <c r="F25" s="306">
        <v>0.22</v>
      </c>
      <c r="G25" s="306">
        <v>0.19</v>
      </c>
      <c r="H25" s="305">
        <v>0.0</v>
      </c>
      <c r="I25" s="307">
        <f t="shared" si="1"/>
        <v>1</v>
      </c>
    </row>
    <row r="26" ht="12.75" customHeight="1">
      <c r="A26" s="308" t="s">
        <v>485</v>
      </c>
    </row>
    <row r="27" ht="12.75" customHeight="1"/>
    <row r="28" ht="12.75" customHeight="1">
      <c r="A28" s="309" t="s">
        <v>486</v>
      </c>
    </row>
    <row r="29" ht="12.75" customHeight="1">
      <c r="A29" s="274" t="s">
        <v>476</v>
      </c>
      <c r="B29" s="276" t="s">
        <v>487</v>
      </c>
      <c r="C29" s="276" t="s">
        <v>488</v>
      </c>
    </row>
    <row r="30" ht="12.75" customHeight="1">
      <c r="A30" s="277" t="s">
        <v>479</v>
      </c>
      <c r="B30" s="303" t="s">
        <v>489</v>
      </c>
      <c r="C30" s="303" t="b">
        <v>0</v>
      </c>
    </row>
    <row r="31" ht="12.75" customHeight="1">
      <c r="A31" s="277" t="s">
        <v>480</v>
      </c>
      <c r="B31" s="303" t="s">
        <v>489</v>
      </c>
      <c r="C31" s="303" t="b">
        <v>0</v>
      </c>
    </row>
    <row r="32" ht="12.75" customHeight="1">
      <c r="A32" s="277" t="s">
        <v>481</v>
      </c>
      <c r="B32" s="303" t="s">
        <v>489</v>
      </c>
      <c r="C32" s="303" t="b">
        <v>0</v>
      </c>
    </row>
    <row r="33" ht="12.75" customHeight="1">
      <c r="A33" s="277" t="s">
        <v>482</v>
      </c>
      <c r="B33" s="303" t="s">
        <v>489</v>
      </c>
      <c r="C33" s="303" t="b">
        <v>0</v>
      </c>
    </row>
    <row r="34" ht="12.75" customHeight="1">
      <c r="A34" s="277" t="s">
        <v>483</v>
      </c>
      <c r="B34" s="303" t="s">
        <v>490</v>
      </c>
      <c r="C34" s="303" t="b">
        <v>0</v>
      </c>
    </row>
    <row r="35" ht="12.75" customHeight="1">
      <c r="A35" s="282" t="s">
        <v>484</v>
      </c>
      <c r="B35" s="303" t="s">
        <v>491</v>
      </c>
      <c r="C35" s="303" t="b">
        <v>1</v>
      </c>
    </row>
    <row r="36" ht="12.75" customHeight="1"/>
    <row r="37" ht="12.75" customHeight="1"/>
    <row r="38" ht="12.75" customHeight="1">
      <c r="A38" s="271" t="s">
        <v>492</v>
      </c>
    </row>
    <row r="39" ht="12.75" customHeight="1">
      <c r="A39" s="274" t="s">
        <v>493</v>
      </c>
      <c r="B39" s="275" t="s">
        <v>494</v>
      </c>
      <c r="C39" s="275" t="s">
        <v>495</v>
      </c>
    </row>
    <row r="40" ht="12.75" customHeight="1">
      <c r="A40" s="277" t="s">
        <v>496</v>
      </c>
      <c r="B40" s="303">
        <v>250.0</v>
      </c>
      <c r="C40" s="278" t="s">
        <v>479</v>
      </c>
    </row>
    <row r="41" ht="12.75" customHeight="1">
      <c r="A41" s="277" t="s">
        <v>497</v>
      </c>
      <c r="B41" s="303">
        <v>500.0</v>
      </c>
      <c r="C41" s="303" t="s">
        <v>482</v>
      </c>
    </row>
    <row r="42" ht="12.75" customHeight="1">
      <c r="A42" s="277" t="s">
        <v>474</v>
      </c>
      <c r="B42" s="303">
        <v>1000.0</v>
      </c>
      <c r="C42" s="303" t="s">
        <v>483</v>
      </c>
    </row>
    <row r="43" ht="12.75" customHeight="1"/>
    <row r="44" ht="12.75" customHeight="1">
      <c r="A44" s="309" t="s">
        <v>498</v>
      </c>
    </row>
    <row r="45" ht="12.75" customHeight="1">
      <c r="A45" s="274" t="s">
        <v>499</v>
      </c>
      <c r="B45" s="274" t="s">
        <v>500</v>
      </c>
    </row>
    <row r="46" ht="14.25" customHeight="1">
      <c r="A46" s="310" t="s">
        <v>469</v>
      </c>
      <c r="B46" s="303">
        <v>281.0</v>
      </c>
    </row>
    <row r="47" ht="12.75" customHeight="1">
      <c r="A47" s="310" t="s">
        <v>470</v>
      </c>
      <c r="B47" s="303">
        <v>215.0</v>
      </c>
    </row>
    <row r="48" ht="12.75" customHeight="1">
      <c r="A48" s="310" t="s">
        <v>471</v>
      </c>
      <c r="B48" s="303">
        <v>143.0</v>
      </c>
    </row>
    <row r="49" ht="12.75" customHeight="1">
      <c r="A49" s="310" t="s">
        <v>472</v>
      </c>
      <c r="B49" s="303">
        <v>112.0</v>
      </c>
    </row>
    <row r="50" ht="12.75" customHeight="1">
      <c r="A50" s="310" t="s">
        <v>473</v>
      </c>
      <c r="B50" s="303">
        <v>66.0</v>
      </c>
    </row>
    <row r="51" ht="12.75" customHeight="1">
      <c r="A51" s="310" t="s">
        <v>474</v>
      </c>
      <c r="B51" s="303">
        <v>0.0</v>
      </c>
    </row>
    <row r="52" ht="12.75" customHeight="1"/>
    <row r="53" ht="12.75" customHeight="1">
      <c r="A53" s="311" t="s">
        <v>501</v>
      </c>
    </row>
    <row r="54" ht="12.75" customHeight="1"/>
    <row r="55" ht="12.75" customHeight="1">
      <c r="A55" s="309" t="s">
        <v>502</v>
      </c>
      <c r="B55" s="312" t="s">
        <v>503</v>
      </c>
    </row>
    <row r="56" ht="34.5" customHeight="1">
      <c r="A56" s="288" t="s">
        <v>504</v>
      </c>
      <c r="B56" s="274" t="s">
        <v>19</v>
      </c>
      <c r="C56" s="274" t="s">
        <v>5</v>
      </c>
      <c r="D56" s="274" t="s">
        <v>77</v>
      </c>
      <c r="E56" s="274" t="s">
        <v>6</v>
      </c>
      <c r="F56" s="274" t="s">
        <v>7</v>
      </c>
      <c r="G56" s="274" t="s">
        <v>8</v>
      </c>
      <c r="H56" s="274" t="s">
        <v>9</v>
      </c>
      <c r="I56" s="274" t="s">
        <v>10</v>
      </c>
      <c r="J56" s="274" t="s">
        <v>11</v>
      </c>
      <c r="K56" s="274" t="s">
        <v>12</v>
      </c>
      <c r="L56" s="274" t="s">
        <v>13</v>
      </c>
      <c r="M56" s="274" t="s">
        <v>14</v>
      </c>
      <c r="N56" s="274" t="s">
        <v>15</v>
      </c>
      <c r="O56" s="274" t="s">
        <v>92</v>
      </c>
      <c r="P56" s="274" t="s">
        <v>78</v>
      </c>
      <c r="Q56" s="274" t="s">
        <v>79</v>
      </c>
      <c r="R56" s="274" t="s">
        <v>80</v>
      </c>
      <c r="S56" s="274" t="s">
        <v>81</v>
      </c>
      <c r="T56" s="274" t="s">
        <v>82</v>
      </c>
      <c r="U56" s="274" t="s">
        <v>83</v>
      </c>
      <c r="V56" s="274" t="s">
        <v>84</v>
      </c>
    </row>
    <row r="57" ht="12.75" customHeight="1">
      <c r="A57" s="310" t="str">
        <f t="array" ref="A57:A64">"Set "&amp;SEQUENCE($B$4,1)</f>
        <v>Set 1</v>
      </c>
      <c r="B57" s="278">
        <v>300.0</v>
      </c>
      <c r="C57" s="303">
        <v>0.0</v>
      </c>
      <c r="D57" s="303">
        <v>0.0</v>
      </c>
      <c r="E57" s="278">
        <v>2.0</v>
      </c>
      <c r="F57" s="303">
        <v>0.0</v>
      </c>
      <c r="G57" s="303">
        <v>0.0</v>
      </c>
      <c r="H57" s="303">
        <v>0.0</v>
      </c>
      <c r="I57" s="303">
        <v>0.0</v>
      </c>
      <c r="J57" s="303">
        <v>0.0</v>
      </c>
      <c r="K57" s="278">
        <v>30.0</v>
      </c>
      <c r="L57" s="303">
        <v>0.0</v>
      </c>
      <c r="M57" s="303">
        <v>0.0</v>
      </c>
      <c r="N57" s="303">
        <v>0.0</v>
      </c>
      <c r="O57" s="303">
        <v>0.0</v>
      </c>
      <c r="P57" s="303">
        <v>0.0</v>
      </c>
      <c r="Q57" s="303">
        <v>0.0</v>
      </c>
      <c r="R57" s="303">
        <v>0.0</v>
      </c>
      <c r="S57" s="303">
        <v>0.0</v>
      </c>
      <c r="T57" s="303">
        <v>0.0</v>
      </c>
      <c r="U57" s="303">
        <v>0.0</v>
      </c>
      <c r="V57" s="303">
        <v>0.0</v>
      </c>
    </row>
    <row r="58" ht="12.75" customHeight="1">
      <c r="A58" s="310" t="s">
        <v>505</v>
      </c>
      <c r="B58" s="278">
        <v>200.0</v>
      </c>
      <c r="C58" s="303">
        <v>0.0</v>
      </c>
      <c r="D58" s="303">
        <v>0.0</v>
      </c>
      <c r="E58" s="303">
        <v>0.0</v>
      </c>
      <c r="F58" s="278">
        <v>2.0</v>
      </c>
      <c r="G58" s="303">
        <v>0.0</v>
      </c>
      <c r="H58" s="303">
        <v>0.0</v>
      </c>
      <c r="I58" s="303">
        <v>0.0</v>
      </c>
      <c r="J58" s="303">
        <v>0.0</v>
      </c>
      <c r="K58" s="303">
        <v>0.0</v>
      </c>
      <c r="L58" s="303">
        <v>0.0</v>
      </c>
      <c r="M58" s="303">
        <v>0.0</v>
      </c>
      <c r="N58" s="303">
        <v>0.0</v>
      </c>
      <c r="O58" s="303">
        <v>0.0</v>
      </c>
      <c r="P58" s="303">
        <v>0.0</v>
      </c>
      <c r="Q58" s="303">
        <v>0.0</v>
      </c>
      <c r="R58" s="303">
        <v>0.0</v>
      </c>
      <c r="S58" s="303">
        <v>0.0</v>
      </c>
      <c r="T58" s="303">
        <v>0.0</v>
      </c>
      <c r="U58" s="303">
        <v>0.0</v>
      </c>
      <c r="V58" s="303">
        <v>0.0</v>
      </c>
    </row>
    <row r="59" ht="12.75" customHeight="1">
      <c r="A59" s="310" t="s">
        <v>506</v>
      </c>
      <c r="B59" s="278">
        <v>100.0</v>
      </c>
      <c r="C59" s="303">
        <v>0.0</v>
      </c>
      <c r="D59" s="303">
        <v>0.0</v>
      </c>
      <c r="E59" s="303">
        <v>0.0</v>
      </c>
      <c r="F59" s="303">
        <v>0.0</v>
      </c>
      <c r="G59" s="278">
        <v>2.0</v>
      </c>
      <c r="H59" s="303">
        <v>0.0</v>
      </c>
      <c r="I59" s="303">
        <v>0.0</v>
      </c>
      <c r="J59" s="303">
        <v>0.0</v>
      </c>
      <c r="K59" s="303">
        <v>0.0</v>
      </c>
      <c r="L59" s="303">
        <v>0.0</v>
      </c>
      <c r="M59" s="303">
        <v>0.0</v>
      </c>
      <c r="N59" s="303">
        <v>0.0</v>
      </c>
      <c r="O59" s="303">
        <v>0.0</v>
      </c>
      <c r="P59" s="303">
        <v>0.0</v>
      </c>
      <c r="Q59" s="303">
        <v>0.0</v>
      </c>
      <c r="R59" s="303">
        <v>0.0</v>
      </c>
      <c r="S59" s="303">
        <v>0.0</v>
      </c>
      <c r="T59" s="303">
        <v>0.0</v>
      </c>
      <c r="U59" s="303">
        <v>0.0</v>
      </c>
      <c r="V59" s="303">
        <v>0.0</v>
      </c>
    </row>
    <row r="60" ht="12.75" customHeight="1">
      <c r="A60" s="310" t="s">
        <v>507</v>
      </c>
      <c r="B60" s="303">
        <v>0.0</v>
      </c>
      <c r="C60" s="303">
        <v>0.0</v>
      </c>
      <c r="D60" s="303">
        <v>0.0</v>
      </c>
      <c r="E60" s="278">
        <v>1.0</v>
      </c>
      <c r="F60" s="303">
        <v>0.0</v>
      </c>
      <c r="G60" s="303">
        <v>0.0</v>
      </c>
      <c r="H60" s="303">
        <v>0.0</v>
      </c>
      <c r="I60" s="303">
        <v>0.0</v>
      </c>
      <c r="J60" s="303">
        <v>0.0</v>
      </c>
      <c r="K60" s="303">
        <v>0.0</v>
      </c>
      <c r="L60" s="303">
        <v>0.0</v>
      </c>
      <c r="M60" s="303">
        <v>0.0</v>
      </c>
      <c r="N60" s="303">
        <v>0.0</v>
      </c>
      <c r="O60" s="303">
        <v>0.0</v>
      </c>
      <c r="P60" s="303">
        <v>0.0</v>
      </c>
      <c r="Q60" s="303">
        <v>0.0</v>
      </c>
      <c r="R60" s="303">
        <v>0.0</v>
      </c>
      <c r="S60" s="303">
        <v>0.0</v>
      </c>
      <c r="T60" s="303">
        <v>0.0</v>
      </c>
      <c r="U60" s="303">
        <v>0.0</v>
      </c>
      <c r="V60" s="303">
        <v>0.0</v>
      </c>
    </row>
    <row r="61" ht="12.75" customHeight="1">
      <c r="A61" s="310" t="s">
        <v>508</v>
      </c>
      <c r="B61" s="303">
        <v>0.0</v>
      </c>
      <c r="C61" s="303">
        <v>0.0</v>
      </c>
      <c r="D61" s="303">
        <v>0.0</v>
      </c>
      <c r="E61" s="303">
        <v>0.0</v>
      </c>
      <c r="F61" s="278">
        <v>1.0</v>
      </c>
      <c r="G61" s="303">
        <v>0.0</v>
      </c>
      <c r="H61" s="303">
        <v>0.0</v>
      </c>
      <c r="I61" s="303">
        <v>0.0</v>
      </c>
      <c r="J61" s="303">
        <v>0.0</v>
      </c>
      <c r="K61" s="303">
        <v>0.0</v>
      </c>
      <c r="L61" s="303">
        <v>0.0</v>
      </c>
      <c r="M61" s="303">
        <v>0.0</v>
      </c>
      <c r="N61" s="303">
        <v>0.0</v>
      </c>
      <c r="O61" s="303">
        <v>0.0</v>
      </c>
      <c r="P61" s="303">
        <v>0.0</v>
      </c>
      <c r="Q61" s="303">
        <v>0.0</v>
      </c>
      <c r="R61" s="303">
        <v>0.0</v>
      </c>
      <c r="S61" s="303">
        <v>0.0</v>
      </c>
      <c r="T61" s="303">
        <v>0.0</v>
      </c>
      <c r="U61" s="303">
        <v>0.0</v>
      </c>
      <c r="V61" s="303">
        <v>0.0</v>
      </c>
    </row>
    <row r="62" ht="12.75" customHeight="1">
      <c r="A62" s="310" t="s">
        <v>509</v>
      </c>
      <c r="B62" s="303">
        <v>0.0</v>
      </c>
      <c r="C62" s="303">
        <v>0.0</v>
      </c>
      <c r="D62" s="303">
        <v>0.0</v>
      </c>
      <c r="E62" s="303">
        <v>0.0</v>
      </c>
      <c r="F62" s="303">
        <v>0.0</v>
      </c>
      <c r="G62" s="278">
        <v>1.0</v>
      </c>
      <c r="H62" s="303">
        <v>0.0</v>
      </c>
      <c r="I62" s="303">
        <v>0.0</v>
      </c>
      <c r="J62" s="303">
        <v>0.0</v>
      </c>
      <c r="K62" s="303">
        <v>0.0</v>
      </c>
      <c r="L62" s="303">
        <v>0.0</v>
      </c>
      <c r="M62" s="303">
        <v>0.0</v>
      </c>
      <c r="N62" s="303">
        <v>0.0</v>
      </c>
      <c r="O62" s="303">
        <v>0.0</v>
      </c>
      <c r="P62" s="303">
        <v>0.0</v>
      </c>
      <c r="Q62" s="303">
        <v>0.0</v>
      </c>
      <c r="R62" s="303">
        <v>0.0</v>
      </c>
      <c r="S62" s="303">
        <v>0.0</v>
      </c>
      <c r="T62" s="303">
        <v>0.0</v>
      </c>
      <c r="U62" s="303">
        <v>0.0</v>
      </c>
      <c r="V62" s="303">
        <v>0.0</v>
      </c>
    </row>
    <row r="63" ht="12.75" customHeight="1">
      <c r="A63" s="310" t="s">
        <v>510</v>
      </c>
      <c r="B63" s="303">
        <v>0.0</v>
      </c>
      <c r="C63" s="303">
        <v>0.0</v>
      </c>
      <c r="D63" s="303">
        <v>0.0</v>
      </c>
      <c r="E63" s="303">
        <v>0.0</v>
      </c>
      <c r="F63" s="303">
        <v>0.0</v>
      </c>
      <c r="G63" s="303">
        <v>0.0</v>
      </c>
      <c r="H63" s="278">
        <v>1.0</v>
      </c>
      <c r="I63" s="303">
        <v>0.0</v>
      </c>
      <c r="J63" s="303">
        <v>0.0</v>
      </c>
      <c r="K63" s="303">
        <v>0.0</v>
      </c>
      <c r="L63" s="303">
        <v>0.0</v>
      </c>
      <c r="M63" s="303">
        <v>0.0</v>
      </c>
      <c r="N63" s="303">
        <v>0.0</v>
      </c>
      <c r="O63" s="303">
        <v>0.0</v>
      </c>
      <c r="P63" s="303">
        <v>0.0</v>
      </c>
      <c r="Q63" s="303">
        <v>0.0</v>
      </c>
      <c r="R63" s="303">
        <v>0.0</v>
      </c>
      <c r="S63" s="303">
        <v>0.0</v>
      </c>
      <c r="T63" s="303">
        <v>0.0</v>
      </c>
      <c r="U63" s="303">
        <v>0.0</v>
      </c>
      <c r="V63" s="303">
        <v>0.0</v>
      </c>
    </row>
    <row r="64" ht="12.75" customHeight="1">
      <c r="A64" s="310" t="s">
        <v>511</v>
      </c>
      <c r="B64" s="303">
        <v>0.0</v>
      </c>
      <c r="C64" s="303">
        <v>0.0</v>
      </c>
      <c r="D64" s="303">
        <v>0.0</v>
      </c>
      <c r="E64" s="303">
        <v>0.0</v>
      </c>
      <c r="F64" s="303">
        <v>0.0</v>
      </c>
      <c r="G64" s="303">
        <v>0.0</v>
      </c>
      <c r="H64" s="303">
        <v>0.0</v>
      </c>
      <c r="I64" s="278">
        <v>1.0</v>
      </c>
      <c r="J64" s="303">
        <v>0.0</v>
      </c>
      <c r="K64" s="303">
        <v>0.0</v>
      </c>
      <c r="L64" s="303">
        <v>0.0</v>
      </c>
      <c r="M64" s="303">
        <v>0.0</v>
      </c>
      <c r="N64" s="303">
        <v>0.0</v>
      </c>
      <c r="O64" s="303">
        <v>0.0</v>
      </c>
      <c r="P64" s="303">
        <v>0.0</v>
      </c>
      <c r="Q64" s="303">
        <v>0.0</v>
      </c>
      <c r="R64" s="303">
        <v>0.0</v>
      </c>
      <c r="S64" s="303">
        <v>0.0</v>
      </c>
      <c r="T64" s="303">
        <v>0.0</v>
      </c>
      <c r="U64" s="303">
        <v>0.0</v>
      </c>
      <c r="V64" s="303">
        <v>0.0</v>
      </c>
    </row>
    <row r="65" ht="12.75" customHeight="1"/>
    <row r="66" ht="12.75" customHeight="1"/>
    <row r="67" ht="12.75" customHeight="1">
      <c r="A67" s="309" t="s">
        <v>512</v>
      </c>
    </row>
    <row r="68" ht="12.75" customHeight="1">
      <c r="A68" s="288" t="s">
        <v>513</v>
      </c>
      <c r="B68" s="274" t="s">
        <v>19</v>
      </c>
      <c r="C68" s="274" t="s">
        <v>5</v>
      </c>
      <c r="D68" s="274" t="s">
        <v>77</v>
      </c>
      <c r="E68" s="274" t="s">
        <v>6</v>
      </c>
      <c r="F68" s="274" t="s">
        <v>7</v>
      </c>
      <c r="G68" s="274" t="s">
        <v>8</v>
      </c>
      <c r="H68" s="274" t="s">
        <v>9</v>
      </c>
      <c r="I68" s="274" t="s">
        <v>10</v>
      </c>
      <c r="J68" s="274" t="s">
        <v>11</v>
      </c>
      <c r="K68" s="274" t="s">
        <v>12</v>
      </c>
      <c r="L68" s="274" t="s">
        <v>13</v>
      </c>
      <c r="M68" s="274" t="s">
        <v>14</v>
      </c>
      <c r="N68" s="274" t="s">
        <v>15</v>
      </c>
      <c r="O68" s="274" t="s">
        <v>92</v>
      </c>
      <c r="P68" s="274" t="s">
        <v>78</v>
      </c>
      <c r="Q68" s="274" t="s">
        <v>79</v>
      </c>
      <c r="R68" s="274" t="s">
        <v>80</v>
      </c>
      <c r="S68" s="274" t="s">
        <v>81</v>
      </c>
      <c r="T68" s="274" t="s">
        <v>82</v>
      </c>
      <c r="U68" s="274" t="s">
        <v>83</v>
      </c>
      <c r="V68" s="274" t="s">
        <v>84</v>
      </c>
    </row>
    <row r="69" ht="12.75" customHeight="1">
      <c r="A69" s="310" t="str">
        <f t="array" ref="A69:A71">"Album "&amp;SEQUENCE($B$7,1)</f>
        <v>Album 1</v>
      </c>
      <c r="B69" s="278">
        <v>500.0</v>
      </c>
      <c r="C69" s="303">
        <v>0.0</v>
      </c>
      <c r="D69" s="303">
        <v>0.0</v>
      </c>
      <c r="E69" s="278">
        <v>1.0</v>
      </c>
      <c r="F69" s="303">
        <v>0.0</v>
      </c>
      <c r="G69" s="303">
        <v>0.0</v>
      </c>
      <c r="H69" s="303">
        <v>0.0</v>
      </c>
      <c r="I69" s="303">
        <v>0.0</v>
      </c>
      <c r="J69" s="303">
        <v>0.0</v>
      </c>
      <c r="K69" s="303">
        <v>0.0</v>
      </c>
      <c r="L69" s="303">
        <v>0.0</v>
      </c>
      <c r="M69" s="303">
        <v>0.0</v>
      </c>
      <c r="N69" s="303">
        <v>0.0</v>
      </c>
      <c r="O69" s="303">
        <v>0.0</v>
      </c>
      <c r="P69" s="303">
        <v>0.0</v>
      </c>
      <c r="Q69" s="303">
        <v>0.0</v>
      </c>
      <c r="R69" s="303">
        <v>0.0</v>
      </c>
      <c r="S69" s="303">
        <v>0.0</v>
      </c>
      <c r="T69" s="303">
        <v>0.0</v>
      </c>
      <c r="U69" s="303">
        <v>0.0</v>
      </c>
      <c r="V69" s="303">
        <v>0.0</v>
      </c>
    </row>
    <row r="70" ht="12.75" customHeight="1">
      <c r="A70" s="310" t="s">
        <v>514</v>
      </c>
      <c r="B70" s="303">
        <v>0.0</v>
      </c>
      <c r="C70" s="278">
        <v>20.0</v>
      </c>
      <c r="D70" s="303">
        <v>0.0</v>
      </c>
      <c r="E70" s="303">
        <v>0.0</v>
      </c>
      <c r="F70" s="278">
        <v>1.0</v>
      </c>
      <c r="G70" s="303">
        <v>0.0</v>
      </c>
      <c r="H70" s="303">
        <v>0.0</v>
      </c>
      <c r="I70" s="303">
        <v>0.0</v>
      </c>
      <c r="J70" s="303">
        <v>0.0</v>
      </c>
      <c r="K70" s="303">
        <v>0.0</v>
      </c>
      <c r="L70" s="303">
        <v>0.0</v>
      </c>
      <c r="M70" s="303">
        <v>0.0</v>
      </c>
      <c r="N70" s="303">
        <v>0.0</v>
      </c>
      <c r="O70" s="303">
        <v>0.0</v>
      </c>
      <c r="P70" s="303">
        <v>0.0</v>
      </c>
      <c r="Q70" s="303">
        <v>0.0</v>
      </c>
      <c r="R70" s="303">
        <v>0.0</v>
      </c>
      <c r="S70" s="303">
        <v>0.0</v>
      </c>
      <c r="T70" s="303">
        <v>0.0</v>
      </c>
      <c r="U70" s="303">
        <v>0.0</v>
      </c>
      <c r="V70" s="303">
        <v>0.0</v>
      </c>
    </row>
    <row r="71" ht="12.75" customHeight="1">
      <c r="A71" s="310" t="s">
        <v>515</v>
      </c>
      <c r="B71" s="303">
        <v>0.0</v>
      </c>
      <c r="C71" s="303">
        <v>0.0</v>
      </c>
      <c r="D71" s="303">
        <v>0.0</v>
      </c>
      <c r="E71" s="303">
        <v>0.0</v>
      </c>
      <c r="F71" s="303">
        <v>0.0</v>
      </c>
      <c r="G71" s="278">
        <v>1.0</v>
      </c>
      <c r="H71" s="303">
        <v>0.0</v>
      </c>
      <c r="I71" s="303">
        <v>0.0</v>
      </c>
      <c r="J71" s="303">
        <v>0.0</v>
      </c>
      <c r="K71" s="303">
        <v>0.0</v>
      </c>
      <c r="L71" s="303">
        <v>0.0</v>
      </c>
      <c r="M71" s="303">
        <v>0.0</v>
      </c>
      <c r="N71" s="303">
        <v>0.0</v>
      </c>
      <c r="O71" s="303">
        <v>0.0</v>
      </c>
      <c r="P71" s="303">
        <v>0.0</v>
      </c>
      <c r="Q71" s="303">
        <v>0.0</v>
      </c>
      <c r="R71" s="303">
        <v>0.0</v>
      </c>
      <c r="S71" s="303">
        <v>0.0</v>
      </c>
      <c r="T71" s="303">
        <v>0.0</v>
      </c>
      <c r="U71" s="303">
        <v>0.0</v>
      </c>
      <c r="V71" s="303">
        <v>0.0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hyperlinks>
    <hyperlink r:id="rId1" ref="A26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11" width="13.0"/>
    <col customWidth="1" min="12" max="12" width="3.75"/>
    <col customWidth="1" min="13" max="13" width="24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271" t="s">
        <v>516</v>
      </c>
      <c r="I1" s="313" t="s">
        <v>517</v>
      </c>
      <c r="M1" s="314" t="s">
        <v>518</v>
      </c>
      <c r="N1" s="246"/>
      <c r="O1" s="315"/>
      <c r="Q1" s="316"/>
      <c r="R1" s="317"/>
      <c r="T1" s="314" t="s">
        <v>519</v>
      </c>
      <c r="U1" s="246"/>
      <c r="V1" s="317"/>
    </row>
    <row r="2" ht="12.75" customHeight="1">
      <c r="A2" s="274" t="s">
        <v>520</v>
      </c>
      <c r="B2" s="274" t="s">
        <v>521</v>
      </c>
      <c r="C2" s="275" t="s">
        <v>220</v>
      </c>
      <c r="D2" s="275" t="s">
        <v>221</v>
      </c>
      <c r="E2" s="275" t="s">
        <v>499</v>
      </c>
      <c r="I2" s="313" t="s">
        <v>522</v>
      </c>
      <c r="J2" s="313" t="s">
        <v>523</v>
      </c>
      <c r="K2" s="313" t="s">
        <v>524</v>
      </c>
      <c r="L2" s="246"/>
      <c r="M2" s="314" t="s">
        <v>522</v>
      </c>
      <c r="N2" s="313" t="s">
        <v>523</v>
      </c>
      <c r="O2" s="318" t="s">
        <v>525</v>
      </c>
      <c r="P2" s="313"/>
      <c r="Q2" s="314" t="s">
        <v>526</v>
      </c>
      <c r="R2" s="317"/>
      <c r="T2" s="314" t="s">
        <v>522</v>
      </c>
      <c r="U2" s="313" t="s">
        <v>523</v>
      </c>
      <c r="V2" s="319" t="s">
        <v>525</v>
      </c>
    </row>
    <row r="3" ht="12.75" customHeight="1">
      <c r="A3" s="277" t="s">
        <v>527</v>
      </c>
      <c r="B3" s="320" t="s">
        <v>528</v>
      </c>
      <c r="C3" s="303">
        <v>1.0</v>
      </c>
      <c r="D3" s="321" t="s">
        <v>529</v>
      </c>
      <c r="E3" s="303" t="s">
        <v>469</v>
      </c>
      <c r="H3" s="246"/>
      <c r="I3" s="322" t="str">
        <f t="shared" ref="I3:I11" si="1">B3&amp;" "&amp;E3</f>
        <v>Skull Isle - Compass 1★</v>
      </c>
      <c r="J3" s="323">
        <v>50.0</v>
      </c>
      <c r="K3" s="323">
        <v>10.0</v>
      </c>
      <c r="M3" s="316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46">
        <v>50.0</v>
      </c>
      <c r="O3" s="315">
        <v>0.02710027100271003</v>
      </c>
      <c r="Q3" s="324" t="s">
        <v>530</v>
      </c>
      <c r="R3" s="325">
        <v>35.0</v>
      </c>
      <c r="T3" s="316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U3" s="246">
        <f>IFERROR(__xludf.DUMMYFUNCTION("""COMPUTED_VALUE"""),50.0)</f>
        <v>50</v>
      </c>
      <c r="V3" s="315">
        <f>IFERROR(__xludf.DUMMYFUNCTION("if(U3="""", """", U3/sum(filter($U$3:$U$1000, $U$3:$U$1000&lt;&gt;"""")))"),0.12987012987012986)</f>
        <v>0.1298701299</v>
      </c>
    </row>
    <row r="4" ht="12.75" customHeight="1">
      <c r="A4" s="277" t="s">
        <v>531</v>
      </c>
      <c r="B4" s="320" t="s">
        <v>532</v>
      </c>
      <c r="C4" s="303">
        <v>1.0</v>
      </c>
      <c r="D4" s="321" t="s">
        <v>529</v>
      </c>
      <c r="E4" s="303" t="s">
        <v>469</v>
      </c>
      <c r="H4" s="246"/>
      <c r="I4" s="322" t="str">
        <f t="shared" si="1"/>
        <v>Skull Isle - Map 1★</v>
      </c>
      <c r="J4" s="323">
        <v>50.0</v>
      </c>
      <c r="K4" s="323">
        <v>10.0</v>
      </c>
      <c r="M4" s="316" t="s">
        <v>533</v>
      </c>
      <c r="N4" s="246">
        <v>50.0</v>
      </c>
      <c r="O4" s="315">
        <v>0.02710027100271003</v>
      </c>
      <c r="Q4" s="316"/>
      <c r="R4" s="317"/>
      <c r="T4" s="316" t="str">
        <f>IFERROR(__xludf.DUMMYFUNCTION("""COMPUTED_VALUE"""),"Skull Isle - Map 1★ #FBC")</f>
        <v>Skull Isle - Map 1★ #FBC</v>
      </c>
      <c r="U4" s="246">
        <f>IFERROR(__xludf.DUMMYFUNCTION("""COMPUTED_VALUE"""),50.0)</f>
        <v>50</v>
      </c>
      <c r="V4" s="315">
        <f>IFERROR(__xludf.DUMMYFUNCTION("if(U4="""", """", U4/sum(filter($U$3:$U$1000, $U$3:$U$1000&lt;&gt;"""")))"),0.12987012987012986)</f>
        <v>0.1298701299</v>
      </c>
    </row>
    <row r="5" ht="12.75" customHeight="1">
      <c r="A5" s="277" t="s">
        <v>534</v>
      </c>
      <c r="B5" s="320" t="s">
        <v>535</v>
      </c>
      <c r="C5" s="303">
        <v>1.0</v>
      </c>
      <c r="D5" s="321" t="s">
        <v>529</v>
      </c>
      <c r="E5" s="303" t="s">
        <v>469</v>
      </c>
      <c r="H5" s="246"/>
      <c r="I5" s="322" t="str">
        <f t="shared" si="1"/>
        <v>Skull Isle - Spyglass 1★</v>
      </c>
      <c r="J5" s="323">
        <v>50.0</v>
      </c>
      <c r="K5" s="323">
        <v>10.0</v>
      </c>
      <c r="M5" s="316" t="s">
        <v>536</v>
      </c>
      <c r="N5" s="246">
        <v>50.0</v>
      </c>
      <c r="O5" s="315">
        <v>0.02710027100271003</v>
      </c>
      <c r="Q5" s="326" t="s">
        <v>537</v>
      </c>
      <c r="R5" s="317"/>
      <c r="T5" s="316" t="str">
        <f>IFERROR(__xludf.DUMMYFUNCTION("""COMPUTED_VALUE"""),"Skull Isle - Map 1★ #545")</f>
        <v>Skull Isle - Map 1★ #545</v>
      </c>
      <c r="U5" s="246">
        <f>IFERROR(__xludf.DUMMYFUNCTION("""COMPUTED_VALUE"""),50.0)</f>
        <v>50</v>
      </c>
      <c r="V5" s="315">
        <f>IFERROR(__xludf.DUMMYFUNCTION("if(U5="""", """", U5/sum(filter($U$3:$U$1000, $U$3:$U$1000&lt;&gt;"""")))"),0.12987012987012986)</f>
        <v>0.1298701299</v>
      </c>
    </row>
    <row r="6" ht="12.75" customHeight="1">
      <c r="A6" s="277" t="s">
        <v>538</v>
      </c>
      <c r="B6" s="320" t="s">
        <v>539</v>
      </c>
      <c r="C6" s="303">
        <v>1.0</v>
      </c>
      <c r="D6" s="321" t="s">
        <v>529</v>
      </c>
      <c r="E6" s="303" t="s">
        <v>469</v>
      </c>
      <c r="H6" s="246"/>
      <c r="I6" s="322" t="str">
        <f t="shared" si="1"/>
        <v>Skull Isle - Anchor 1★</v>
      </c>
      <c r="J6" s="323">
        <v>20.0</v>
      </c>
      <c r="K6" s="323">
        <v>5.0</v>
      </c>
      <c r="M6" s="316" t="s">
        <v>540</v>
      </c>
      <c r="N6" s="246">
        <v>50.0</v>
      </c>
      <c r="O6" s="315">
        <v>0.02710027100271003</v>
      </c>
      <c r="Q6" s="327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317">
        <f>IFERROR(__xludf.DUMMYFUNCTION("""COMPUTED_VALUE"""),29.0)</f>
        <v>29</v>
      </c>
      <c r="T6" s="316" t="str">
        <f>IFERROR(__xludf.DUMMYFUNCTION("""COMPUTED_VALUE"""),"Skull Isle - Spyglass 1★ #B0C")</f>
        <v>Skull Isle - Spyglass 1★ #B0C</v>
      </c>
      <c r="U6" s="246">
        <f>IFERROR(__xludf.DUMMYFUNCTION("""COMPUTED_VALUE"""),50.0)</f>
        <v>50</v>
      </c>
      <c r="V6" s="315">
        <f>IFERROR(__xludf.DUMMYFUNCTION("if(U6="""", """", U6/sum(filter($U$3:$U$1000, $U$3:$U$1000&lt;&gt;"""")))"),0.12987012987012986)</f>
        <v>0.1298701299</v>
      </c>
    </row>
    <row r="7" ht="12.75" customHeight="1">
      <c r="A7" s="277" t="s">
        <v>541</v>
      </c>
      <c r="B7" s="320" t="s">
        <v>542</v>
      </c>
      <c r="C7" s="303">
        <v>1.0</v>
      </c>
      <c r="D7" s="321" t="s">
        <v>529</v>
      </c>
      <c r="E7" s="303" t="s">
        <v>470</v>
      </c>
      <c r="H7" s="246"/>
      <c r="I7" s="322" t="str">
        <f t="shared" si="1"/>
        <v>Skull Isle - Helm 2★</v>
      </c>
      <c r="J7" s="323">
        <v>20.0</v>
      </c>
      <c r="K7" s="323">
        <v>5.0</v>
      </c>
      <c r="M7" s="316" t="s">
        <v>543</v>
      </c>
      <c r="N7" s="246">
        <v>50.0</v>
      </c>
      <c r="O7" s="315">
        <v>0.02710027100271003</v>
      </c>
      <c r="Q7" s="324" t="str">
        <f>IFERROR(__xludf.DUMMYFUNCTION("""COMPUTED_VALUE"""),"2★")</f>
        <v>2★</v>
      </c>
      <c r="R7" s="317">
        <f>IFERROR(__xludf.DUMMYFUNCTION("""COMPUTED_VALUE"""),5.0)</f>
        <v>5</v>
      </c>
      <c r="T7" s="316" t="str">
        <f>IFERROR(__xludf.DUMMYFUNCTION("""COMPUTED_VALUE"""),"Skull Isle - Anchor 1★ #076")</f>
        <v>Skull Isle - Anchor 1★ #076</v>
      </c>
      <c r="U7" s="246">
        <f>IFERROR(__xludf.DUMMYFUNCTION("""COMPUTED_VALUE"""),20.0)</f>
        <v>20</v>
      </c>
      <c r="V7" s="315">
        <f>IFERROR(__xludf.DUMMYFUNCTION("if(U7="""", """", U7/sum(filter($U$3:$U$1000, $U$3:$U$1000&lt;&gt;"""")))"),0.05194805194805195)</f>
        <v>0.05194805195</v>
      </c>
    </row>
    <row r="8" ht="12.75" customHeight="1">
      <c r="A8" s="277" t="s">
        <v>544</v>
      </c>
      <c r="B8" s="320" t="s">
        <v>545</v>
      </c>
      <c r="C8" s="303">
        <v>1.0</v>
      </c>
      <c r="D8" s="321" t="s">
        <v>529</v>
      </c>
      <c r="E8" s="303" t="s">
        <v>470</v>
      </c>
      <c r="H8" s="246"/>
      <c r="I8" s="322" t="str">
        <f t="shared" si="1"/>
        <v>Skull Isle - Cutlass 2★</v>
      </c>
      <c r="J8" s="323">
        <v>20.0</v>
      </c>
      <c r="K8" s="323">
        <v>5.0</v>
      </c>
      <c r="M8" s="316" t="s">
        <v>546</v>
      </c>
      <c r="N8" s="246">
        <v>50.0</v>
      </c>
      <c r="O8" s="315">
        <v>0.02710027100271003</v>
      </c>
      <c r="Q8" s="324" t="str">
        <f>IFERROR(__xludf.DUMMYFUNCTION("""COMPUTED_VALUE"""),"3★")</f>
        <v>3★</v>
      </c>
      <c r="R8" s="317">
        <f>IFERROR(__xludf.DUMMYFUNCTION("""COMPUTED_VALUE"""),1.0)</f>
        <v>1</v>
      </c>
      <c r="T8" s="316" t="str">
        <f>IFERROR(__xludf.DUMMYFUNCTION("""COMPUTED_VALUE"""),"Skull Isle - Anchor 1★ #B2B")</f>
        <v>Skull Isle - Anchor 1★ #B2B</v>
      </c>
      <c r="U8" s="246">
        <f>IFERROR(__xludf.DUMMYFUNCTION("""COMPUTED_VALUE"""),20.0)</f>
        <v>20</v>
      </c>
      <c r="V8" s="315">
        <f>IFERROR(__xludf.DUMMYFUNCTION("if(U8="""", """", U8/sum(filter($U$3:$U$1000, $U$3:$U$1000&lt;&gt;"""")))"),0.05194805194805195)</f>
        <v>0.05194805195</v>
      </c>
    </row>
    <row r="9" ht="12.75" customHeight="1">
      <c r="A9" s="277" t="s">
        <v>547</v>
      </c>
      <c r="B9" s="320" t="s">
        <v>548</v>
      </c>
      <c r="C9" s="303">
        <v>1.0</v>
      </c>
      <c r="D9" s="321" t="s">
        <v>529</v>
      </c>
      <c r="E9" s="303" t="s">
        <v>470</v>
      </c>
      <c r="I9" s="322" t="str">
        <f t="shared" si="1"/>
        <v>Skull Isle - Parrot 2★</v>
      </c>
      <c r="J9" s="323">
        <v>10.0</v>
      </c>
      <c r="K9" s="323">
        <v>2.0</v>
      </c>
      <c r="M9" s="316" t="s">
        <v>549</v>
      </c>
      <c r="N9" s="246">
        <v>50.0</v>
      </c>
      <c r="O9" s="315">
        <v>0.02710027100271003</v>
      </c>
      <c r="Q9" s="324"/>
      <c r="R9" s="317"/>
      <c r="T9" s="316" t="str">
        <f>IFERROR(__xludf.DUMMYFUNCTION("""COMPUTED_VALUE"""),"Skull Isle - Helm 2★ #5FF")</f>
        <v>Skull Isle - Helm 2★ #5FF</v>
      </c>
      <c r="U9" s="246">
        <f>IFERROR(__xludf.DUMMYFUNCTION("""COMPUTED_VALUE"""),20.0)</f>
        <v>20</v>
      </c>
      <c r="V9" s="315">
        <f>IFERROR(__xludf.DUMMYFUNCTION("if(U9="""", """", U9/sum(filter($U$3:$U$1000, $U$3:$U$1000&lt;&gt;"""")))"),0.05194805194805195)</f>
        <v>0.05194805195</v>
      </c>
    </row>
    <row r="10" ht="12.75" customHeight="1">
      <c r="A10" s="277" t="s">
        <v>550</v>
      </c>
      <c r="B10" s="320" t="s">
        <v>551</v>
      </c>
      <c r="C10" s="303">
        <v>1.0</v>
      </c>
      <c r="D10" s="321" t="s">
        <v>529</v>
      </c>
      <c r="E10" s="303" t="s">
        <v>471</v>
      </c>
      <c r="I10" s="322" t="str">
        <f t="shared" si="1"/>
        <v>Skull Isle - Chest 3★</v>
      </c>
      <c r="J10" s="323">
        <v>10.0</v>
      </c>
      <c r="K10" s="323">
        <v>2.0</v>
      </c>
      <c r="M10" s="316" t="s">
        <v>552</v>
      </c>
      <c r="N10" s="246">
        <v>50.0</v>
      </c>
      <c r="O10" s="315">
        <v>0.02710027100271003</v>
      </c>
      <c r="Q10" s="324"/>
      <c r="R10" s="317"/>
      <c r="T10" s="316" t="str">
        <f>IFERROR(__xludf.DUMMYFUNCTION("""COMPUTED_VALUE"""),"Skull Isle - Helm 2★ #0B4")</f>
        <v>Skull Isle - Helm 2★ #0B4</v>
      </c>
      <c r="U10" s="246">
        <f>IFERROR(__xludf.DUMMYFUNCTION("""COMPUTED_VALUE"""),20.0)</f>
        <v>20</v>
      </c>
      <c r="V10" s="315">
        <f>IFERROR(__xludf.DUMMYFUNCTION("if(U10="""", """", U10/sum(filter($U$3:$U$1000, $U$3:$U$1000&lt;&gt;"""")))"),0.05194805194805195)</f>
        <v>0.05194805195</v>
      </c>
    </row>
    <row r="11" ht="12.75" customHeight="1">
      <c r="A11" s="277" t="s">
        <v>553</v>
      </c>
      <c r="B11" s="320" t="s">
        <v>554</v>
      </c>
      <c r="C11" s="303">
        <v>1.0</v>
      </c>
      <c r="D11" s="321" t="s">
        <v>529</v>
      </c>
      <c r="E11" s="303" t="s">
        <v>471</v>
      </c>
      <c r="I11" s="322" t="str">
        <f t="shared" si="1"/>
        <v>Skull Isle - Skull 3★</v>
      </c>
      <c r="J11" s="323">
        <v>5.0</v>
      </c>
      <c r="K11" s="323">
        <v>1.0</v>
      </c>
      <c r="M11" s="316" t="s">
        <v>555</v>
      </c>
      <c r="N11" s="246">
        <v>50.0</v>
      </c>
      <c r="O11" s="315">
        <v>0.02710027100271003</v>
      </c>
      <c r="Q11" s="326" t="s">
        <v>556</v>
      </c>
      <c r="R11" s="317"/>
      <c r="T11" s="316" t="str">
        <f>IFERROR(__xludf.DUMMYFUNCTION("""COMPUTED_VALUE"""),"Skull Isle - Helm 2★ #0D3")</f>
        <v>Skull Isle - Helm 2★ #0D3</v>
      </c>
      <c r="U11" s="246">
        <f>IFERROR(__xludf.DUMMYFUNCTION("""COMPUTED_VALUE"""),20.0)</f>
        <v>20</v>
      </c>
      <c r="V11" s="315">
        <f>IFERROR(__xludf.DUMMYFUNCTION("if(U11="""", """", U11/sum(filter($U$3:$U$1000, $U$3:$U$1000&lt;&gt;"""")))"),0.05194805194805195)</f>
        <v>0.05194805195</v>
      </c>
    </row>
    <row r="12" ht="12.75" customHeight="1">
      <c r="A12" s="277" t="s">
        <v>557</v>
      </c>
      <c r="B12" s="320" t="s">
        <v>558</v>
      </c>
      <c r="C12" s="303">
        <v>2.0</v>
      </c>
      <c r="D12" s="321" t="s">
        <v>559</v>
      </c>
      <c r="E12" s="303" t="s">
        <v>469</v>
      </c>
      <c r="M12" s="316" t="s">
        <v>560</v>
      </c>
      <c r="N12" s="246">
        <v>50.0</v>
      </c>
      <c r="O12" s="315">
        <v>0.02710027100271003</v>
      </c>
      <c r="Q12" s="316" t="str">
        <f t="shared" ref="Q12:Q15" si="2">Q6</f>
        <v>1★</v>
      </c>
      <c r="R12" s="328">
        <f t="shared" ref="R12:R15" si="3">if(Q12="", "", R6/sum($R$6:$R$10))</f>
        <v>0.8285714286</v>
      </c>
      <c r="T12" s="316" t="str">
        <f>IFERROR(__xludf.DUMMYFUNCTION("""COMPUTED_VALUE"""),"Skull Isle - Cutlass 2★ #63D")</f>
        <v>Skull Isle - Cutlass 2★ #63D</v>
      </c>
      <c r="U12" s="246">
        <f>IFERROR(__xludf.DUMMYFUNCTION("""COMPUTED_VALUE"""),20.0)</f>
        <v>20</v>
      </c>
      <c r="V12" s="315">
        <f>IFERROR(__xludf.DUMMYFUNCTION("if(U12="""", """", U12/sum(filter($U$3:$U$1000, $U$3:$U$1000&lt;&gt;"""")))"),0.05194805194805195)</f>
        <v>0.05194805195</v>
      </c>
    </row>
    <row r="13" ht="12.75" customHeight="1">
      <c r="A13" s="277" t="s">
        <v>561</v>
      </c>
      <c r="B13" s="320" t="s">
        <v>562</v>
      </c>
      <c r="C13" s="303">
        <v>2.0</v>
      </c>
      <c r="D13" s="321" t="s">
        <v>559</v>
      </c>
      <c r="E13" s="303" t="s">
        <v>469</v>
      </c>
      <c r="M13" s="316" t="s">
        <v>563</v>
      </c>
      <c r="N13" s="246">
        <v>50.0</v>
      </c>
      <c r="O13" s="315">
        <v>0.02710027100271003</v>
      </c>
      <c r="Q13" s="316" t="str">
        <f t="shared" si="2"/>
        <v>2★</v>
      </c>
      <c r="R13" s="328">
        <f t="shared" si="3"/>
        <v>0.1428571429</v>
      </c>
      <c r="T13" s="316" t="str">
        <f>IFERROR(__xludf.DUMMYFUNCTION("""COMPUTED_VALUE"""),"Skull Isle - Cutlass 2★ #BA7")</f>
        <v>Skull Isle - Cutlass 2★ #BA7</v>
      </c>
      <c r="U13" s="246">
        <f>IFERROR(__xludf.DUMMYFUNCTION("""COMPUTED_VALUE"""),20.0)</f>
        <v>20</v>
      </c>
      <c r="V13" s="315">
        <f>IFERROR(__xludf.DUMMYFUNCTION("if(U13="""", """", U13/sum(filter($U$3:$U$1000, $U$3:$U$1000&lt;&gt;"""")))"),0.05194805194805195)</f>
        <v>0.05194805195</v>
      </c>
    </row>
    <row r="14" ht="12.75" customHeight="1">
      <c r="A14" s="277" t="s">
        <v>564</v>
      </c>
      <c r="B14" s="320" t="s">
        <v>565</v>
      </c>
      <c r="C14" s="303">
        <v>2.0</v>
      </c>
      <c r="D14" s="321" t="s">
        <v>559</v>
      </c>
      <c r="E14" s="303" t="s">
        <v>469</v>
      </c>
      <c r="M14" s="316" t="s">
        <v>566</v>
      </c>
      <c r="N14" s="246">
        <v>50.0</v>
      </c>
      <c r="O14" s="315">
        <v>0.02710027100271003</v>
      </c>
      <c r="Q14" s="316" t="str">
        <f t="shared" si="2"/>
        <v>3★</v>
      </c>
      <c r="R14" s="328">
        <f t="shared" si="3"/>
        <v>0.02857142857</v>
      </c>
      <c r="T14" s="316" t="str">
        <f>IFERROR(__xludf.DUMMYFUNCTION("""COMPUTED_VALUE"""),"Skull Isle - Cutlass 2★ #65C")</f>
        <v>Skull Isle - Cutlass 2★ #65C</v>
      </c>
      <c r="U14" s="246">
        <f>IFERROR(__xludf.DUMMYFUNCTION("""COMPUTED_VALUE"""),20.0)</f>
        <v>20</v>
      </c>
      <c r="V14" s="315">
        <f>IFERROR(__xludf.DUMMYFUNCTION("if(U14="""", """", U14/sum(filter($U$3:$U$1000, $U$3:$U$1000&lt;&gt;"""")))"),0.05194805194805195)</f>
        <v>0.05194805195</v>
      </c>
    </row>
    <row r="15" ht="12.75" customHeight="1">
      <c r="A15" s="277" t="s">
        <v>567</v>
      </c>
      <c r="B15" s="320" t="s">
        <v>568</v>
      </c>
      <c r="C15" s="303">
        <v>2.0</v>
      </c>
      <c r="D15" s="321" t="s">
        <v>559</v>
      </c>
      <c r="E15" s="303" t="s">
        <v>469</v>
      </c>
      <c r="M15" s="316" t="s">
        <v>569</v>
      </c>
      <c r="N15" s="246">
        <v>50.0</v>
      </c>
      <c r="O15" s="315">
        <v>0.02710027100271003</v>
      </c>
      <c r="Q15" s="316" t="str">
        <f t="shared" si="2"/>
        <v/>
      </c>
      <c r="R15" s="328" t="str">
        <f t="shared" si="3"/>
        <v/>
      </c>
      <c r="T15" s="316" t="str">
        <f>IFERROR(__xludf.DUMMYFUNCTION("""COMPUTED_VALUE"""),"Skull Isle - Parrot 2★ #BC6")</f>
        <v>Skull Isle - Parrot 2★ #BC6</v>
      </c>
      <c r="U15" s="246">
        <f>IFERROR(__xludf.DUMMYFUNCTION("""COMPUTED_VALUE"""),10.0)</f>
        <v>10</v>
      </c>
      <c r="V15" s="315">
        <f>IFERROR(__xludf.DUMMYFUNCTION("if(U15="""", """", U15/sum(filter($U$3:$U$1000, $U$3:$U$1000&lt;&gt;"""")))"),0.025974025974025976)</f>
        <v>0.02597402597</v>
      </c>
    </row>
    <row r="16" ht="12.75" customHeight="1">
      <c r="A16" s="277" t="s">
        <v>570</v>
      </c>
      <c r="B16" s="320" t="s">
        <v>571</v>
      </c>
      <c r="C16" s="303">
        <v>2.0</v>
      </c>
      <c r="D16" s="321" t="s">
        <v>559</v>
      </c>
      <c r="E16" s="303" t="s">
        <v>470</v>
      </c>
      <c r="M16" s="316" t="s">
        <v>572</v>
      </c>
      <c r="N16" s="246">
        <v>50.0</v>
      </c>
      <c r="O16" s="315">
        <v>0.02710027100271003</v>
      </c>
      <c r="Q16" s="329"/>
      <c r="R16" s="317"/>
      <c r="T16" s="316" t="str">
        <f>IFERROR(__xludf.DUMMYFUNCTION("""COMPUTED_VALUE"""),"Skull Isle - Chest 3★ #67B")</f>
        <v>Skull Isle - Chest 3★ #67B</v>
      </c>
      <c r="U16" s="246">
        <f>IFERROR(__xludf.DUMMYFUNCTION("""COMPUTED_VALUE"""),10.0)</f>
        <v>10</v>
      </c>
      <c r="V16" s="315">
        <f>IFERROR(__xludf.DUMMYFUNCTION("if(U16="""", """", U16/sum(filter($U$3:$U$1000, $U$3:$U$1000&lt;&gt;"""")))"),0.025974025974025976)</f>
        <v>0.02597402597</v>
      </c>
    </row>
    <row r="17" ht="12.75" customHeight="1">
      <c r="A17" s="277" t="s">
        <v>573</v>
      </c>
      <c r="B17" s="320" t="s">
        <v>574</v>
      </c>
      <c r="C17" s="303">
        <v>2.0</v>
      </c>
      <c r="D17" s="321" t="s">
        <v>559</v>
      </c>
      <c r="E17" s="303" t="s">
        <v>470</v>
      </c>
      <c r="M17" s="316" t="s">
        <v>575</v>
      </c>
      <c r="N17" s="246">
        <v>50.0</v>
      </c>
      <c r="O17" s="315">
        <v>0.02710027100271003</v>
      </c>
      <c r="Q17" s="329"/>
      <c r="R17" s="317"/>
      <c r="T17" s="316" t="str">
        <f>IFERROR(__xludf.DUMMYFUNCTION("""COMPUTED_VALUE"""),"Skull Isle - Skull 3★ #BE5")</f>
        <v>Skull Isle - Skull 3★ #BE5</v>
      </c>
      <c r="U17" s="246">
        <f>IFERROR(__xludf.DUMMYFUNCTION("""COMPUTED_VALUE"""),5.0)</f>
        <v>5</v>
      </c>
      <c r="V17" s="315">
        <f>IFERROR(__xludf.DUMMYFUNCTION("if(U17="""", """", U17/sum(filter($U$3:$U$1000, $U$3:$U$1000&lt;&gt;"""")))"),0.012987012987012988)</f>
        <v>0.01298701299</v>
      </c>
    </row>
    <row r="18" ht="12.75" customHeight="1">
      <c r="A18" s="277" t="s">
        <v>576</v>
      </c>
      <c r="B18" s="320" t="s">
        <v>577</v>
      </c>
      <c r="C18" s="303">
        <v>2.0</v>
      </c>
      <c r="D18" s="321" t="s">
        <v>559</v>
      </c>
      <c r="E18" s="303" t="s">
        <v>471</v>
      </c>
      <c r="M18" s="316" t="s">
        <v>578</v>
      </c>
      <c r="N18" s="246">
        <v>50.0</v>
      </c>
      <c r="O18" s="315">
        <v>0.02710027100271003</v>
      </c>
      <c r="Q18" s="316" t="str">
        <f>Q10</f>
        <v/>
      </c>
      <c r="R18" s="330" t="s">
        <v>579</v>
      </c>
      <c r="T18" s="316"/>
      <c r="U18" s="246"/>
      <c r="V18" s="315" t="str">
        <f>IFERROR(__xludf.DUMMYFUNCTION("if(U18="""", """", U18/sum(filter($U$3:$U$1000, $U$3:$U$1000&lt;&gt;"""")))"),"")</f>
        <v/>
      </c>
    </row>
    <row r="19" ht="12.75" customHeight="1">
      <c r="A19" s="277" t="s">
        <v>580</v>
      </c>
      <c r="B19" s="320" t="s">
        <v>581</v>
      </c>
      <c r="C19" s="303">
        <v>2.0</v>
      </c>
      <c r="D19" s="321" t="s">
        <v>559</v>
      </c>
      <c r="E19" s="303" t="s">
        <v>471</v>
      </c>
      <c r="M19" s="316" t="s">
        <v>582</v>
      </c>
      <c r="N19" s="246">
        <v>50.0</v>
      </c>
      <c r="O19" s="315">
        <v>0.02710027100271003</v>
      </c>
      <c r="Q19" s="329"/>
      <c r="R19" s="331">
        <f>IFERROR(__xludf.DUMMYFUNCTION("sum(arrayformula(right(index(split(filter($Q$22:$Q$35, $Q$22:$Q$35&lt;&gt;""""), ""★""), 0, 1), 1) * (filter($R$22:$R$35, $R$22:$R$35&lt;&gt;"""")-1)))"),29.0)</f>
        <v>29</v>
      </c>
      <c r="T19" s="316"/>
      <c r="U19" s="246"/>
      <c r="V19" s="315" t="str">
        <f>IFERROR(__xludf.DUMMYFUNCTION("if(U19="""", """", U19/sum(filter($U$3:$U$1000, $U$3:$U$1000&lt;&gt;"""")))"),"")</f>
        <v/>
      </c>
    </row>
    <row r="20" ht="12.75" customHeight="1">
      <c r="A20" s="277" t="s">
        <v>583</v>
      </c>
      <c r="B20" s="320" t="s">
        <v>584</v>
      </c>
      <c r="C20" s="303">
        <v>2.0</v>
      </c>
      <c r="D20" s="321" t="s">
        <v>559</v>
      </c>
      <c r="E20" s="303" t="s">
        <v>472</v>
      </c>
      <c r="M20" s="316" t="s">
        <v>585</v>
      </c>
      <c r="N20" s="246">
        <v>50.0</v>
      </c>
      <c r="O20" s="315">
        <v>0.02710027100271003</v>
      </c>
      <c r="Q20" s="316"/>
      <c r="R20" s="317"/>
      <c r="T20" s="316"/>
      <c r="U20" s="246"/>
      <c r="V20" s="315" t="str">
        <f>IFERROR(__xludf.DUMMYFUNCTION("if(U20="""", """", U20/sum(filter($U$3:$U$1000, $U$3:$U$1000&lt;&gt;"""")))"),"")</f>
        <v/>
      </c>
    </row>
    <row r="21" ht="12.75" customHeight="1">
      <c r="A21" s="277" t="s">
        <v>586</v>
      </c>
      <c r="B21" s="320" t="s">
        <v>587</v>
      </c>
      <c r="C21" s="303">
        <v>3.0</v>
      </c>
      <c r="D21" s="321" t="s">
        <v>588</v>
      </c>
      <c r="E21" s="303" t="s">
        <v>469</v>
      </c>
      <c r="M21" s="316" t="s">
        <v>589</v>
      </c>
      <c r="N21" s="246">
        <v>50.0</v>
      </c>
      <c r="O21" s="315">
        <v>0.02710027100271003</v>
      </c>
      <c r="Q21" s="314" t="s">
        <v>590</v>
      </c>
      <c r="R21" s="319" t="s">
        <v>591</v>
      </c>
      <c r="T21" s="316"/>
      <c r="U21" s="246"/>
      <c r="V21" s="315" t="str">
        <f>IFERROR(__xludf.DUMMYFUNCTION("if(U21="""", """", U21/sum(filter($U$3:$U$1000, $U$3:$U$1000&lt;&gt;"""")))"),"")</f>
        <v/>
      </c>
    </row>
    <row r="22" ht="12.75" customHeight="1">
      <c r="A22" s="277" t="s">
        <v>592</v>
      </c>
      <c r="B22" s="320" t="s">
        <v>593</v>
      </c>
      <c r="C22" s="303">
        <v>3.0</v>
      </c>
      <c r="D22" s="321" t="s">
        <v>588</v>
      </c>
      <c r="E22" s="303" t="s">
        <v>469</v>
      </c>
      <c r="M22" s="316" t="s">
        <v>594</v>
      </c>
      <c r="N22" s="246">
        <v>50.0</v>
      </c>
      <c r="O22" s="315">
        <v>0.02710027100271003</v>
      </c>
      <c r="Q22" s="332" t="str">
        <f>IFERROR(__xludf.DUMMYFUNCTION("unique(index(arrayformula(split(filter($Q$38:$Q$500, $Q$38:$Q$500&lt;&gt;""""), ""★"")&amp;""★""), 0, 1))"),"Skull Isle - Spyglass 1★")</f>
        <v>Skull Isle - Spyglass 1★</v>
      </c>
      <c r="R22" s="331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1)=Q22)))"),9.0)</f>
        <v>9</v>
      </c>
      <c r="T22" s="316"/>
      <c r="U22" s="246"/>
      <c r="V22" s="315" t="str">
        <f>IFERROR(__xludf.DUMMYFUNCTION("if(U22="""", """", U22/sum(filter($U$3:$U$1000, $U$3:$U$1000&lt;&gt;"""")))"),"")</f>
        <v/>
      </c>
    </row>
    <row r="23" ht="12.75" customHeight="1">
      <c r="A23" s="277" t="s">
        <v>595</v>
      </c>
      <c r="B23" s="320" t="s">
        <v>596</v>
      </c>
      <c r="C23" s="303">
        <v>3.0</v>
      </c>
      <c r="D23" s="321" t="s">
        <v>588</v>
      </c>
      <c r="E23" s="303" t="s">
        <v>469</v>
      </c>
      <c r="M23" s="316" t="s">
        <v>597</v>
      </c>
      <c r="N23" s="246">
        <v>50.0</v>
      </c>
      <c r="O23" s="315">
        <v>0.02710027100271003</v>
      </c>
      <c r="Q23" s="332" t="str">
        <f>IFERROR(__xludf.DUMMYFUNCTION("""COMPUTED_VALUE"""),"Skull Isle - Anchor 1★")</f>
        <v>Skull Isle - Anchor 1★</v>
      </c>
      <c r="R23" s="331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1)=Q23)))"),3.0)</f>
        <v>3</v>
      </c>
      <c r="T23" s="316"/>
      <c r="U23" s="246"/>
      <c r="V23" s="315" t="str">
        <f>IFERROR(__xludf.DUMMYFUNCTION("if(U23="""", """", U23/sum(filter($U$3:$U$1000, $U$3:$U$1000&lt;&gt;"""")))"),"")</f>
        <v/>
      </c>
    </row>
    <row r="24" ht="12.75" customHeight="1">
      <c r="A24" s="277" t="s">
        <v>598</v>
      </c>
      <c r="B24" s="320" t="s">
        <v>599</v>
      </c>
      <c r="C24" s="303">
        <v>3.0</v>
      </c>
      <c r="D24" s="321" t="s">
        <v>588</v>
      </c>
      <c r="E24" s="303" t="s">
        <v>470</v>
      </c>
      <c r="M24" s="316" t="s">
        <v>600</v>
      </c>
      <c r="N24" s="246">
        <v>50.0</v>
      </c>
      <c r="O24" s="315">
        <v>0.02710027100271003</v>
      </c>
      <c r="Q24" s="332" t="str">
        <f>IFERROR(__xludf.DUMMYFUNCTION("""COMPUTED_VALUE"""),"Skull Isle - Compass 1★")</f>
        <v>Skull Isle - Compass 1★</v>
      </c>
      <c r="R24" s="331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1)=Q24)))"),9.0)</f>
        <v>9</v>
      </c>
      <c r="T24" s="316"/>
      <c r="U24" s="246"/>
      <c r="V24" s="315" t="str">
        <f>IFERROR(__xludf.DUMMYFUNCTION("if(U24="""", """", U24/sum(filter($U$3:$U$1000, $U$3:$U$1000&lt;&gt;"""")))"),"")</f>
        <v/>
      </c>
    </row>
    <row r="25" ht="12.75" customHeight="1">
      <c r="A25" s="277" t="s">
        <v>601</v>
      </c>
      <c r="B25" s="320" t="s">
        <v>602</v>
      </c>
      <c r="C25" s="303">
        <v>3.0</v>
      </c>
      <c r="D25" s="321" t="s">
        <v>588</v>
      </c>
      <c r="E25" s="303" t="s">
        <v>470</v>
      </c>
      <c r="M25" s="316" t="s">
        <v>603</v>
      </c>
      <c r="N25" s="246">
        <v>50.0</v>
      </c>
      <c r="O25" s="315">
        <v>0.02710027100271003</v>
      </c>
      <c r="Q25" s="332" t="str">
        <f>IFERROR(__xludf.DUMMYFUNCTION("""COMPUTED_VALUE"""),"Skull Isle - Map 1★")</f>
        <v>Skull Isle - Map 1★</v>
      </c>
      <c r="R25" s="331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1)=Q25)))"),8.0)</f>
        <v>8</v>
      </c>
      <c r="T25" s="316"/>
      <c r="U25" s="246"/>
      <c r="V25" s="315" t="str">
        <f>IFERROR(__xludf.DUMMYFUNCTION("if(U25="""", """", U25/sum(filter($U$3:$U$1000, $U$3:$U$1000&lt;&gt;"""")))"),"")</f>
        <v/>
      </c>
    </row>
    <row r="26" ht="12.75" customHeight="1">
      <c r="A26" s="277" t="s">
        <v>604</v>
      </c>
      <c r="B26" s="320" t="s">
        <v>605</v>
      </c>
      <c r="C26" s="303">
        <v>3.0</v>
      </c>
      <c r="D26" s="321" t="s">
        <v>588</v>
      </c>
      <c r="E26" s="303" t="s">
        <v>471</v>
      </c>
      <c r="M26" s="316" t="s">
        <v>606</v>
      </c>
      <c r="N26" s="246">
        <v>50.0</v>
      </c>
      <c r="O26" s="315">
        <v>0.02710027100271003</v>
      </c>
      <c r="Q26" s="332" t="str">
        <f>IFERROR(__xludf.DUMMYFUNCTION("""COMPUTED_VALUE"""),"Skull Isle - Chest 3★")</f>
        <v>Skull Isle - Chest 3★</v>
      </c>
      <c r="R26" s="331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1)=Q26)))"),1.0)</f>
        <v>1</v>
      </c>
      <c r="T26" s="316"/>
      <c r="U26" s="246"/>
      <c r="V26" s="315" t="str">
        <f>IFERROR(__xludf.DUMMYFUNCTION("if(U26="""", """", U26/sum(filter($U$3:$U$1000, $U$3:$U$1000&lt;&gt;"""")))"),"")</f>
        <v/>
      </c>
    </row>
    <row r="27" ht="12.75" customHeight="1">
      <c r="A27" s="277" t="s">
        <v>607</v>
      </c>
      <c r="B27" s="320" t="s">
        <v>608</v>
      </c>
      <c r="C27" s="303">
        <v>3.0</v>
      </c>
      <c r="D27" s="321" t="s">
        <v>588</v>
      </c>
      <c r="E27" s="303" t="s">
        <v>472</v>
      </c>
      <c r="M27" s="316" t="s">
        <v>609</v>
      </c>
      <c r="N27" s="246">
        <v>50.0</v>
      </c>
      <c r="O27" s="315">
        <v>0.02710027100271003</v>
      </c>
      <c r="Q27" s="332" t="str">
        <f>IFERROR(__xludf.DUMMYFUNCTION("""COMPUTED_VALUE"""),"Skull Isle - Helm 2★")</f>
        <v>Skull Isle - Helm 2★</v>
      </c>
      <c r="R27" s="331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1)=Q27)))"),2.0)</f>
        <v>2</v>
      </c>
      <c r="T27" s="316"/>
      <c r="U27" s="246"/>
      <c r="V27" s="315" t="str">
        <f>IFERROR(__xludf.DUMMYFUNCTION("if(U27="""", """", U27/sum(filter($U$3:$U$1000, $U$3:$U$1000&lt;&gt;"""")))"),"")</f>
        <v/>
      </c>
    </row>
    <row r="28" ht="12.75" customHeight="1">
      <c r="A28" s="277" t="s">
        <v>610</v>
      </c>
      <c r="B28" s="320" t="s">
        <v>611</v>
      </c>
      <c r="C28" s="303">
        <v>3.0</v>
      </c>
      <c r="D28" s="321" t="s">
        <v>588</v>
      </c>
      <c r="E28" s="303" t="s">
        <v>472</v>
      </c>
      <c r="M28" s="316" t="s">
        <v>612</v>
      </c>
      <c r="N28" s="246">
        <v>50.0</v>
      </c>
      <c r="O28" s="315">
        <v>0.02710027100271003</v>
      </c>
      <c r="Q28" s="332" t="str">
        <f>IFERROR(__xludf.DUMMYFUNCTION("""COMPUTED_VALUE"""),"Skull Isle - Parrot 2★")</f>
        <v>Skull Isle - Parrot 2★</v>
      </c>
      <c r="R28" s="331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1)=Q28)))"),1.0)</f>
        <v>1</v>
      </c>
      <c r="T28" s="316"/>
      <c r="U28" s="246"/>
      <c r="V28" s="315" t="str">
        <f>IFERROR(__xludf.DUMMYFUNCTION("if(U28="""", """", U28/sum(filter($U$3:$U$1000, $U$3:$U$1000&lt;&gt;"""")))"),"")</f>
        <v/>
      </c>
    </row>
    <row r="29" ht="12.75" customHeight="1">
      <c r="A29" s="277" t="s">
        <v>613</v>
      </c>
      <c r="B29" s="320" t="s">
        <v>614</v>
      </c>
      <c r="C29" s="303">
        <v>3.0</v>
      </c>
      <c r="D29" s="321" t="s">
        <v>588</v>
      </c>
      <c r="E29" s="303" t="s">
        <v>473</v>
      </c>
      <c r="M29" s="316" t="s">
        <v>615</v>
      </c>
      <c r="N29" s="246">
        <v>50.0</v>
      </c>
      <c r="O29" s="315">
        <v>0.02710027100271003</v>
      </c>
      <c r="Q29" s="332" t="str">
        <f>IFERROR(__xludf.DUMMYFUNCTION("""COMPUTED_VALUE"""),"Skull Isle - Cutlass 2★")</f>
        <v>Skull Isle - Cutlass 2★</v>
      </c>
      <c r="R29" s="331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1)=Q29)))"),2.0)</f>
        <v>2</v>
      </c>
      <c r="T29" s="316"/>
      <c r="U29" s="246"/>
      <c r="V29" s="315" t="str">
        <f>IFERROR(__xludf.DUMMYFUNCTION("if(U29="""", """", U29/sum(filter($U$3:$U$1000, $U$3:$U$1000&lt;&gt;"""")))"),"")</f>
        <v/>
      </c>
    </row>
    <row r="30" ht="12.75" customHeight="1">
      <c r="A30" s="277" t="s">
        <v>616</v>
      </c>
      <c r="B30" s="320" t="s">
        <v>617</v>
      </c>
      <c r="C30" s="303">
        <v>4.0</v>
      </c>
      <c r="D30" s="321" t="s">
        <v>618</v>
      </c>
      <c r="E30" s="303" t="s">
        <v>469</v>
      </c>
      <c r="M30" s="316" t="s">
        <v>619</v>
      </c>
      <c r="N30" s="246">
        <v>50.0</v>
      </c>
      <c r="O30" s="315">
        <v>0.02710027100271003</v>
      </c>
      <c r="Q30" s="332"/>
      <c r="R30" s="331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316"/>
      <c r="U30" s="246"/>
      <c r="V30" s="315" t="str">
        <f>IFERROR(__xludf.DUMMYFUNCTION("if(U30="""", """", U30/sum(filter($U$3:$U$1000, $U$3:$U$1000&lt;&gt;"""")))"),"")</f>
        <v/>
      </c>
    </row>
    <row r="31" ht="12.75" customHeight="1">
      <c r="A31" s="277" t="s">
        <v>620</v>
      </c>
      <c r="B31" s="320" t="s">
        <v>621</v>
      </c>
      <c r="C31" s="303">
        <v>4.0</v>
      </c>
      <c r="D31" s="321" t="s">
        <v>618</v>
      </c>
      <c r="E31" s="303" t="s">
        <v>469</v>
      </c>
      <c r="M31" s="316" t="s">
        <v>622</v>
      </c>
      <c r="N31" s="246">
        <v>50.0</v>
      </c>
      <c r="O31" s="315">
        <v>0.02710027100271003</v>
      </c>
      <c r="Q31" s="332"/>
      <c r="R31" s="331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316"/>
      <c r="U31" s="246"/>
      <c r="V31" s="315" t="str">
        <f>IFERROR(__xludf.DUMMYFUNCTION("if(U31="""", """", U31/sum(filter($U$3:$U$1000, $U$3:$U$1000&lt;&gt;"""")))"),"")</f>
        <v/>
      </c>
    </row>
    <row r="32" ht="12.75" customHeight="1">
      <c r="A32" s="277" t="s">
        <v>623</v>
      </c>
      <c r="B32" s="320" t="s">
        <v>624</v>
      </c>
      <c r="C32" s="303">
        <v>4.0</v>
      </c>
      <c r="D32" s="321" t="s">
        <v>618</v>
      </c>
      <c r="E32" s="303" t="s">
        <v>470</v>
      </c>
      <c r="M32" s="316" t="s">
        <v>625</v>
      </c>
      <c r="N32" s="246">
        <v>50.0</v>
      </c>
      <c r="O32" s="315">
        <v>0.02710027100271003</v>
      </c>
      <c r="Q32" s="332"/>
      <c r="R32" s="331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316"/>
      <c r="U32" s="246"/>
      <c r="V32" s="315" t="str">
        <f>IFERROR(__xludf.DUMMYFUNCTION("if(U32="""", """", U32/sum(filter($U$3:$U$1000, $U$3:$U$1000&lt;&gt;"""")))"),"")</f>
        <v/>
      </c>
    </row>
    <row r="33" ht="12.75" customHeight="1">
      <c r="A33" s="277" t="s">
        <v>626</v>
      </c>
      <c r="B33" s="320" t="s">
        <v>627</v>
      </c>
      <c r="C33" s="303">
        <v>4.0</v>
      </c>
      <c r="D33" s="321" t="s">
        <v>618</v>
      </c>
      <c r="E33" s="303" t="s">
        <v>470</v>
      </c>
      <c r="M33" s="316" t="s">
        <v>628</v>
      </c>
      <c r="N33" s="246">
        <v>20.0</v>
      </c>
      <c r="O33" s="315">
        <v>0.01084010840108401</v>
      </c>
      <c r="Q33" s="332"/>
      <c r="R33" s="331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316"/>
      <c r="U33" s="246"/>
      <c r="V33" s="315" t="str">
        <f>IFERROR(__xludf.DUMMYFUNCTION("if(U33="""", """", U33/sum(filter($U$3:$U$1000, $U$3:$U$1000&lt;&gt;"""")))"),"")</f>
        <v/>
      </c>
    </row>
    <row r="34" ht="12.75" customHeight="1">
      <c r="A34" s="277" t="s">
        <v>629</v>
      </c>
      <c r="B34" s="320" t="s">
        <v>630</v>
      </c>
      <c r="C34" s="303">
        <v>4.0</v>
      </c>
      <c r="D34" s="321" t="s">
        <v>618</v>
      </c>
      <c r="E34" s="303" t="s">
        <v>471</v>
      </c>
      <c r="M34" s="316" t="s">
        <v>631</v>
      </c>
      <c r="N34" s="246">
        <v>20.0</v>
      </c>
      <c r="O34" s="315">
        <v>0.01084010840108401</v>
      </c>
      <c r="Q34" s="332"/>
      <c r="R34" s="331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316"/>
      <c r="U34" s="246"/>
      <c r="V34" s="315" t="str">
        <f>IFERROR(__xludf.DUMMYFUNCTION("if(U34="""", """", U34/sum(filter($U$3:$U$1000, $U$3:$U$1000&lt;&gt;"""")))"),"")</f>
        <v/>
      </c>
    </row>
    <row r="35" ht="12.75" customHeight="1">
      <c r="A35" s="277" t="s">
        <v>632</v>
      </c>
      <c r="B35" s="320" t="s">
        <v>633</v>
      </c>
      <c r="C35" s="303">
        <v>4.0</v>
      </c>
      <c r="D35" s="321" t="s">
        <v>618</v>
      </c>
      <c r="E35" s="303" t="s">
        <v>471</v>
      </c>
      <c r="M35" s="316" t="s">
        <v>634</v>
      </c>
      <c r="N35" s="246">
        <v>20.0</v>
      </c>
      <c r="O35" s="315">
        <v>0.01084010840108401</v>
      </c>
      <c r="Q35" s="316"/>
      <c r="R35" s="331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316"/>
      <c r="U35" s="246"/>
      <c r="V35" s="315" t="str">
        <f>IFERROR(__xludf.DUMMYFUNCTION("if(U35="""", """", U35/sum(filter($U$3:$U$1000, $U$3:$U$1000&lt;&gt;"""")))"),"")</f>
        <v/>
      </c>
    </row>
    <row r="36" ht="12.75" customHeight="1">
      <c r="A36" s="277" t="s">
        <v>635</v>
      </c>
      <c r="B36" s="320" t="s">
        <v>636</v>
      </c>
      <c r="C36" s="303">
        <v>4.0</v>
      </c>
      <c r="D36" s="321" t="s">
        <v>618</v>
      </c>
      <c r="E36" s="303" t="s">
        <v>472</v>
      </c>
      <c r="M36" s="316" t="s">
        <v>637</v>
      </c>
      <c r="N36" s="246">
        <v>20.0</v>
      </c>
      <c r="O36" s="315">
        <v>0.01084010840108401</v>
      </c>
      <c r="Q36" s="316"/>
      <c r="R36" s="317"/>
      <c r="T36" s="316"/>
      <c r="U36" s="246"/>
      <c r="V36" s="315" t="str">
        <f>IFERROR(__xludf.DUMMYFUNCTION("if(U36="""", """", U36/sum(filter($U$3:$U$1000, $U$3:$U$1000&lt;&gt;"""")))"),"")</f>
        <v/>
      </c>
    </row>
    <row r="37" ht="12.75" customHeight="1">
      <c r="A37" s="277" t="s">
        <v>638</v>
      </c>
      <c r="B37" s="320" t="s">
        <v>639</v>
      </c>
      <c r="C37" s="303">
        <v>4.0</v>
      </c>
      <c r="D37" s="321" t="s">
        <v>618</v>
      </c>
      <c r="E37" s="303" t="s">
        <v>472</v>
      </c>
      <c r="M37" s="316" t="s">
        <v>640</v>
      </c>
      <c r="N37" s="246">
        <v>20.0</v>
      </c>
      <c r="O37" s="315">
        <v>0.01084010840108401</v>
      </c>
      <c r="Q37" s="314" t="s">
        <v>641</v>
      </c>
      <c r="R37" s="317"/>
      <c r="T37" s="316"/>
      <c r="U37" s="246"/>
      <c r="V37" s="315" t="str">
        <f>IFERROR(__xludf.DUMMYFUNCTION("if(U37="""", """", U37/sum(filter($U$3:$U$1000, $U$3:$U$1000&lt;&gt;"""")))"),"")</f>
        <v/>
      </c>
    </row>
    <row r="38" ht="12.75" customHeight="1">
      <c r="A38" s="277" t="s">
        <v>642</v>
      </c>
      <c r="B38" s="320" t="s">
        <v>643</v>
      </c>
      <c r="C38" s="303">
        <v>4.0</v>
      </c>
      <c r="D38" s="321" t="s">
        <v>618</v>
      </c>
      <c r="E38" s="303" t="s">
        <v>473</v>
      </c>
      <c r="M38" s="316" t="s">
        <v>644</v>
      </c>
      <c r="N38" s="246">
        <v>20.0</v>
      </c>
      <c r="O38" s="315">
        <v>0.01084010840108401</v>
      </c>
      <c r="Q38" s="316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Spyglass 1★ #5A2")</f>
        <v>Skull Isle - Spyglass 1★ #5A2</v>
      </c>
      <c r="R38" s="317"/>
      <c r="T38" s="316"/>
      <c r="U38" s="246"/>
      <c r="V38" s="315" t="str">
        <f>IFERROR(__xludf.DUMMYFUNCTION("if(U38="""", """", U38/sum(filter($U$3:$U$1000, $U$3:$U$1000&lt;&gt;"""")))"),"")</f>
        <v/>
      </c>
    </row>
    <row r="39" ht="12.75" customHeight="1">
      <c r="A39" s="277" t="s">
        <v>645</v>
      </c>
      <c r="B39" s="320" t="s">
        <v>646</v>
      </c>
      <c r="C39" s="303">
        <v>5.0</v>
      </c>
      <c r="D39" s="321" t="s">
        <v>647</v>
      </c>
      <c r="E39" s="303" t="s">
        <v>469</v>
      </c>
      <c r="M39" s="316" t="s">
        <v>648</v>
      </c>
      <c r="N39" s="246">
        <v>20.0</v>
      </c>
      <c r="O39" s="315">
        <v>0.01084010840108401</v>
      </c>
      <c r="Q39" s="316" t="str">
        <f>IFERROR(__xludf.DUMMYFUNCTION("""COMPUTED_VALUE"""),"Skull Isle - Spyglass 1★ #057")</f>
        <v>Skull Isle - Spyglass 1★ #057</v>
      </c>
      <c r="R39" s="317"/>
      <c r="T39" s="316"/>
      <c r="U39" s="246"/>
      <c r="V39" s="315" t="str">
        <f>IFERROR(__xludf.DUMMYFUNCTION("if(U39="""", """", U39/sum(filter($U$3:$U$1000, $U$3:$U$1000&lt;&gt;"""")))"),"")</f>
        <v/>
      </c>
    </row>
    <row r="40" ht="12.75" customHeight="1">
      <c r="A40" s="277" t="s">
        <v>649</v>
      </c>
      <c r="B40" s="320" t="s">
        <v>650</v>
      </c>
      <c r="C40" s="303">
        <v>5.0</v>
      </c>
      <c r="D40" s="321" t="s">
        <v>647</v>
      </c>
      <c r="E40" s="303" t="s">
        <v>469</v>
      </c>
      <c r="M40" s="316" t="s">
        <v>651</v>
      </c>
      <c r="N40" s="246">
        <v>20.0</v>
      </c>
      <c r="O40" s="315">
        <v>0.01084010840108401</v>
      </c>
      <c r="Q40" s="316" t="str">
        <f>IFERROR(__xludf.DUMMYFUNCTION("""COMPUTED_VALUE"""),"Skull Isle - Spyglass 1★ #5C1")</f>
        <v>Skull Isle - Spyglass 1★ #5C1</v>
      </c>
      <c r="R40" s="317"/>
      <c r="T40" s="316"/>
      <c r="U40" s="246"/>
      <c r="V40" s="315" t="str">
        <f>IFERROR(__xludf.DUMMYFUNCTION("if(U40="""", """", U40/sum(filter($U$3:$U$1000, $U$3:$U$1000&lt;&gt;"""")))"),"")</f>
        <v/>
      </c>
    </row>
    <row r="41" ht="12.75" customHeight="1">
      <c r="A41" s="277" t="s">
        <v>652</v>
      </c>
      <c r="B41" s="320" t="s">
        <v>653</v>
      </c>
      <c r="C41" s="303">
        <v>5.0</v>
      </c>
      <c r="D41" s="321" t="s">
        <v>647</v>
      </c>
      <c r="E41" s="303" t="s">
        <v>470</v>
      </c>
      <c r="M41" s="316" t="s">
        <v>654</v>
      </c>
      <c r="N41" s="246">
        <v>20.0</v>
      </c>
      <c r="O41" s="315">
        <v>0.01084010840108401</v>
      </c>
      <c r="Q41" s="316" t="str">
        <f>IFERROR(__xludf.DUMMYFUNCTION("""COMPUTED_VALUE"""),"Skull Isle - Anchor 1★ #B4A")</f>
        <v>Skull Isle - Anchor 1★ #B4A</v>
      </c>
      <c r="R41" s="317"/>
      <c r="T41" s="316"/>
      <c r="U41" s="246"/>
      <c r="V41" s="315" t="str">
        <f>IFERROR(__xludf.DUMMYFUNCTION("if(U41="""", """", U41/sum(filter($U$3:$U$1000, $U$3:$U$1000&lt;&gt;"""")))"),"")</f>
        <v/>
      </c>
    </row>
    <row r="42" ht="12.75" customHeight="1">
      <c r="A42" s="277" t="s">
        <v>655</v>
      </c>
      <c r="B42" s="320" t="s">
        <v>656</v>
      </c>
      <c r="C42" s="303">
        <v>5.0</v>
      </c>
      <c r="D42" s="321" t="s">
        <v>647</v>
      </c>
      <c r="E42" s="303" t="s">
        <v>470</v>
      </c>
      <c r="M42" s="316" t="s">
        <v>657</v>
      </c>
      <c r="N42" s="246">
        <v>20.0</v>
      </c>
      <c r="O42" s="315">
        <v>0.01084010840108401</v>
      </c>
      <c r="Q42" s="316" t="str">
        <f>IFERROR(__xludf.DUMMYFUNCTION("""COMPUTED_VALUE"""),"Skull Isle - Spyglass 1★ #038")</f>
        <v>Skull Isle - Spyglass 1★ #038</v>
      </c>
      <c r="R42" s="317"/>
      <c r="T42" s="316"/>
      <c r="U42" s="246"/>
      <c r="V42" s="315" t="str">
        <f>IFERROR(__xludf.DUMMYFUNCTION("if(U42="""", """", U42/sum(filter($U$3:$U$1000, $U$3:$U$1000&lt;&gt;"""")))"),"")</f>
        <v/>
      </c>
    </row>
    <row r="43" ht="12.75" customHeight="1">
      <c r="A43" s="277" t="s">
        <v>658</v>
      </c>
      <c r="B43" s="320" t="s">
        <v>659</v>
      </c>
      <c r="C43" s="303">
        <v>5.0</v>
      </c>
      <c r="D43" s="321" t="s">
        <v>647</v>
      </c>
      <c r="E43" s="303" t="s">
        <v>471</v>
      </c>
      <c r="M43" s="316" t="s">
        <v>660</v>
      </c>
      <c r="N43" s="246">
        <v>20.0</v>
      </c>
      <c r="O43" s="315">
        <v>0.01084010840108401</v>
      </c>
      <c r="Q43" s="316" t="str">
        <f>IFERROR(__xludf.DUMMYFUNCTION("""COMPUTED_VALUE"""),"Skull Isle - Compass 1★ #4AA")</f>
        <v>Skull Isle - Compass 1★ #4AA</v>
      </c>
      <c r="R43" s="317"/>
      <c r="T43" s="316"/>
      <c r="U43" s="246"/>
      <c r="V43" s="315" t="str">
        <f>IFERROR(__xludf.DUMMYFUNCTION("if(U43="""", """", U43/sum(filter($U$3:$U$1000, $U$3:$U$1000&lt;&gt;"""")))"),"")</f>
        <v/>
      </c>
    </row>
    <row r="44" ht="12.75" customHeight="1">
      <c r="A44" s="277" t="s">
        <v>661</v>
      </c>
      <c r="B44" s="320" t="s">
        <v>662</v>
      </c>
      <c r="C44" s="303">
        <v>5.0</v>
      </c>
      <c r="D44" s="321" t="s">
        <v>647</v>
      </c>
      <c r="E44" s="303" t="s">
        <v>472</v>
      </c>
      <c r="M44" s="316" t="s">
        <v>663</v>
      </c>
      <c r="N44" s="246">
        <v>20.0</v>
      </c>
      <c r="O44" s="315">
        <v>0.01084010840108401</v>
      </c>
      <c r="Q44" s="316" t="str">
        <f>IFERROR(__xludf.DUMMYFUNCTION("""COMPUTED_VALUE"""),"Skull Isle - Spyglass 1★ #AED")</f>
        <v>Skull Isle - Spyglass 1★ #AED</v>
      </c>
      <c r="R44" s="317"/>
      <c r="T44" s="316"/>
      <c r="U44" s="246"/>
      <c r="V44" s="315" t="str">
        <f>IFERROR(__xludf.DUMMYFUNCTION("if(U44="""", """", U44/sum(filter($U$3:$U$1000, $U$3:$U$1000&lt;&gt;"""")))"),"")</f>
        <v/>
      </c>
    </row>
    <row r="45" ht="12.75" customHeight="1">
      <c r="A45" s="277" t="s">
        <v>664</v>
      </c>
      <c r="B45" s="320" t="s">
        <v>665</v>
      </c>
      <c r="C45" s="303">
        <v>5.0</v>
      </c>
      <c r="D45" s="321" t="s">
        <v>647</v>
      </c>
      <c r="E45" s="303" t="s">
        <v>472</v>
      </c>
      <c r="M45" s="316" t="s">
        <v>666</v>
      </c>
      <c r="N45" s="246">
        <v>20.0</v>
      </c>
      <c r="O45" s="315">
        <v>0.01084010840108401</v>
      </c>
      <c r="Q45" s="316" t="str">
        <f>IFERROR(__xludf.DUMMYFUNCTION("""COMPUTED_VALUE"""),"Skull Isle - Map 1★ #A71")</f>
        <v>Skull Isle - Map 1★ #A71</v>
      </c>
      <c r="R45" s="317"/>
      <c r="T45" s="316"/>
      <c r="U45" s="246"/>
      <c r="V45" s="315" t="str">
        <f>IFERROR(__xludf.DUMMYFUNCTION("if(U45="""", """", U45/sum(filter($U$3:$U$1000, $U$3:$U$1000&lt;&gt;"""")))"),"")</f>
        <v/>
      </c>
    </row>
    <row r="46" ht="12.75" customHeight="1">
      <c r="A46" s="277" t="s">
        <v>667</v>
      </c>
      <c r="B46" s="320" t="s">
        <v>668</v>
      </c>
      <c r="C46" s="303">
        <v>5.0</v>
      </c>
      <c r="D46" s="321" t="s">
        <v>647</v>
      </c>
      <c r="E46" s="303" t="s">
        <v>473</v>
      </c>
      <c r="M46" s="316" t="s">
        <v>669</v>
      </c>
      <c r="N46" s="246">
        <v>20.0</v>
      </c>
      <c r="O46" s="315">
        <v>0.01084010840108401</v>
      </c>
      <c r="Q46" s="316" t="str">
        <f>IFERROR(__xludf.DUMMYFUNCTION("""COMPUTED_VALUE"""),"Skull Isle - Spyglass 1★ #019")</f>
        <v>Skull Isle - Spyglass 1★ #019</v>
      </c>
      <c r="R46" s="317"/>
      <c r="T46" s="329"/>
      <c r="U46" s="246"/>
      <c r="V46" s="315" t="str">
        <f>IFERROR(__xludf.DUMMYFUNCTION("if(U46="""", """", U46/sum(filter($U$3:$U$1000, $U$3:$U$1000&lt;&gt;"""")))"),"")</f>
        <v/>
      </c>
    </row>
    <row r="47" ht="12.75" customHeight="1">
      <c r="A47" s="277" t="s">
        <v>670</v>
      </c>
      <c r="B47" s="320" t="s">
        <v>671</v>
      </c>
      <c r="C47" s="303">
        <v>5.0</v>
      </c>
      <c r="D47" s="321" t="s">
        <v>647</v>
      </c>
      <c r="E47" s="303" t="s">
        <v>473</v>
      </c>
      <c r="M47" s="316" t="s">
        <v>672</v>
      </c>
      <c r="N47" s="246">
        <v>20.0</v>
      </c>
      <c r="O47" s="315">
        <v>0.01084010840108401</v>
      </c>
      <c r="Q47" s="316" t="str">
        <f>IFERROR(__xludf.DUMMYFUNCTION("""COMPUTED_VALUE"""),"Skull Isle - Anchor 1★ #095")</f>
        <v>Skull Isle - Anchor 1★ #095</v>
      </c>
      <c r="R47" s="317"/>
      <c r="T47" s="329"/>
      <c r="U47" s="246"/>
      <c r="V47" s="315" t="str">
        <f>IFERROR(__xludf.DUMMYFUNCTION("if(U47="""", """", U47/sum(filter($U$3:$U$1000, $U$3:$U$1000&lt;&gt;"""")))"),"")</f>
        <v/>
      </c>
    </row>
    <row r="48" ht="12.75" customHeight="1">
      <c r="A48" s="277" t="s">
        <v>673</v>
      </c>
      <c r="B48" s="320" t="s">
        <v>674</v>
      </c>
      <c r="C48" s="303">
        <v>6.0</v>
      </c>
      <c r="D48" s="321" t="s">
        <v>675</v>
      </c>
      <c r="E48" s="303" t="s">
        <v>469</v>
      </c>
      <c r="M48" s="316" t="s">
        <v>676</v>
      </c>
      <c r="N48" s="246">
        <v>10.0</v>
      </c>
      <c r="O48" s="315">
        <v>0.005420054200542005</v>
      </c>
      <c r="Q48" s="316" t="str">
        <f>IFERROR(__xludf.DUMMYFUNCTION("""COMPUTED_VALUE"""),"Skull Isle - Compass 1★ #F5F")</f>
        <v>Skull Isle - Compass 1★ #F5F</v>
      </c>
      <c r="R48" s="317"/>
      <c r="T48" s="329"/>
      <c r="U48" s="246"/>
      <c r="V48" s="315" t="str">
        <f>IFERROR(__xludf.DUMMYFUNCTION("if(U48="""", """", U48/sum(filter($U$3:$U$1000, $U$3:$U$1000&lt;&gt;"""")))"),"")</f>
        <v/>
      </c>
    </row>
    <row r="49" ht="12.75" customHeight="1">
      <c r="A49" s="277" t="s">
        <v>677</v>
      </c>
      <c r="B49" s="320" t="s">
        <v>678</v>
      </c>
      <c r="C49" s="303">
        <v>6.0</v>
      </c>
      <c r="D49" s="321" t="s">
        <v>675</v>
      </c>
      <c r="E49" s="303" t="s">
        <v>469</v>
      </c>
      <c r="M49" s="316" t="s">
        <v>679</v>
      </c>
      <c r="N49" s="246">
        <v>10.0</v>
      </c>
      <c r="O49" s="315">
        <v>0.005420054200542005</v>
      </c>
      <c r="Q49" s="316" t="str">
        <f>IFERROR(__xludf.DUMMYFUNCTION("""COMPUTED_VALUE"""),"Skull Isle - Anchor 1★ #5E0")</f>
        <v>Skull Isle - Anchor 1★ #5E0</v>
      </c>
      <c r="R49" s="317"/>
      <c r="T49" s="329"/>
      <c r="U49" s="246"/>
      <c r="V49" s="315" t="str">
        <f>IFERROR(__xludf.DUMMYFUNCTION("if(U49="""", """", U49/sum(filter($U$3:$U$1000, $U$3:$U$1000&lt;&gt;"""")))"),"")</f>
        <v/>
      </c>
    </row>
    <row r="50" ht="12.75" customHeight="1">
      <c r="A50" s="277" t="s">
        <v>680</v>
      </c>
      <c r="B50" s="320" t="s">
        <v>681</v>
      </c>
      <c r="C50" s="303">
        <v>6.0</v>
      </c>
      <c r="D50" s="321" t="s">
        <v>675</v>
      </c>
      <c r="E50" s="303" t="s">
        <v>470</v>
      </c>
      <c r="M50" s="316" t="s">
        <v>682</v>
      </c>
      <c r="N50" s="246">
        <v>10.0</v>
      </c>
      <c r="O50" s="315">
        <v>0.005420054200542005</v>
      </c>
      <c r="Q50" s="316" t="str">
        <f>IFERROR(__xludf.DUMMYFUNCTION("""COMPUTED_VALUE"""),"Skull Isle - Map 1★ #FFA")</f>
        <v>Skull Isle - Map 1★ #FFA</v>
      </c>
      <c r="R50" s="317"/>
      <c r="T50" s="329"/>
      <c r="U50" s="246"/>
      <c r="V50" s="315" t="str">
        <f>IFERROR(__xludf.DUMMYFUNCTION("if(U50="""", """", U50/sum(filter($U$3:$U$1000, $U$3:$U$1000&lt;&gt;"""")))"),"")</f>
        <v/>
      </c>
    </row>
    <row r="51" ht="12.75" customHeight="1">
      <c r="A51" s="277" t="s">
        <v>683</v>
      </c>
      <c r="B51" s="320" t="s">
        <v>684</v>
      </c>
      <c r="C51" s="303">
        <v>6.0</v>
      </c>
      <c r="D51" s="321" t="s">
        <v>675</v>
      </c>
      <c r="E51" s="303" t="s">
        <v>470</v>
      </c>
      <c r="M51" s="316" t="s">
        <v>685</v>
      </c>
      <c r="N51" s="246">
        <v>10.0</v>
      </c>
      <c r="O51" s="315">
        <v>0.005420054200542005</v>
      </c>
      <c r="Q51" s="316" t="str">
        <f>IFERROR(__xludf.DUMMYFUNCTION("""COMPUTED_VALUE"""),"Skull Isle - Map 1★ #A52")</f>
        <v>Skull Isle - Map 1★ #A52</v>
      </c>
      <c r="R51" s="317"/>
      <c r="T51" s="329"/>
      <c r="U51" s="246"/>
      <c r="V51" s="315" t="str">
        <f>IFERROR(__xludf.DUMMYFUNCTION("if(U51="""", """", U51/sum(filter($U$3:$U$1000, $U$3:$U$1000&lt;&gt;"""")))"),"")</f>
        <v/>
      </c>
    </row>
    <row r="52" ht="12.75" customHeight="1">
      <c r="A52" s="277" t="s">
        <v>686</v>
      </c>
      <c r="B52" s="320" t="s">
        <v>687</v>
      </c>
      <c r="C52" s="303">
        <v>6.0</v>
      </c>
      <c r="D52" s="321" t="s">
        <v>675</v>
      </c>
      <c r="E52" s="303" t="s">
        <v>471</v>
      </c>
      <c r="M52" s="316" t="s">
        <v>688</v>
      </c>
      <c r="N52" s="246">
        <v>5.0</v>
      </c>
      <c r="O52" s="315">
        <v>0.0027100271002710027</v>
      </c>
      <c r="Q52" s="316" t="str">
        <f>IFERROR(__xludf.DUMMYFUNCTION("""COMPUTED_VALUE"""),"Skull Isle - Chest 3★ #130")</f>
        <v>Skull Isle - Chest 3★ #130</v>
      </c>
      <c r="R52" s="317"/>
      <c r="T52" s="329"/>
      <c r="U52" s="246"/>
      <c r="V52" s="315" t="str">
        <f>IFERROR(__xludf.DUMMYFUNCTION("if(U52="""", """", U52/sum(filter($U$3:$U$1000, $U$3:$U$1000&lt;&gt;"""")))"),"")</f>
        <v/>
      </c>
    </row>
    <row r="53" ht="12.75" customHeight="1">
      <c r="A53" s="277" t="s">
        <v>689</v>
      </c>
      <c r="B53" s="320" t="s">
        <v>690</v>
      </c>
      <c r="C53" s="303">
        <v>6.0</v>
      </c>
      <c r="D53" s="321" t="s">
        <v>675</v>
      </c>
      <c r="E53" s="303" t="s">
        <v>472</v>
      </c>
      <c r="M53" s="316"/>
      <c r="N53" s="246"/>
      <c r="O53" s="315"/>
      <c r="Q53" s="316" t="str">
        <f>IFERROR(__xludf.DUMMYFUNCTION("""COMPUTED_VALUE"""),"Skull Isle - Compass 1★ #A33")</f>
        <v>Skull Isle - Compass 1★ #A33</v>
      </c>
      <c r="R53" s="317"/>
      <c r="T53" s="329"/>
      <c r="U53" s="246"/>
      <c r="V53" s="315" t="str">
        <f>IFERROR(__xludf.DUMMYFUNCTION("if(U53="""", """", U53/sum(filter($U$3:$U$1000, $U$3:$U$1000&lt;&gt;"""")))"),"")</f>
        <v/>
      </c>
    </row>
    <row r="54" ht="12.75" customHeight="1">
      <c r="A54" s="277" t="s">
        <v>691</v>
      </c>
      <c r="B54" s="320" t="s">
        <v>692</v>
      </c>
      <c r="C54" s="303">
        <v>6.0</v>
      </c>
      <c r="D54" s="321" t="s">
        <v>675</v>
      </c>
      <c r="E54" s="303" t="s">
        <v>473</v>
      </c>
      <c r="M54" s="316"/>
      <c r="N54" s="246"/>
      <c r="O54" s="315"/>
      <c r="Q54" s="316" t="str">
        <f>IFERROR(__xludf.DUMMYFUNCTION("""COMPUTED_VALUE"""),"Skull Isle - Map 1★ #507")</f>
        <v>Skull Isle - Map 1★ #507</v>
      </c>
      <c r="R54" s="317"/>
      <c r="T54" s="329"/>
      <c r="U54" s="246"/>
      <c r="V54" s="315" t="str">
        <f>IFERROR(__xludf.DUMMYFUNCTION("if(U54="""", """", U54/sum(filter($U$3:$U$1000, $U$3:$U$1000&lt;&gt;"""")))"),"")</f>
        <v/>
      </c>
    </row>
    <row r="55" ht="12.75" customHeight="1">
      <c r="A55" s="277" t="s">
        <v>693</v>
      </c>
      <c r="B55" s="320" t="s">
        <v>694</v>
      </c>
      <c r="C55" s="303">
        <v>6.0</v>
      </c>
      <c r="D55" s="321" t="s">
        <v>675</v>
      </c>
      <c r="E55" s="278" t="s">
        <v>473</v>
      </c>
      <c r="M55" s="316"/>
      <c r="N55" s="246"/>
      <c r="O55" s="315"/>
      <c r="Q55" s="316" t="str">
        <f>IFERROR(__xludf.DUMMYFUNCTION("""COMPUTED_VALUE"""),"Skull Isle - Compass 1★ #4C9")</f>
        <v>Skull Isle - Compass 1★ #4C9</v>
      </c>
      <c r="R55" s="317"/>
      <c r="T55" s="329"/>
      <c r="U55" s="246"/>
      <c r="V55" s="315" t="str">
        <f>IFERROR(__xludf.DUMMYFUNCTION("if(U55="""", """", U55/sum(filter($U$3:$U$1000, $U$3:$U$1000&lt;&gt;"""")))"),"")</f>
        <v/>
      </c>
    </row>
    <row r="56" ht="12.75" customHeight="1">
      <c r="A56" s="277" t="s">
        <v>695</v>
      </c>
      <c r="B56" s="320" t="s">
        <v>696</v>
      </c>
      <c r="C56" s="303">
        <v>6.0</v>
      </c>
      <c r="D56" s="321" t="s">
        <v>675</v>
      </c>
      <c r="E56" s="278" t="s">
        <v>473</v>
      </c>
      <c r="M56" s="316"/>
      <c r="N56" s="246"/>
      <c r="O56" s="315"/>
      <c r="Q56" s="316" t="str">
        <f>IFERROR(__xludf.DUMMYFUNCTION("""COMPUTED_VALUE"""),"Skull Isle - Map 1★ #A90")</f>
        <v>Skull Isle - Map 1★ #A90</v>
      </c>
      <c r="R56" s="317"/>
      <c r="T56" s="329"/>
      <c r="U56" s="246"/>
      <c r="V56" s="315" t="str">
        <f>IFERROR(__xludf.DUMMYFUNCTION("if(U56="""", """", U56/sum(filter($U$3:$U$1000, $U$3:$U$1000&lt;&gt;"""")))"),"")</f>
        <v/>
      </c>
    </row>
    <row r="57" ht="12.75" customHeight="1">
      <c r="A57" s="277" t="s">
        <v>697</v>
      </c>
      <c r="B57" s="320" t="s">
        <v>698</v>
      </c>
      <c r="C57" s="303">
        <v>7.0</v>
      </c>
      <c r="D57" s="321" t="s">
        <v>699</v>
      </c>
      <c r="E57" s="303" t="s">
        <v>469</v>
      </c>
      <c r="M57" s="316"/>
      <c r="N57" s="246"/>
      <c r="O57" s="315"/>
      <c r="Q57" s="316" t="str">
        <f>IFERROR(__xludf.DUMMYFUNCTION("""COMPUTED_VALUE"""),"Skull Isle - Compass 1★ #A14")</f>
        <v>Skull Isle - Compass 1★ #A14</v>
      </c>
      <c r="R57" s="317"/>
      <c r="T57" s="329"/>
      <c r="U57" s="246"/>
      <c r="V57" s="315" t="str">
        <f>IFERROR(__xludf.DUMMYFUNCTION("if(U57="""", """", U57/sum(filter($U$3:$U$1000, $U$3:$U$1000&lt;&gt;"""")))"),"")</f>
        <v/>
      </c>
    </row>
    <row r="58" ht="12.75" customHeight="1">
      <c r="A58" s="277" t="s">
        <v>700</v>
      </c>
      <c r="B58" s="320" t="s">
        <v>701</v>
      </c>
      <c r="C58" s="303">
        <v>7.0</v>
      </c>
      <c r="D58" s="321" t="s">
        <v>699</v>
      </c>
      <c r="E58" s="303" t="s">
        <v>469</v>
      </c>
      <c r="M58" s="316"/>
      <c r="N58" s="246"/>
      <c r="O58" s="315"/>
      <c r="Q58" s="316" t="str">
        <f>IFERROR(__xludf.DUMMYFUNCTION("""COMPUTED_VALUE"""),"Skull Isle - Spyglass 1★ #ACE")</f>
        <v>Skull Isle - Spyglass 1★ #ACE</v>
      </c>
      <c r="R58" s="317"/>
      <c r="T58" s="329"/>
      <c r="U58" s="246"/>
      <c r="V58" s="315" t="str">
        <f>IFERROR(__xludf.DUMMYFUNCTION("if(U58="""", """", U58/sum(filter($U$3:$U$1000, $U$3:$U$1000&lt;&gt;"""")))"),"")</f>
        <v/>
      </c>
    </row>
    <row r="59" ht="12.75" customHeight="1">
      <c r="A59" s="277" t="s">
        <v>702</v>
      </c>
      <c r="B59" s="320" t="s">
        <v>703</v>
      </c>
      <c r="C59" s="303">
        <v>7.0</v>
      </c>
      <c r="D59" s="321" t="s">
        <v>699</v>
      </c>
      <c r="E59" s="303" t="s">
        <v>470</v>
      </c>
      <c r="M59" s="316"/>
      <c r="N59" s="246"/>
      <c r="O59" s="315"/>
      <c r="Q59" s="316" t="str">
        <f>IFERROR(__xludf.DUMMYFUNCTION("""COMPUTED_VALUE"""),"Skull Isle - Helm 2★ #61E")</f>
        <v>Skull Isle - Helm 2★ #61E</v>
      </c>
      <c r="R59" s="317"/>
      <c r="T59" s="329"/>
      <c r="U59" s="246"/>
      <c r="V59" s="315" t="str">
        <f>IFERROR(__xludf.DUMMYFUNCTION("if(U59="""", """", U59/sum(filter($U$3:$U$1000, $U$3:$U$1000&lt;&gt;"""")))"),"")</f>
        <v/>
      </c>
    </row>
    <row r="60" ht="12.75" customHeight="1">
      <c r="A60" s="277" t="s">
        <v>704</v>
      </c>
      <c r="B60" s="320" t="s">
        <v>705</v>
      </c>
      <c r="C60" s="303">
        <v>7.0</v>
      </c>
      <c r="D60" s="321" t="s">
        <v>699</v>
      </c>
      <c r="E60" s="303" t="s">
        <v>470</v>
      </c>
      <c r="M60" s="316"/>
      <c r="N60" s="246"/>
      <c r="O60" s="315"/>
      <c r="Q60" s="316" t="str">
        <f>IFERROR(__xludf.DUMMYFUNCTION("""COMPUTED_VALUE"""),"Skull Isle - Parrot 2★ #111")</f>
        <v>Skull Isle - Parrot 2★ #111</v>
      </c>
      <c r="R60" s="317"/>
      <c r="T60" s="329"/>
      <c r="U60" s="246"/>
      <c r="V60" s="315" t="str">
        <f>IFERROR(__xludf.DUMMYFUNCTION("if(U60="""", """", U60/sum(filter($U$3:$U$1000, $U$3:$U$1000&lt;&gt;"""")))"),"")</f>
        <v/>
      </c>
    </row>
    <row r="61" ht="12.75" customHeight="1">
      <c r="A61" s="277" t="s">
        <v>706</v>
      </c>
      <c r="B61" s="320" t="s">
        <v>707</v>
      </c>
      <c r="C61" s="303">
        <v>7.0</v>
      </c>
      <c r="D61" s="321" t="s">
        <v>699</v>
      </c>
      <c r="E61" s="303" t="s">
        <v>471</v>
      </c>
      <c r="M61" s="316"/>
      <c r="N61" s="246"/>
      <c r="O61" s="315"/>
      <c r="Q61" s="316" t="str">
        <f>IFERROR(__xludf.DUMMYFUNCTION("""COMPUTED_VALUE"""),"Skull Isle - Compass 1★ #4E8")</f>
        <v>Skull Isle - Compass 1★ #4E8</v>
      </c>
      <c r="R61" s="317"/>
      <c r="T61" s="329"/>
      <c r="U61" s="246"/>
      <c r="V61" s="315" t="str">
        <f>IFERROR(__xludf.DUMMYFUNCTION("if(U61="""", """", U61/sum(filter($U$3:$U$1000, $U$3:$U$1000&lt;&gt;"""")))"),"")</f>
        <v/>
      </c>
    </row>
    <row r="62" ht="12.75" customHeight="1">
      <c r="A62" s="277" t="s">
        <v>708</v>
      </c>
      <c r="B62" s="320" t="s">
        <v>709</v>
      </c>
      <c r="C62" s="303">
        <v>7.0</v>
      </c>
      <c r="D62" s="321" t="s">
        <v>699</v>
      </c>
      <c r="E62" s="303" t="s">
        <v>472</v>
      </c>
      <c r="M62" s="316"/>
      <c r="N62" s="246"/>
      <c r="O62" s="315"/>
      <c r="Q62" s="316" t="str">
        <f>IFERROR(__xludf.DUMMYFUNCTION("""COMPUTED_VALUE"""),"Skull Isle - Map 1★ #FDB")</f>
        <v>Skull Isle - Map 1★ #FDB</v>
      </c>
      <c r="R62" s="317"/>
      <c r="T62" s="329"/>
      <c r="U62" s="246"/>
      <c r="V62" s="315" t="str">
        <f>IFERROR(__xludf.DUMMYFUNCTION("if(U62="""", """", U62/sum(filter($U$3:$U$1000, $U$3:$U$1000&lt;&gt;"""")))"),"")</f>
        <v/>
      </c>
    </row>
    <row r="63" ht="12.75" customHeight="1">
      <c r="A63" s="277" t="s">
        <v>710</v>
      </c>
      <c r="B63" s="320" t="s">
        <v>711</v>
      </c>
      <c r="C63" s="303">
        <v>7.0</v>
      </c>
      <c r="D63" s="321" t="s">
        <v>699</v>
      </c>
      <c r="E63" s="303" t="s">
        <v>473</v>
      </c>
      <c r="M63" s="316"/>
      <c r="N63" s="246"/>
      <c r="O63" s="315"/>
      <c r="Q63" s="316" t="str">
        <f>IFERROR(__xludf.DUMMYFUNCTION("""COMPUTED_VALUE"""),"Skull Isle - Compass 1★ #9F5")</f>
        <v>Skull Isle - Compass 1★ #9F5</v>
      </c>
      <c r="R63" s="317"/>
      <c r="T63" s="329"/>
      <c r="U63" s="246"/>
      <c r="V63" s="315" t="str">
        <f>IFERROR(__xludf.DUMMYFUNCTION("if(U63="""", """", U63/sum(filter($U$3:$U$1000, $U$3:$U$1000&lt;&gt;"""")))"),"")</f>
        <v/>
      </c>
    </row>
    <row r="64" ht="12.75" customHeight="1">
      <c r="A64" s="277" t="s">
        <v>712</v>
      </c>
      <c r="B64" s="320" t="s">
        <v>713</v>
      </c>
      <c r="C64" s="303">
        <v>7.0</v>
      </c>
      <c r="D64" s="321" t="s">
        <v>699</v>
      </c>
      <c r="E64" s="303" t="s">
        <v>473</v>
      </c>
      <c r="M64" s="316"/>
      <c r="N64" s="246"/>
      <c r="O64" s="315"/>
      <c r="Q64" s="316" t="str">
        <f>IFERROR(__xludf.DUMMYFUNCTION("""COMPUTED_VALUE"""),"Skull Isle - Compass 1★ #F7E")</f>
        <v>Skull Isle - Compass 1★ #F7E</v>
      </c>
      <c r="R64" s="317"/>
      <c r="T64" s="329"/>
      <c r="U64" s="246"/>
      <c r="V64" s="315" t="str">
        <f>IFERROR(__xludf.DUMMYFUNCTION("if(U64="""", """", U64/sum(filter($U$3:$U$1000, $U$3:$U$1000&lt;&gt;"""")))"),"")</f>
        <v/>
      </c>
    </row>
    <row r="65" ht="12.75" customHeight="1">
      <c r="A65" s="277" t="s">
        <v>714</v>
      </c>
      <c r="B65" s="320" t="s">
        <v>715</v>
      </c>
      <c r="C65" s="303">
        <v>7.0</v>
      </c>
      <c r="D65" s="321" t="s">
        <v>699</v>
      </c>
      <c r="E65" s="303" t="s">
        <v>473</v>
      </c>
      <c r="M65" s="316"/>
      <c r="N65" s="246"/>
      <c r="O65" s="315"/>
      <c r="Q65" s="316" t="str">
        <f>IFERROR(__xludf.DUMMYFUNCTION("""COMPUTED_VALUE"""),"Skull Isle - Cutlass 2★ #B88")</f>
        <v>Skull Isle - Cutlass 2★ #B88</v>
      </c>
      <c r="R65" s="317"/>
      <c r="T65" s="329"/>
      <c r="U65" s="246"/>
      <c r="V65" s="315" t="str">
        <f>IFERROR(__xludf.DUMMYFUNCTION("if(U65="""", """", U65/sum(filter($U$3:$U$1000, $U$3:$U$1000&lt;&gt;"""")))"),"")</f>
        <v/>
      </c>
    </row>
    <row r="66" ht="12.75" customHeight="1">
      <c r="A66" s="277" t="s">
        <v>716</v>
      </c>
      <c r="B66" s="320" t="s">
        <v>717</v>
      </c>
      <c r="C66" s="303">
        <v>8.0</v>
      </c>
      <c r="D66" s="321" t="s">
        <v>718</v>
      </c>
      <c r="E66" s="303" t="s">
        <v>469</v>
      </c>
      <c r="M66" s="316"/>
      <c r="N66" s="246"/>
      <c r="O66" s="315"/>
      <c r="Q66" s="316" t="str">
        <f>IFERROR(__xludf.DUMMYFUNCTION("""COMPUTED_VALUE"""),"Skull Isle - Map 1★ #AAF")</f>
        <v>Skull Isle - Map 1★ #AAF</v>
      </c>
      <c r="R66" s="317"/>
      <c r="T66" s="329"/>
      <c r="U66" s="246"/>
      <c r="V66" s="315" t="str">
        <f>IFERROR(__xludf.DUMMYFUNCTION("if(U66="""", """", U66/sum(filter($U$3:$U$1000, $U$3:$U$1000&lt;&gt;"""")))"),"")</f>
        <v/>
      </c>
    </row>
    <row r="67" ht="12.75" customHeight="1">
      <c r="A67" s="277" t="s">
        <v>719</v>
      </c>
      <c r="B67" s="320" t="s">
        <v>720</v>
      </c>
      <c r="C67" s="303">
        <v>8.0</v>
      </c>
      <c r="D67" s="321" t="s">
        <v>718</v>
      </c>
      <c r="E67" s="303" t="s">
        <v>469</v>
      </c>
      <c r="M67" s="316"/>
      <c r="N67" s="246"/>
      <c r="O67" s="315"/>
      <c r="Q67" s="316" t="str">
        <f>IFERROR(__xludf.DUMMYFUNCTION("""COMPUTED_VALUE"""),"Skull Isle - Spyglass 1★ #583")</f>
        <v>Skull Isle - Spyglass 1★ #583</v>
      </c>
      <c r="R67" s="317"/>
      <c r="T67" s="329"/>
      <c r="U67" s="246"/>
      <c r="V67" s="315" t="str">
        <f>IFERROR(__xludf.DUMMYFUNCTION("if(U67="""", """", U67/sum(filter($U$3:$U$1000, $U$3:$U$1000&lt;&gt;"""")))"),"")</f>
        <v/>
      </c>
    </row>
    <row r="68" ht="12.75" customHeight="1">
      <c r="A68" s="277" t="s">
        <v>721</v>
      </c>
      <c r="B68" s="320" t="s">
        <v>722</v>
      </c>
      <c r="C68" s="303">
        <v>8.0</v>
      </c>
      <c r="D68" s="321" t="s">
        <v>718</v>
      </c>
      <c r="E68" s="303" t="s">
        <v>470</v>
      </c>
      <c r="M68" s="316"/>
      <c r="N68" s="246"/>
      <c r="O68" s="315"/>
      <c r="Q68" s="316" t="str">
        <f>IFERROR(__xludf.DUMMYFUNCTION("""COMPUTED_VALUE"""),"Skull Isle - Spyglass 1★ #564")</f>
        <v>Skull Isle - Spyglass 1★ #564</v>
      </c>
      <c r="R68" s="317"/>
      <c r="T68" s="329"/>
      <c r="U68" s="246"/>
      <c r="V68" s="315" t="str">
        <f>IFERROR(__xludf.DUMMYFUNCTION("if(U68="""", """", U68/sum(filter($U$3:$U$1000, $U$3:$U$1000&lt;&gt;"""")))"),"")</f>
        <v/>
      </c>
    </row>
    <row r="69" ht="12.75" customHeight="1">
      <c r="A69" s="277" t="s">
        <v>723</v>
      </c>
      <c r="B69" s="320" t="s">
        <v>724</v>
      </c>
      <c r="C69" s="303">
        <v>8.0</v>
      </c>
      <c r="D69" s="321" t="s">
        <v>718</v>
      </c>
      <c r="E69" s="303" t="s">
        <v>470</v>
      </c>
      <c r="M69" s="316"/>
      <c r="N69" s="246"/>
      <c r="O69" s="315"/>
      <c r="Q69" s="316" t="str">
        <f>IFERROR(__xludf.DUMMYFUNCTION("""COMPUTED_VALUE"""),"Skull Isle - Compass 1★ #F9D")</f>
        <v>Skull Isle - Compass 1★ #F9D</v>
      </c>
      <c r="R69" s="317"/>
      <c r="T69" s="329"/>
      <c r="U69" s="246"/>
      <c r="V69" s="315" t="str">
        <f>IFERROR(__xludf.DUMMYFUNCTION("if(U69="""", """", U69/sum(filter($U$3:$U$1000, $U$3:$U$1000&lt;&gt;"""")))"),"")</f>
        <v/>
      </c>
    </row>
    <row r="70" ht="12.75" customHeight="1">
      <c r="A70" s="277" t="s">
        <v>725</v>
      </c>
      <c r="B70" s="320" t="s">
        <v>726</v>
      </c>
      <c r="C70" s="303">
        <v>8.0</v>
      </c>
      <c r="D70" s="321" t="s">
        <v>718</v>
      </c>
      <c r="E70" s="303" t="s">
        <v>471</v>
      </c>
      <c r="M70" s="316"/>
      <c r="N70" s="246"/>
      <c r="O70" s="315"/>
      <c r="Q70" s="316" t="str">
        <f>IFERROR(__xludf.DUMMYFUNCTION("""COMPUTED_VALUE"""),"Skull Isle - Map 1★ #526")</f>
        <v>Skull Isle - Map 1★ #526</v>
      </c>
      <c r="R70" s="317"/>
      <c r="T70" s="329"/>
      <c r="U70" s="246"/>
      <c r="V70" s="315" t="str">
        <f>IFERROR(__xludf.DUMMYFUNCTION("if(U70="""", """", U70/sum(filter($U$3:$U$1000, $U$3:$U$1000&lt;&gt;"""")))"),"")</f>
        <v/>
      </c>
    </row>
    <row r="71" ht="12.75" customHeight="1">
      <c r="A71" s="277" t="s">
        <v>727</v>
      </c>
      <c r="B71" s="320" t="s">
        <v>728</v>
      </c>
      <c r="C71" s="303">
        <v>8.0</v>
      </c>
      <c r="D71" s="321" t="s">
        <v>718</v>
      </c>
      <c r="E71" s="303" t="s">
        <v>472</v>
      </c>
      <c r="M71" s="316"/>
      <c r="N71" s="246"/>
      <c r="O71" s="315"/>
      <c r="Q71" s="316" t="str">
        <f>IFERROR(__xludf.DUMMYFUNCTION("""COMPUTED_VALUE"""),"Skull Isle - Cutlass 2★ #0F2")</f>
        <v>Skull Isle - Cutlass 2★ #0F2</v>
      </c>
      <c r="R71" s="317"/>
      <c r="T71" s="329"/>
      <c r="U71" s="246"/>
      <c r="V71" s="315" t="str">
        <f>IFERROR(__xludf.DUMMYFUNCTION("if(U71="""", """", U71/sum(filter($U$3:$U$1000, $U$3:$U$1000&lt;&gt;"""")))"),"")</f>
        <v/>
      </c>
    </row>
    <row r="72" ht="12.75" customHeight="1">
      <c r="A72" s="277" t="s">
        <v>729</v>
      </c>
      <c r="B72" s="320" t="s">
        <v>730</v>
      </c>
      <c r="C72" s="303">
        <v>8.0</v>
      </c>
      <c r="D72" s="321" t="s">
        <v>718</v>
      </c>
      <c r="E72" s="303" t="s">
        <v>473</v>
      </c>
      <c r="M72" s="316"/>
      <c r="N72" s="246"/>
      <c r="O72" s="315"/>
      <c r="Q72" s="316" t="str">
        <f>IFERROR(__xludf.DUMMYFUNCTION("""COMPUTED_VALUE"""),"Skull Isle - Helm 2★ #B69")</f>
        <v>Skull Isle - Helm 2★ #B69</v>
      </c>
      <c r="R72" s="317"/>
      <c r="T72" s="329"/>
      <c r="U72" s="246"/>
      <c r="V72" s="315" t="str">
        <f>IFERROR(__xludf.DUMMYFUNCTION("if(U72="""", """", U72/sum(filter($U$3:$U$1000, $U$3:$U$1000&lt;&gt;"""")))"),"")</f>
        <v/>
      </c>
    </row>
    <row r="73" ht="12.75" customHeight="1">
      <c r="A73" s="277" t="s">
        <v>731</v>
      </c>
      <c r="B73" s="320" t="s">
        <v>732</v>
      </c>
      <c r="C73" s="303">
        <v>8.0</v>
      </c>
      <c r="D73" s="321" t="s">
        <v>718</v>
      </c>
      <c r="E73" s="303" t="s">
        <v>473</v>
      </c>
      <c r="M73" s="316"/>
      <c r="N73" s="246"/>
      <c r="O73" s="315"/>
      <c r="Q73" s="316"/>
      <c r="R73" s="317"/>
      <c r="T73" s="329"/>
      <c r="U73" s="246"/>
      <c r="V73" s="315" t="str">
        <f>IFERROR(__xludf.DUMMYFUNCTION("if(U73="""", """", U73/sum(filter($U$3:$U$1000, $U$3:$U$1000&lt;&gt;"""")))"),"")</f>
        <v/>
      </c>
    </row>
    <row r="74" ht="12.75" customHeight="1">
      <c r="A74" s="277" t="s">
        <v>733</v>
      </c>
      <c r="B74" s="320" t="s">
        <v>734</v>
      </c>
      <c r="C74" s="303">
        <v>8.0</v>
      </c>
      <c r="D74" s="321" t="s">
        <v>718</v>
      </c>
      <c r="E74" s="303" t="s">
        <v>473</v>
      </c>
      <c r="M74" s="316"/>
      <c r="N74" s="246"/>
      <c r="O74" s="315"/>
      <c r="Q74" s="316"/>
      <c r="R74" s="317"/>
      <c r="T74" s="329"/>
      <c r="U74" s="246"/>
      <c r="V74" s="315" t="str">
        <f>IFERROR(__xludf.DUMMYFUNCTION("if(U74="""", """", U74/sum(filter($U$3:$U$1000, $U$3:$U$1000&lt;&gt;"""")))"),"")</f>
        <v/>
      </c>
    </row>
    <row r="75" ht="12.75" customHeight="1">
      <c r="M75" s="316"/>
      <c r="N75" s="246"/>
      <c r="O75" s="315"/>
      <c r="Q75" s="316"/>
      <c r="R75" s="317"/>
      <c r="T75" s="329"/>
      <c r="U75" s="246"/>
      <c r="V75" s="315" t="str">
        <f>IFERROR(__xludf.DUMMYFUNCTION("if(U75="""", """", U75/sum(filter($U$3:$U$1000, $U$3:$U$1000&lt;&gt;"""")))"),"")</f>
        <v/>
      </c>
    </row>
    <row r="76" ht="12.75" customHeight="1">
      <c r="A76" s="271" t="s">
        <v>735</v>
      </c>
      <c r="M76" s="316"/>
      <c r="N76" s="246"/>
      <c r="O76" s="315"/>
      <c r="Q76" s="316"/>
      <c r="R76" s="317"/>
      <c r="T76" s="329"/>
      <c r="U76" s="246"/>
      <c r="V76" s="315" t="str">
        <f>IFERROR(__xludf.DUMMYFUNCTION("if(U76="""", """", U76/sum(filter($U$3:$U$1000, $U$3:$U$1000&lt;&gt;"""")))"),"")</f>
        <v/>
      </c>
    </row>
    <row r="77" ht="12.75" customHeight="1">
      <c r="M77" s="316"/>
      <c r="N77" s="246"/>
      <c r="O77" s="315"/>
      <c r="Q77" s="316"/>
      <c r="R77" s="317"/>
      <c r="T77" s="329"/>
      <c r="U77" s="246"/>
      <c r="V77" s="315" t="str">
        <f>IFERROR(__xludf.DUMMYFUNCTION("if(U77="""", """", U77/sum(filter($U$3:$U$1000, $U$3:$U$1000&lt;&gt;"""")))"),"")</f>
        <v/>
      </c>
    </row>
    <row r="78" ht="12.75" customHeight="1">
      <c r="A78" s="271" t="s">
        <v>736</v>
      </c>
      <c r="M78" s="316"/>
      <c r="N78" s="246"/>
      <c r="O78" s="315"/>
      <c r="Q78" s="316"/>
      <c r="R78" s="317"/>
      <c r="T78" s="329"/>
      <c r="U78" s="246"/>
      <c r="V78" s="315" t="str">
        <f>IFERROR(__xludf.DUMMYFUNCTION("if(U78="""", """", U78/sum(filter($U$3:$U$1000, $U$3:$U$1000&lt;&gt;"""")))"),"")</f>
        <v/>
      </c>
    </row>
    <row r="79" ht="12.75" customHeight="1">
      <c r="A79" s="274" t="s">
        <v>521</v>
      </c>
      <c r="B79" s="275" t="s">
        <v>499</v>
      </c>
      <c r="C79" s="275" t="s">
        <v>520</v>
      </c>
      <c r="M79" s="316"/>
      <c r="N79" s="246"/>
      <c r="O79" s="315"/>
      <c r="Q79" s="316"/>
      <c r="R79" s="317"/>
      <c r="T79" s="329"/>
      <c r="U79" s="246"/>
      <c r="V79" s="315" t="str">
        <f>IFERROR(__xludf.DUMMYFUNCTION("if(U79="""", """", U79/sum(filter($U$3:$U$1000, $U$3:$U$1000&lt;&gt;"""")))"),"")</f>
        <v/>
      </c>
    </row>
    <row r="80" ht="12.75" customHeight="1">
      <c r="A80" s="277" t="str">
        <f t="shared" ref="A80:A88" si="4">index($B$3:$B$74, match(C80, $A$3:$A$74, 0),0)</f>
        <v>Skull Isle - Compass</v>
      </c>
      <c r="B80" s="321" t="str">
        <f t="shared" ref="B80:B88" si="5">index($E$3:$E$74, match(C80, $A$3:$A$74, 0),0)</f>
        <v>1★</v>
      </c>
      <c r="C80" s="321" t="str">
        <f>IFERROR(__xludf.DUMMYFUNCTION("filter($A$3:$A$74, $D$3:$D$74=LEFT(A$78, len(A$78)-8))"),"CARD_01_s1")</f>
        <v>CARD_01_s1</v>
      </c>
      <c r="M80" s="316"/>
      <c r="N80" s="246"/>
      <c r="O80" s="315"/>
      <c r="Q80" s="316"/>
      <c r="R80" s="317"/>
      <c r="T80" s="329"/>
      <c r="U80" s="246"/>
      <c r="V80" s="315" t="str">
        <f>IFERROR(__xludf.DUMMYFUNCTION("if(U80="""", """", U80/sum(filter($U$3:$U$1000, $U$3:$U$1000&lt;&gt;"""")))"),"")</f>
        <v/>
      </c>
    </row>
    <row r="81" ht="12.75" customHeight="1">
      <c r="A81" s="277" t="str">
        <f t="shared" si="4"/>
        <v>Skull Isle - Map</v>
      </c>
      <c r="B81" s="321" t="str">
        <f t="shared" si="5"/>
        <v>1★</v>
      </c>
      <c r="C81" s="321" t="str">
        <f>IFERROR(__xludf.DUMMYFUNCTION("""COMPUTED_VALUE"""),"CARD_02_s1")</f>
        <v>CARD_02_s1</v>
      </c>
      <c r="M81" s="316"/>
      <c r="N81" s="246"/>
      <c r="O81" s="315"/>
      <c r="Q81" s="316"/>
      <c r="R81" s="317"/>
      <c r="T81" s="329"/>
      <c r="U81" s="246"/>
      <c r="V81" s="315" t="str">
        <f>IFERROR(__xludf.DUMMYFUNCTION("if(U81="""", """", U81/sum(filter($U$3:$U$1000, $U$3:$U$1000&lt;&gt;"""")))"),"")</f>
        <v/>
      </c>
    </row>
    <row r="82" ht="12.75" customHeight="1">
      <c r="A82" s="277" t="str">
        <f t="shared" si="4"/>
        <v>Skull Isle - Spyglass</v>
      </c>
      <c r="B82" s="321" t="str">
        <f t="shared" si="5"/>
        <v>1★</v>
      </c>
      <c r="C82" s="321" t="str">
        <f>IFERROR(__xludf.DUMMYFUNCTION("""COMPUTED_VALUE"""),"CARD_03_s1")</f>
        <v>CARD_03_s1</v>
      </c>
      <c r="M82" s="316"/>
      <c r="N82" s="246"/>
      <c r="O82" s="315"/>
      <c r="Q82" s="316"/>
      <c r="R82" s="317"/>
      <c r="T82" s="329"/>
      <c r="U82" s="246"/>
      <c r="V82" s="315" t="str">
        <f>IFERROR(__xludf.DUMMYFUNCTION("if(U82="""", """", U82/sum(filter($U$3:$U$1000, $U$3:$U$1000&lt;&gt;"""")))"),"")</f>
        <v/>
      </c>
    </row>
    <row r="83" ht="12.75" customHeight="1">
      <c r="A83" s="277" t="str">
        <f t="shared" si="4"/>
        <v>Skull Isle - Anchor</v>
      </c>
      <c r="B83" s="321" t="str">
        <f t="shared" si="5"/>
        <v>1★</v>
      </c>
      <c r="C83" s="321" t="str">
        <f>IFERROR(__xludf.DUMMYFUNCTION("""COMPUTED_VALUE"""),"CARD_04_s1")</f>
        <v>CARD_04_s1</v>
      </c>
      <c r="M83" s="316"/>
      <c r="N83" s="246"/>
      <c r="O83" s="315"/>
      <c r="Q83" s="316"/>
      <c r="R83" s="317"/>
      <c r="T83" s="329"/>
      <c r="U83" s="246"/>
      <c r="V83" s="315" t="str">
        <f>IFERROR(__xludf.DUMMYFUNCTION("if(U83="""", """", U83/sum(filter($U$3:$U$1000, $U$3:$U$1000&lt;&gt;"""")))"),"")</f>
        <v/>
      </c>
    </row>
    <row r="84" ht="12.75" customHeight="1">
      <c r="A84" s="277" t="str">
        <f t="shared" si="4"/>
        <v>Skull Isle - Helm</v>
      </c>
      <c r="B84" s="321" t="str">
        <f t="shared" si="5"/>
        <v>2★</v>
      </c>
      <c r="C84" s="321" t="str">
        <f>IFERROR(__xludf.DUMMYFUNCTION("""COMPUTED_VALUE"""),"CARD_05_s1")</f>
        <v>CARD_05_s1</v>
      </c>
      <c r="M84" s="316"/>
      <c r="N84" s="246"/>
      <c r="O84" s="315"/>
      <c r="Q84" s="316"/>
      <c r="R84" s="317"/>
      <c r="T84" s="329"/>
      <c r="U84" s="246"/>
      <c r="V84" s="315" t="str">
        <f>IFERROR(__xludf.DUMMYFUNCTION("if(U84="""", """", U84/sum(filter($U$3:$U$1000, $U$3:$U$1000&lt;&gt;"""")))"),"")</f>
        <v/>
      </c>
    </row>
    <row r="85" ht="12.75" customHeight="1">
      <c r="A85" s="277" t="str">
        <f t="shared" si="4"/>
        <v>Skull Isle - Cutlass</v>
      </c>
      <c r="B85" s="321" t="str">
        <f t="shared" si="5"/>
        <v>2★</v>
      </c>
      <c r="C85" s="321" t="str">
        <f>IFERROR(__xludf.DUMMYFUNCTION("""COMPUTED_VALUE"""),"CARD_06_s1")</f>
        <v>CARD_06_s1</v>
      </c>
      <c r="M85" s="316"/>
      <c r="N85" s="246"/>
      <c r="O85" s="315"/>
      <c r="Q85" s="316"/>
      <c r="R85" s="317"/>
      <c r="T85" s="329"/>
      <c r="U85" s="246"/>
      <c r="V85" s="315" t="str">
        <f>IFERROR(__xludf.DUMMYFUNCTION("if(U85="""", """", U85/sum(filter($U$3:$U$1000, $U$3:$U$1000&lt;&gt;"""")))"),"")</f>
        <v/>
      </c>
    </row>
    <row r="86" ht="12.75" customHeight="1">
      <c r="A86" s="277" t="str">
        <f t="shared" si="4"/>
        <v>Skull Isle - Parrot</v>
      </c>
      <c r="B86" s="321" t="str">
        <f t="shared" si="5"/>
        <v>2★</v>
      </c>
      <c r="C86" s="321" t="str">
        <f>IFERROR(__xludf.DUMMYFUNCTION("""COMPUTED_VALUE"""),"CARD_07_s1")</f>
        <v>CARD_07_s1</v>
      </c>
      <c r="M86" s="316"/>
      <c r="N86" s="246"/>
      <c r="O86" s="315"/>
      <c r="Q86" s="316"/>
      <c r="R86" s="317"/>
      <c r="T86" s="329"/>
      <c r="U86" s="246"/>
      <c r="V86" s="315" t="str">
        <f>IFERROR(__xludf.DUMMYFUNCTION("if(U86="""", """", U86/sum(filter($U$3:$U$1000, $U$3:$U$1000&lt;&gt;"""")))"),"")</f>
        <v/>
      </c>
    </row>
    <row r="87" ht="12.75" customHeight="1">
      <c r="A87" s="277" t="str">
        <f t="shared" si="4"/>
        <v>Skull Isle - Chest</v>
      </c>
      <c r="B87" s="321" t="str">
        <f t="shared" si="5"/>
        <v>3★</v>
      </c>
      <c r="C87" s="321" t="str">
        <f>IFERROR(__xludf.DUMMYFUNCTION("""COMPUTED_VALUE"""),"CARD_08_s1")</f>
        <v>CARD_08_s1</v>
      </c>
      <c r="M87" s="316"/>
      <c r="N87" s="246"/>
      <c r="O87" s="315"/>
      <c r="Q87" s="316"/>
      <c r="R87" s="317"/>
      <c r="T87" s="329"/>
      <c r="U87" s="246"/>
      <c r="V87" s="315" t="str">
        <f>IFERROR(__xludf.DUMMYFUNCTION("if(U87="""", """", U87/sum(filter($U$3:$U$1000, $U$3:$U$1000&lt;&gt;"""")))"),"")</f>
        <v/>
      </c>
    </row>
    <row r="88" ht="12.75" customHeight="1">
      <c r="A88" s="277" t="str">
        <f t="shared" si="4"/>
        <v>Skull Isle - Skull</v>
      </c>
      <c r="B88" s="321" t="str">
        <f t="shared" si="5"/>
        <v>3★</v>
      </c>
      <c r="C88" s="321" t="str">
        <f>IFERROR(__xludf.DUMMYFUNCTION("""COMPUTED_VALUE"""),"CARD_09_s1")</f>
        <v>CARD_09_s1</v>
      </c>
      <c r="M88" s="316"/>
      <c r="N88" s="246"/>
      <c r="O88" s="315"/>
      <c r="Q88" s="316"/>
      <c r="R88" s="317"/>
      <c r="T88" s="329"/>
      <c r="U88" s="246"/>
      <c r="V88" s="315" t="str">
        <f>IFERROR(__xludf.DUMMYFUNCTION("if(U88="""", """", U88/sum(filter($U$3:$U$1000, $U$3:$U$1000&lt;&gt;"""")))"),"")</f>
        <v/>
      </c>
    </row>
    <row r="89" ht="12.75" customHeight="1">
      <c r="M89" s="316"/>
      <c r="N89" s="246"/>
      <c r="O89" s="315"/>
      <c r="Q89" s="316"/>
      <c r="R89" s="317"/>
      <c r="T89" s="329"/>
      <c r="U89" s="246"/>
      <c r="V89" s="315" t="str">
        <f>IFERROR(__xludf.DUMMYFUNCTION("if(U89="""", """", U89/sum(filter($U$3:$U$1000, $U$3:$U$1000&lt;&gt;"""")))"),"")</f>
        <v/>
      </c>
    </row>
    <row r="90" ht="12.75" customHeight="1">
      <c r="A90" s="271" t="s">
        <v>737</v>
      </c>
      <c r="M90" s="316"/>
      <c r="N90" s="246"/>
      <c r="O90" s="315"/>
      <c r="Q90" s="316"/>
      <c r="R90" s="317"/>
      <c r="T90" s="329"/>
      <c r="U90" s="246"/>
      <c r="V90" s="315" t="str">
        <f>IFERROR(__xludf.DUMMYFUNCTION("if(U90="""", """", U90/sum(filter($U$3:$U$1000, $U$3:$U$1000&lt;&gt;"""")))"),"")</f>
        <v/>
      </c>
    </row>
    <row r="91" ht="12.75" customHeight="1">
      <c r="A91" s="274" t="s">
        <v>521</v>
      </c>
      <c r="B91" s="275" t="s">
        <v>499</v>
      </c>
      <c r="C91" s="275" t="s">
        <v>520</v>
      </c>
      <c r="M91" s="316"/>
      <c r="N91" s="246"/>
      <c r="O91" s="315"/>
      <c r="Q91" s="316"/>
      <c r="R91" s="317"/>
      <c r="T91" s="329"/>
      <c r="U91" s="246"/>
      <c r="V91" s="315" t="str">
        <f>IFERROR(__xludf.DUMMYFUNCTION("if(U91="""", """", U91/sum(filter($U$3:$U$1000, $U$3:$U$1000&lt;&gt;"""")))"),"")</f>
        <v/>
      </c>
    </row>
    <row r="92" ht="12.75" customHeight="1">
      <c r="A92" s="277" t="str">
        <f t="shared" ref="A92:A100" si="6">index($B$3:$B$74, match(C92, $A$3:$A$74, 0),0)</f>
        <v>Kraken Lair - Tentacle</v>
      </c>
      <c r="B92" s="321" t="str">
        <f t="shared" ref="B92:B100" si="7">index($E$3:$E$74, match(C92, $A$3:$A$74, 0),0)</f>
        <v>1★</v>
      </c>
      <c r="C92" s="321" t="str">
        <f>IFERROR(__xludf.DUMMYFUNCTION("filter($A$3:$A$74, $D$3:$D$74=LEFT(A$90, len(A$90)-8))"),"CARD_10_s2")</f>
        <v>CARD_10_s2</v>
      </c>
      <c r="M92" s="316"/>
      <c r="N92" s="246"/>
      <c r="O92" s="315"/>
      <c r="Q92" s="316"/>
      <c r="R92" s="317"/>
      <c r="T92" s="329"/>
      <c r="U92" s="246"/>
      <c r="V92" s="315" t="str">
        <f>IFERROR(__xludf.DUMMYFUNCTION("if(U92="""", """", U92/sum(filter($U$3:$U$1000, $U$3:$U$1000&lt;&gt;"""")))"),"")</f>
        <v/>
      </c>
    </row>
    <row r="93" ht="12.75" customHeight="1">
      <c r="A93" s="277" t="str">
        <f t="shared" si="6"/>
        <v>Kraken Lair - Ink Cloud</v>
      </c>
      <c r="B93" s="321" t="str">
        <f t="shared" si="7"/>
        <v>1★</v>
      </c>
      <c r="C93" s="321" t="str">
        <f>IFERROR(__xludf.DUMMYFUNCTION("""COMPUTED_VALUE"""),"CARD_11_s2")</f>
        <v>CARD_11_s2</v>
      </c>
      <c r="M93" s="316"/>
      <c r="N93" s="246"/>
      <c r="O93" s="315"/>
      <c r="Q93" s="316"/>
      <c r="R93" s="317"/>
      <c r="T93" s="329"/>
      <c r="U93" s="246"/>
      <c r="V93" s="315" t="str">
        <f>IFERROR(__xludf.DUMMYFUNCTION("if(U93="""", """", U93/sum(filter($U$3:$U$1000, $U$3:$U$1000&lt;&gt;"""")))"),"")</f>
        <v/>
      </c>
    </row>
    <row r="94" ht="12.75" customHeight="1">
      <c r="A94" s="277" t="str">
        <f t="shared" si="6"/>
        <v>Kraken Lair - Pearl</v>
      </c>
      <c r="B94" s="321" t="str">
        <f t="shared" si="7"/>
        <v>1★</v>
      </c>
      <c r="C94" s="321" t="str">
        <f>IFERROR(__xludf.DUMMYFUNCTION("""COMPUTED_VALUE"""),"CARD_12_s2")</f>
        <v>CARD_12_s2</v>
      </c>
      <c r="M94" s="316"/>
      <c r="N94" s="246"/>
      <c r="O94" s="315"/>
      <c r="Q94" s="316"/>
      <c r="R94" s="317"/>
      <c r="T94" s="329"/>
      <c r="U94" s="246"/>
      <c r="V94" s="315" t="str">
        <f>IFERROR(__xludf.DUMMYFUNCTION("if(U94="""", """", U94/sum(filter($U$3:$U$1000, $U$3:$U$1000&lt;&gt;"""")))"),"")</f>
        <v/>
      </c>
    </row>
    <row r="95" ht="12.75" customHeight="1">
      <c r="A95" s="277" t="str">
        <f t="shared" si="6"/>
        <v>Kraken Lair - Trident</v>
      </c>
      <c r="B95" s="321" t="str">
        <f t="shared" si="7"/>
        <v>1★</v>
      </c>
      <c r="C95" s="321" t="str">
        <f>IFERROR(__xludf.DUMMYFUNCTION("""COMPUTED_VALUE"""),"CARD_13_s2")</f>
        <v>CARD_13_s2</v>
      </c>
      <c r="M95" s="316"/>
      <c r="N95" s="246"/>
      <c r="O95" s="315"/>
      <c r="Q95" s="316"/>
      <c r="R95" s="317"/>
      <c r="T95" s="329"/>
      <c r="U95" s="246"/>
      <c r="V95" s="315" t="str">
        <f>IFERROR(__xludf.DUMMYFUNCTION("if(U95="""", """", U95/sum(filter($U$3:$U$1000, $U$3:$U$1000&lt;&gt;"""")))"),"")</f>
        <v/>
      </c>
    </row>
    <row r="96" ht="12.75" customHeight="1">
      <c r="A96" s="277" t="str">
        <f t="shared" si="6"/>
        <v>Kraken Lair - Shell</v>
      </c>
      <c r="B96" s="321" t="str">
        <f t="shared" si="7"/>
        <v>2★</v>
      </c>
      <c r="C96" s="321" t="str">
        <f>IFERROR(__xludf.DUMMYFUNCTION("""COMPUTED_VALUE"""),"CARD_14_s2")</f>
        <v>CARD_14_s2</v>
      </c>
      <c r="M96" s="316"/>
      <c r="N96" s="246"/>
      <c r="O96" s="315"/>
      <c r="Q96" s="316"/>
      <c r="R96" s="317"/>
      <c r="T96" s="329"/>
      <c r="U96" s="246"/>
      <c r="V96" s="315" t="str">
        <f>IFERROR(__xludf.DUMMYFUNCTION("if(U96="""", """", U96/sum(filter($U$3:$U$1000, $U$3:$U$1000&lt;&gt;"""")))"),"")</f>
        <v/>
      </c>
    </row>
    <row r="97" ht="12.75" customHeight="1">
      <c r="A97" s="277" t="str">
        <f t="shared" si="6"/>
        <v>Kraken Lair - Coral</v>
      </c>
      <c r="B97" s="321" t="str">
        <f t="shared" si="7"/>
        <v>2★</v>
      </c>
      <c r="C97" s="321" t="str">
        <f>IFERROR(__xludf.DUMMYFUNCTION("""COMPUTED_VALUE"""),"CARD_15_s2")</f>
        <v>CARD_15_s2</v>
      </c>
      <c r="M97" s="316"/>
      <c r="N97" s="246"/>
      <c r="O97" s="315"/>
      <c r="Q97" s="316"/>
      <c r="R97" s="317"/>
      <c r="T97" s="329"/>
      <c r="U97" s="246"/>
      <c r="V97" s="315" t="str">
        <f>IFERROR(__xludf.DUMMYFUNCTION("if(U97="""", """", U97/sum(filter($U$3:$U$1000, $U$3:$U$1000&lt;&gt;"""")))"),"")</f>
        <v/>
      </c>
    </row>
    <row r="98" ht="12.75" customHeight="1">
      <c r="A98" s="277" t="str">
        <f t="shared" si="6"/>
        <v>Kraken Lair - Lantern</v>
      </c>
      <c r="B98" s="321" t="str">
        <f t="shared" si="7"/>
        <v>3★</v>
      </c>
      <c r="C98" s="321" t="str">
        <f>IFERROR(__xludf.DUMMYFUNCTION("""COMPUTED_VALUE"""),"CARD_16_s2")</f>
        <v>CARD_16_s2</v>
      </c>
      <c r="M98" s="316"/>
      <c r="N98" s="246"/>
      <c r="O98" s="315"/>
      <c r="Q98" s="316"/>
      <c r="R98" s="317"/>
      <c r="T98" s="329"/>
      <c r="U98" s="246"/>
      <c r="V98" s="315" t="str">
        <f>IFERROR(__xludf.DUMMYFUNCTION("if(U98="""", """", U98/sum(filter($U$3:$U$1000, $U$3:$U$1000&lt;&gt;"""")))"),"")</f>
        <v/>
      </c>
    </row>
    <row r="99" ht="12.75" customHeight="1">
      <c r="A99" s="277" t="str">
        <f t="shared" si="6"/>
        <v>Kraken Lair - Hook</v>
      </c>
      <c r="B99" s="321" t="str">
        <f t="shared" si="7"/>
        <v>3★</v>
      </c>
      <c r="C99" s="321" t="str">
        <f>IFERROR(__xludf.DUMMYFUNCTION("""COMPUTED_VALUE"""),"CARD_17_s2")</f>
        <v>CARD_17_s2</v>
      </c>
      <c r="M99" s="316"/>
      <c r="N99" s="246"/>
      <c r="O99" s="315"/>
      <c r="Q99" s="316"/>
      <c r="R99" s="317"/>
      <c r="T99" s="329"/>
      <c r="U99" s="246"/>
      <c r="V99" s="315" t="str">
        <f>IFERROR(__xludf.DUMMYFUNCTION("if(U99="""", """", U99/sum(filter($U$3:$U$1000, $U$3:$U$1000&lt;&gt;"""")))"),"")</f>
        <v/>
      </c>
    </row>
    <row r="100" ht="12.75" customHeight="1">
      <c r="A100" s="277" t="str">
        <f t="shared" si="6"/>
        <v>Kraken Lair - Eyepatch</v>
      </c>
      <c r="B100" s="321" t="str">
        <f t="shared" si="7"/>
        <v>4★</v>
      </c>
      <c r="C100" s="321" t="str">
        <f>IFERROR(__xludf.DUMMYFUNCTION("""COMPUTED_VALUE"""),"CARD_18_s2")</f>
        <v>CARD_18_s2</v>
      </c>
      <c r="M100" s="316"/>
      <c r="N100" s="246"/>
      <c r="O100" s="315"/>
      <c r="Q100" s="316"/>
      <c r="R100" s="317"/>
      <c r="T100" s="329"/>
      <c r="U100" s="246"/>
      <c r="V100" s="315" t="str">
        <f>IFERROR(__xludf.DUMMYFUNCTION("if(U100="""", """", U100/sum(filter($U$3:$U$1000, $U$3:$U$1000&lt;&gt;"""")))"),"")</f>
        <v/>
      </c>
    </row>
    <row r="101" ht="12.75" customHeight="1">
      <c r="M101" s="316"/>
      <c r="N101" s="246"/>
      <c r="O101" s="315"/>
      <c r="Q101" s="316"/>
      <c r="R101" s="317"/>
      <c r="T101" s="329"/>
      <c r="U101" s="246"/>
      <c r="V101" s="315" t="str">
        <f>IFERROR(__xludf.DUMMYFUNCTION("if(U101="""", """", U101/sum(filter($U$3:$U$1000, $U$3:$U$1000&lt;&gt;"""")))"),"")</f>
        <v/>
      </c>
    </row>
    <row r="102" ht="12.75" customHeight="1">
      <c r="A102" s="271" t="s">
        <v>738</v>
      </c>
      <c r="M102" s="316"/>
      <c r="N102" s="246"/>
      <c r="O102" s="315"/>
      <c r="Q102" s="316"/>
      <c r="R102" s="317"/>
      <c r="T102" s="329"/>
      <c r="U102" s="246"/>
      <c r="V102" s="315" t="str">
        <f>IFERROR(__xludf.DUMMYFUNCTION("if(U102="""", """", U102/sum(filter($U$3:$U$1000, $U$3:$U$1000&lt;&gt;"""")))"),"")</f>
        <v/>
      </c>
    </row>
    <row r="103" ht="12.75" customHeight="1">
      <c r="A103" s="274" t="s">
        <v>521</v>
      </c>
      <c r="B103" s="275" t="s">
        <v>499</v>
      </c>
      <c r="C103" s="275" t="s">
        <v>520</v>
      </c>
      <c r="M103" s="316"/>
      <c r="N103" s="246"/>
      <c r="O103" s="315"/>
      <c r="Q103" s="316"/>
      <c r="R103" s="317"/>
      <c r="T103" s="329"/>
      <c r="U103" s="246"/>
      <c r="V103" s="315" t="str">
        <f>IFERROR(__xludf.DUMMYFUNCTION("if(U103="""", """", U103/sum(filter($U$3:$U$1000, $U$3:$U$1000&lt;&gt;"""")))"),"")</f>
        <v/>
      </c>
    </row>
    <row r="104" ht="12.75" customHeight="1">
      <c r="A104" s="277" t="str">
        <f t="shared" ref="A104:A112" si="8">index($B$3:$B$74, match(C104, $A$3:$A$74, 0),0)</f>
        <v>Gold Cove - Doubloon</v>
      </c>
      <c r="B104" s="321" t="str">
        <f t="shared" ref="B104:B112" si="9">index($E$3:$E$74, match(C104, $A$3:$A$74, 0),0)</f>
        <v>1★</v>
      </c>
      <c r="C104" s="321" t="str">
        <f>IFERROR(__xludf.DUMMYFUNCTION("filter($A$3:$A$74, $D$3:$D$74=LEFT(A$102, len(A$102)-8))"),"CARD_19_s3")</f>
        <v>CARD_19_s3</v>
      </c>
      <c r="M104" s="316"/>
      <c r="N104" s="246"/>
      <c r="O104" s="315"/>
      <c r="Q104" s="316"/>
      <c r="R104" s="317"/>
      <c r="T104" s="329"/>
      <c r="U104" s="246"/>
      <c r="V104" s="315" t="str">
        <f>IFERROR(__xludf.DUMMYFUNCTION("if(U104="""", """", U104/sum(filter($U$3:$U$1000, $U$3:$U$1000&lt;&gt;"""")))"),"")</f>
        <v/>
      </c>
    </row>
    <row r="105" ht="12.75" customHeight="1">
      <c r="A105" s="277" t="str">
        <f t="shared" si="8"/>
        <v>Gold Cove - Ruby</v>
      </c>
      <c r="B105" s="321" t="str">
        <f t="shared" si="9"/>
        <v>1★</v>
      </c>
      <c r="C105" s="321" t="str">
        <f>IFERROR(__xludf.DUMMYFUNCTION("""COMPUTED_VALUE"""),"CARD_20_s3")</f>
        <v>CARD_20_s3</v>
      </c>
      <c r="M105" s="316"/>
      <c r="N105" s="246"/>
      <c r="O105" s="315"/>
      <c r="Q105" s="316"/>
      <c r="R105" s="317"/>
      <c r="T105" s="329"/>
      <c r="U105" s="246"/>
      <c r="V105" s="315" t="str">
        <f>IFERROR(__xludf.DUMMYFUNCTION("if(U105="""", """", U105/sum(filter($U$3:$U$1000, $U$3:$U$1000&lt;&gt;"""")))"),"")</f>
        <v/>
      </c>
    </row>
    <row r="106" ht="12.75" customHeight="1">
      <c r="A106" s="277" t="str">
        <f t="shared" si="8"/>
        <v>Gold Cove - Emerald</v>
      </c>
      <c r="B106" s="321" t="str">
        <f t="shared" si="9"/>
        <v>1★</v>
      </c>
      <c r="C106" s="321" t="str">
        <f>IFERROR(__xludf.DUMMYFUNCTION("""COMPUTED_VALUE"""),"CARD_21_s3")</f>
        <v>CARD_21_s3</v>
      </c>
      <c r="M106" s="316"/>
      <c r="N106" s="246"/>
      <c r="O106" s="315"/>
      <c r="Q106" s="316"/>
      <c r="R106" s="317"/>
      <c r="T106" s="329"/>
      <c r="U106" s="246"/>
      <c r="V106" s="315" t="str">
        <f>IFERROR(__xludf.DUMMYFUNCTION("if(U106="""", """", U106/sum(filter($U$3:$U$1000, $U$3:$U$1000&lt;&gt;"""")))"),"")</f>
        <v/>
      </c>
    </row>
    <row r="107" ht="12.75" customHeight="1">
      <c r="A107" s="277" t="str">
        <f t="shared" si="8"/>
        <v>Gold Cove - Diamond</v>
      </c>
      <c r="B107" s="321" t="str">
        <f t="shared" si="9"/>
        <v>2★</v>
      </c>
      <c r="C107" s="321" t="str">
        <f>IFERROR(__xludf.DUMMYFUNCTION("""COMPUTED_VALUE"""),"CARD_22_s3")</f>
        <v>CARD_22_s3</v>
      </c>
      <c r="M107" s="316"/>
      <c r="N107" s="246"/>
      <c r="O107" s="315"/>
      <c r="Q107" s="316"/>
      <c r="R107" s="317"/>
      <c r="T107" s="329"/>
      <c r="U107" s="246"/>
      <c r="V107" s="315" t="str">
        <f>IFERROR(__xludf.DUMMYFUNCTION("if(U107="""", """", U107/sum(filter($U$3:$U$1000, $U$3:$U$1000&lt;&gt;"""")))"),"")</f>
        <v/>
      </c>
    </row>
    <row r="108" ht="12.75" customHeight="1">
      <c r="A108" s="277" t="str">
        <f t="shared" si="8"/>
        <v>Gold Cove - Crown</v>
      </c>
      <c r="B108" s="321" t="str">
        <f t="shared" si="9"/>
        <v>2★</v>
      </c>
      <c r="C108" s="321" t="str">
        <f>IFERROR(__xludf.DUMMYFUNCTION("""COMPUTED_VALUE"""),"CARD_23_s3")</f>
        <v>CARD_23_s3</v>
      </c>
      <c r="M108" s="316"/>
      <c r="N108" s="246"/>
      <c r="O108" s="315"/>
      <c r="Q108" s="316"/>
      <c r="R108" s="317"/>
      <c r="T108" s="329"/>
      <c r="U108" s="246"/>
      <c r="V108" s="315" t="str">
        <f>IFERROR(__xludf.DUMMYFUNCTION("if(U108="""", """", U108/sum(filter($U$3:$U$1000, $U$3:$U$1000&lt;&gt;"""")))"),"")</f>
        <v/>
      </c>
    </row>
    <row r="109" ht="12.75" customHeight="1">
      <c r="A109" s="277" t="str">
        <f t="shared" si="8"/>
        <v>Gold Cove - Goblet</v>
      </c>
      <c r="B109" s="321" t="str">
        <f t="shared" si="9"/>
        <v>3★</v>
      </c>
      <c r="C109" s="321" t="str">
        <f>IFERROR(__xludf.DUMMYFUNCTION("""COMPUTED_VALUE"""),"CARD_24_s3")</f>
        <v>CARD_24_s3</v>
      </c>
      <c r="M109" s="316"/>
      <c r="N109" s="246"/>
      <c r="O109" s="315"/>
      <c r="Q109" s="316"/>
      <c r="R109" s="317"/>
      <c r="T109" s="329"/>
      <c r="U109" s="246"/>
      <c r="V109" s="315" t="str">
        <f>IFERROR(__xludf.DUMMYFUNCTION("if(U109="""", """", U109/sum(filter($U$3:$U$1000, $U$3:$U$1000&lt;&gt;"""")))"),"")</f>
        <v/>
      </c>
    </row>
    <row r="110" ht="12.75" customHeight="1">
      <c r="A110" s="277" t="str">
        <f t="shared" si="8"/>
        <v>Gold Cove - Necklace</v>
      </c>
      <c r="B110" s="321" t="str">
        <f t="shared" si="9"/>
        <v>4★</v>
      </c>
      <c r="C110" s="321" t="str">
        <f>IFERROR(__xludf.DUMMYFUNCTION("""COMPUTED_VALUE"""),"CARD_25_s3")</f>
        <v>CARD_25_s3</v>
      </c>
      <c r="M110" s="316"/>
      <c r="N110" s="246"/>
      <c r="O110" s="315"/>
      <c r="Q110" s="316"/>
      <c r="R110" s="317"/>
      <c r="T110" s="329"/>
      <c r="U110" s="246"/>
      <c r="V110" s="315" t="str">
        <f>IFERROR(__xludf.DUMMYFUNCTION("if(U110="""", """", U110/sum(filter($U$3:$U$1000, $U$3:$U$1000&lt;&gt;"""")))"),"")</f>
        <v/>
      </c>
    </row>
    <row r="111" ht="12.75" customHeight="1">
      <c r="A111" s="277" t="str">
        <f t="shared" si="8"/>
        <v>Gold Cove - Ring</v>
      </c>
      <c r="B111" s="321" t="str">
        <f t="shared" si="9"/>
        <v>4★</v>
      </c>
      <c r="C111" s="321" t="str">
        <f>IFERROR(__xludf.DUMMYFUNCTION("""COMPUTED_VALUE"""),"CARD_26_s3")</f>
        <v>CARD_26_s3</v>
      </c>
      <c r="M111" s="316"/>
      <c r="N111" s="246"/>
      <c r="O111" s="315"/>
      <c r="Q111" s="316"/>
      <c r="R111" s="317"/>
      <c r="T111" s="329"/>
      <c r="U111" s="246"/>
      <c r="V111" s="315" t="str">
        <f>IFERROR(__xludf.DUMMYFUNCTION("if(U111="""", """", U111/sum(filter($U$3:$U$1000, $U$3:$U$1000&lt;&gt;"""")))"),"")</f>
        <v/>
      </c>
    </row>
    <row r="112" ht="12.75" customHeight="1">
      <c r="A112" s="277" t="str">
        <f t="shared" si="8"/>
        <v>Gold Cove - Scepter</v>
      </c>
      <c r="B112" s="321" t="str">
        <f t="shared" si="9"/>
        <v>5★</v>
      </c>
      <c r="C112" s="321" t="str">
        <f>IFERROR(__xludf.DUMMYFUNCTION("""COMPUTED_VALUE"""),"CARD_27_s3")</f>
        <v>CARD_27_s3</v>
      </c>
      <c r="M112" s="316"/>
      <c r="N112" s="246"/>
      <c r="O112" s="315"/>
      <c r="Q112" s="316"/>
      <c r="R112" s="317"/>
      <c r="T112" s="329"/>
      <c r="U112" s="246"/>
      <c r="V112" s="315" t="str">
        <f>IFERROR(__xludf.DUMMYFUNCTION("if(U112="""", """", U112/sum(filter($U$3:$U$1000, $U$3:$U$1000&lt;&gt;"""")))"),"")</f>
        <v/>
      </c>
    </row>
    <row r="113" ht="12.75" customHeight="1">
      <c r="M113" s="316"/>
      <c r="N113" s="246"/>
      <c r="O113" s="315"/>
      <c r="Q113" s="316"/>
      <c r="R113" s="317"/>
      <c r="T113" s="329"/>
      <c r="U113" s="246"/>
      <c r="V113" s="315" t="str">
        <f>IFERROR(__xludf.DUMMYFUNCTION("if(U113="""", """", U113/sum(filter($U$3:$U$1000, $U$3:$U$1000&lt;&gt;"""")))"),"")</f>
        <v/>
      </c>
    </row>
    <row r="114" ht="12.75" customHeight="1">
      <c r="A114" s="271" t="s">
        <v>739</v>
      </c>
      <c r="M114" s="316"/>
      <c r="N114" s="246"/>
      <c r="O114" s="315"/>
      <c r="Q114" s="316"/>
      <c r="R114" s="317"/>
      <c r="T114" s="329"/>
      <c r="U114" s="246"/>
      <c r="V114" s="315" t="str">
        <f>IFERROR(__xludf.DUMMYFUNCTION("if(U114="""", """", U114/sum(filter($U$3:$U$1000, $U$3:$U$1000&lt;&gt;"""")))"),"")</f>
        <v/>
      </c>
    </row>
    <row r="115" ht="12.75" customHeight="1">
      <c r="A115" s="274" t="s">
        <v>521</v>
      </c>
      <c r="B115" s="275" t="s">
        <v>499</v>
      </c>
      <c r="C115" s="275" t="s">
        <v>520</v>
      </c>
      <c r="M115" s="316"/>
      <c r="N115" s="246"/>
      <c r="O115" s="315"/>
      <c r="Q115" s="316"/>
      <c r="R115" s="317"/>
      <c r="T115" s="329"/>
      <c r="U115" s="246"/>
      <c r="V115" s="315" t="str">
        <f>IFERROR(__xludf.DUMMYFUNCTION("if(U115="""", """", U115/sum(filter($U$3:$U$1000, $U$3:$U$1000&lt;&gt;"""")))"),"")</f>
        <v/>
      </c>
    </row>
    <row r="116" ht="12.75" customHeight="1">
      <c r="A116" s="277" t="str">
        <f t="shared" ref="A116:A124" si="10">index($B$3:$B$74, match(C116, $A$3:$A$74, 0),0)</f>
        <v>Ghost Ship - Fog Horn</v>
      </c>
      <c r="B116" s="321" t="str">
        <f t="shared" ref="B116:B124" si="11">index($E$3:$E$74, match(C116, $A$3:$A$74, 0),0)</f>
        <v>1★</v>
      </c>
      <c r="C116" s="321" t="str">
        <f>IFERROR(__xludf.DUMMYFUNCTION("filter($A$3:$A$74, $D$3:$D$74=LEFT(A$114, len(A$114)-8))"),"CARD_28_s4")</f>
        <v>CARD_28_s4</v>
      </c>
      <c r="M116" s="316"/>
      <c r="N116" s="246"/>
      <c r="O116" s="315"/>
      <c r="Q116" s="316"/>
      <c r="R116" s="317"/>
      <c r="T116" s="329"/>
      <c r="U116" s="246"/>
      <c r="V116" s="315" t="str">
        <f>IFERROR(__xludf.DUMMYFUNCTION("if(U116="""", """", U116/sum(filter($U$3:$U$1000, $U$3:$U$1000&lt;&gt;"""")))"),"")</f>
        <v/>
      </c>
    </row>
    <row r="117" ht="12.75" customHeight="1">
      <c r="A117" s="277" t="str">
        <f t="shared" si="10"/>
        <v>Ghost Ship - Sail</v>
      </c>
      <c r="B117" s="321" t="str">
        <f t="shared" si="11"/>
        <v>1★</v>
      </c>
      <c r="C117" s="321" t="str">
        <f>IFERROR(__xludf.DUMMYFUNCTION("""COMPUTED_VALUE"""),"CARD_29_s4")</f>
        <v>CARD_29_s4</v>
      </c>
      <c r="M117" s="316"/>
      <c r="N117" s="246"/>
      <c r="O117" s="315"/>
      <c r="Q117" s="316"/>
      <c r="R117" s="317"/>
      <c r="T117" s="329"/>
      <c r="U117" s="246"/>
      <c r="V117" s="315" t="str">
        <f>IFERROR(__xludf.DUMMYFUNCTION("if(U117="""", """", U117/sum(filter($U$3:$U$1000, $U$3:$U$1000&lt;&gt;"""")))"),"")</f>
        <v/>
      </c>
    </row>
    <row r="118" ht="12.75" customHeight="1">
      <c r="A118" s="277" t="str">
        <f t="shared" si="10"/>
        <v>Ghost Ship - Ghost Lamp</v>
      </c>
      <c r="B118" s="321" t="str">
        <f t="shared" si="11"/>
        <v>2★</v>
      </c>
      <c r="C118" s="321" t="str">
        <f>IFERROR(__xludf.DUMMYFUNCTION("""COMPUTED_VALUE"""),"CARD_30_s4")</f>
        <v>CARD_30_s4</v>
      </c>
      <c r="M118" s="316"/>
      <c r="N118" s="246"/>
      <c r="O118" s="315"/>
      <c r="Q118" s="316"/>
      <c r="R118" s="317"/>
      <c r="T118" s="329"/>
      <c r="U118" s="246"/>
      <c r="V118" s="315" t="str">
        <f>IFERROR(__xludf.DUMMYFUNCTION("if(U118="""", """", U118/sum(filter($U$3:$U$1000, $U$3:$U$1000&lt;&gt;"""")))"),"")</f>
        <v/>
      </c>
    </row>
    <row r="119" ht="12.75" customHeight="1">
      <c r="A119" s="277" t="str">
        <f t="shared" si="10"/>
        <v>Ghost Ship - Key</v>
      </c>
      <c r="B119" s="321" t="str">
        <f t="shared" si="11"/>
        <v>2★</v>
      </c>
      <c r="C119" s="321" t="str">
        <f>IFERROR(__xludf.DUMMYFUNCTION("""COMPUTED_VALUE"""),"CARD_31_s4")</f>
        <v>CARD_31_s4</v>
      </c>
      <c r="M119" s="316"/>
      <c r="N119" s="246"/>
      <c r="O119" s="315"/>
      <c r="Q119" s="316"/>
      <c r="R119" s="317"/>
      <c r="T119" s="329"/>
      <c r="U119" s="246"/>
      <c r="V119" s="315" t="str">
        <f>IFERROR(__xludf.DUMMYFUNCTION("if(U119="""", """", U119/sum(filter($U$3:$U$1000, $U$3:$U$1000&lt;&gt;"""")))"),"")</f>
        <v/>
      </c>
    </row>
    <row r="120" ht="12.75" customHeight="1">
      <c r="A120" s="277" t="str">
        <f t="shared" si="10"/>
        <v>Ghost Ship - Plank</v>
      </c>
      <c r="B120" s="321" t="str">
        <f t="shared" si="11"/>
        <v>3★</v>
      </c>
      <c r="C120" s="321" t="str">
        <f>IFERROR(__xludf.DUMMYFUNCTION("""COMPUTED_VALUE"""),"CARD_32_s4")</f>
        <v>CARD_32_s4</v>
      </c>
      <c r="M120" s="316"/>
      <c r="N120" s="246"/>
      <c r="O120" s="315"/>
      <c r="Q120" s="316"/>
      <c r="R120" s="317"/>
      <c r="T120" s="329"/>
      <c r="U120" s="246"/>
      <c r="V120" s="315" t="str">
        <f>IFERROR(__xludf.DUMMYFUNCTION("if(U120="""", """", U120/sum(filter($U$3:$U$1000, $U$3:$U$1000&lt;&gt;"""")))"),"")</f>
        <v/>
      </c>
    </row>
    <row r="121" ht="12.75" customHeight="1">
      <c r="A121" s="277" t="str">
        <f t="shared" si="10"/>
        <v>Ghost Ship - Nest</v>
      </c>
      <c r="B121" s="321" t="str">
        <f t="shared" si="11"/>
        <v>3★</v>
      </c>
      <c r="C121" s="321" t="str">
        <f>IFERROR(__xludf.DUMMYFUNCTION("""COMPUTED_VALUE"""),"CARD_33_s4")</f>
        <v>CARD_33_s4</v>
      </c>
      <c r="M121" s="316"/>
      <c r="N121" s="246"/>
      <c r="O121" s="315"/>
      <c r="Q121" s="316"/>
      <c r="R121" s="317"/>
      <c r="T121" s="329"/>
      <c r="U121" s="246"/>
      <c r="V121" s="315" t="str">
        <f>IFERROR(__xludf.DUMMYFUNCTION("if(U121="""", """", U121/sum(filter($U$3:$U$1000, $U$3:$U$1000&lt;&gt;"""")))"),"")</f>
        <v/>
      </c>
    </row>
    <row r="122" ht="12.75" customHeight="1">
      <c r="A122" s="277" t="str">
        <f t="shared" si="10"/>
        <v>Ghost Ship - Flag</v>
      </c>
      <c r="B122" s="321" t="str">
        <f t="shared" si="11"/>
        <v>4★</v>
      </c>
      <c r="C122" s="321" t="str">
        <f>IFERROR(__xludf.DUMMYFUNCTION("""COMPUTED_VALUE"""),"CARD_34_s4")</f>
        <v>CARD_34_s4</v>
      </c>
      <c r="M122" s="316"/>
      <c r="N122" s="246"/>
      <c r="O122" s="315"/>
      <c r="Q122" s="316"/>
      <c r="R122" s="317"/>
      <c r="T122" s="329"/>
      <c r="U122" s="246"/>
      <c r="V122" s="315" t="str">
        <f>IFERROR(__xludf.DUMMYFUNCTION("if(U122="""", """", U122/sum(filter($U$3:$U$1000, $U$3:$U$1000&lt;&gt;"""")))"),"")</f>
        <v/>
      </c>
    </row>
    <row r="123" ht="12.75" customHeight="1">
      <c r="A123" s="277" t="str">
        <f t="shared" si="10"/>
        <v>Ghost Ship - Chain</v>
      </c>
      <c r="B123" s="321" t="str">
        <f t="shared" si="11"/>
        <v>4★</v>
      </c>
      <c r="C123" s="321" t="str">
        <f>IFERROR(__xludf.DUMMYFUNCTION("""COMPUTED_VALUE"""),"CARD_35_s4")</f>
        <v>CARD_35_s4</v>
      </c>
      <c r="M123" s="316"/>
      <c r="N123" s="246"/>
      <c r="O123" s="315"/>
      <c r="Q123" s="316"/>
      <c r="R123" s="317"/>
      <c r="T123" s="329"/>
      <c r="U123" s="246"/>
      <c r="V123" s="315" t="str">
        <f>IFERROR(__xludf.DUMMYFUNCTION("if(U123="""", """", U123/sum(filter($U$3:$U$1000, $U$3:$U$1000&lt;&gt;"""")))"),"")</f>
        <v/>
      </c>
    </row>
    <row r="124" ht="12.75" customHeight="1">
      <c r="A124" s="277" t="str">
        <f t="shared" si="10"/>
        <v>Ghost Ship - Log</v>
      </c>
      <c r="B124" s="321" t="str">
        <f t="shared" si="11"/>
        <v>5★</v>
      </c>
      <c r="C124" s="321" t="str">
        <f>IFERROR(__xludf.DUMMYFUNCTION("""COMPUTED_VALUE"""),"CARD_36_s4")</f>
        <v>CARD_36_s4</v>
      </c>
      <c r="M124" s="316"/>
      <c r="N124" s="246"/>
      <c r="O124" s="315"/>
      <c r="Q124" s="316"/>
      <c r="R124" s="317"/>
      <c r="T124" s="329"/>
      <c r="U124" s="246"/>
      <c r="V124" s="315" t="str">
        <f>IFERROR(__xludf.DUMMYFUNCTION("if(U124="""", """", U124/sum(filter($U$3:$U$1000, $U$3:$U$1000&lt;&gt;"""")))"),"")</f>
        <v/>
      </c>
    </row>
    <row r="125" ht="12.75" customHeight="1">
      <c r="M125" s="316"/>
      <c r="N125" s="246"/>
      <c r="O125" s="315"/>
      <c r="Q125" s="316"/>
      <c r="R125" s="317"/>
      <c r="T125" s="329"/>
      <c r="U125" s="246"/>
      <c r="V125" s="315" t="str">
        <f>IFERROR(__xludf.DUMMYFUNCTION("if(U125="""", """", U125/sum(filter($U$3:$U$1000, $U$3:$U$1000&lt;&gt;"""")))"),"")</f>
        <v/>
      </c>
    </row>
    <row r="126" ht="12.75" customHeight="1">
      <c r="A126" s="271" t="s">
        <v>740</v>
      </c>
      <c r="M126" s="316"/>
      <c r="N126" s="246"/>
      <c r="O126" s="315"/>
      <c r="Q126" s="316"/>
      <c r="R126" s="317"/>
      <c r="T126" s="329"/>
      <c r="U126" s="246"/>
      <c r="V126" s="315" t="str">
        <f>IFERROR(__xludf.DUMMYFUNCTION("if(U126="""", """", U126/sum(filter($U$3:$U$1000, $U$3:$U$1000&lt;&gt;"""")))"),"")</f>
        <v/>
      </c>
    </row>
    <row r="127" ht="12.75" customHeight="1">
      <c r="A127" s="274" t="s">
        <v>521</v>
      </c>
      <c r="B127" s="275" t="s">
        <v>499</v>
      </c>
      <c r="C127" s="275" t="s">
        <v>520</v>
      </c>
      <c r="M127" s="316"/>
      <c r="N127" s="246"/>
      <c r="O127" s="315"/>
      <c r="Q127" s="316"/>
      <c r="R127" s="317"/>
      <c r="T127" s="329"/>
      <c r="U127" s="246"/>
      <c r="V127" s="315" t="str">
        <f>IFERROR(__xludf.DUMMYFUNCTION("if(U127="""", """", U127/sum(filter($U$3:$U$1000, $U$3:$U$1000&lt;&gt;"""")))"),"")</f>
        <v/>
      </c>
    </row>
    <row r="128" ht="12.75" customHeight="1">
      <c r="A128" s="277" t="str">
        <f t="shared" ref="A128:A136" si="12">index($B$3:$B$74, match(C128, $A$3:$A$74, 0),0)</f>
        <v>Storm Port - Lightning</v>
      </c>
      <c r="B128" s="321" t="str">
        <f t="shared" ref="B128:B136" si="13">index($E$3:$E$74, match(C128, $A$3:$A$74, 0),0)</f>
        <v>1★</v>
      </c>
      <c r="C128" s="321" t="str">
        <f>IFERROR(__xludf.DUMMYFUNCTION("filter($A$3:$A$74, $D$3:$D$74=LEFT(A$126, len(A$126)-8))"),"CARD_37_s5")</f>
        <v>CARD_37_s5</v>
      </c>
      <c r="M128" s="316"/>
      <c r="N128" s="246"/>
      <c r="O128" s="315"/>
      <c r="Q128" s="316"/>
      <c r="R128" s="317"/>
      <c r="T128" s="329"/>
      <c r="U128" s="246"/>
      <c r="V128" s="315" t="str">
        <f>IFERROR(__xludf.DUMMYFUNCTION("if(U128="""", """", U128/sum(filter($U$3:$U$1000, $U$3:$U$1000&lt;&gt;"""")))"),"")</f>
        <v/>
      </c>
    </row>
    <row r="129" ht="12.75" customHeight="1">
      <c r="A129" s="277" t="str">
        <f t="shared" si="12"/>
        <v>Storm Port - Barrel</v>
      </c>
      <c r="B129" s="321" t="str">
        <f t="shared" si="13"/>
        <v>1★</v>
      </c>
      <c r="C129" s="321" t="str">
        <f>IFERROR(__xludf.DUMMYFUNCTION("""COMPUTED_VALUE"""),"CARD_38_s5")</f>
        <v>CARD_38_s5</v>
      </c>
      <c r="M129" s="316"/>
      <c r="N129" s="246"/>
      <c r="O129" s="315"/>
      <c r="Q129" s="316"/>
      <c r="R129" s="317"/>
      <c r="T129" s="329"/>
      <c r="U129" s="246"/>
      <c r="V129" s="315" t="str">
        <f>IFERROR(__xludf.DUMMYFUNCTION("if(U129="""", """", U129/sum(filter($U$3:$U$1000, $U$3:$U$1000&lt;&gt;"""")))"),"")</f>
        <v/>
      </c>
    </row>
    <row r="130" ht="12.75" customHeight="1">
      <c r="A130" s="277" t="str">
        <f t="shared" si="12"/>
        <v>Storm Port - Rope</v>
      </c>
      <c r="B130" s="321" t="str">
        <f t="shared" si="13"/>
        <v>2★</v>
      </c>
      <c r="C130" s="321" t="str">
        <f>IFERROR(__xludf.DUMMYFUNCTION("""COMPUTED_VALUE"""),"CARD_39_s5")</f>
        <v>CARD_39_s5</v>
      </c>
      <c r="M130" s="316"/>
      <c r="N130" s="246"/>
      <c r="O130" s="315"/>
      <c r="Q130" s="316"/>
      <c r="R130" s="317"/>
      <c r="T130" s="329"/>
      <c r="U130" s="246"/>
      <c r="V130" s="315" t="str">
        <f>IFERROR(__xludf.DUMMYFUNCTION("if(U130="""", """", U130/sum(filter($U$3:$U$1000, $U$3:$U$1000&lt;&gt;"""")))"),"")</f>
        <v/>
      </c>
    </row>
    <row r="131" ht="12.75" customHeight="1">
      <c r="A131" s="277" t="str">
        <f t="shared" si="12"/>
        <v>Storm Port - Cleat</v>
      </c>
      <c r="B131" s="321" t="str">
        <f t="shared" si="13"/>
        <v>2★</v>
      </c>
      <c r="C131" s="321" t="str">
        <f>IFERROR(__xludf.DUMMYFUNCTION("""COMPUTED_VALUE"""),"CARD_40_s5")</f>
        <v>CARD_40_s5</v>
      </c>
      <c r="M131" s="316"/>
      <c r="N131" s="246"/>
      <c r="O131" s="315"/>
      <c r="Q131" s="316"/>
      <c r="R131" s="317"/>
      <c r="T131" s="329"/>
      <c r="U131" s="246"/>
      <c r="V131" s="315" t="str">
        <f>IFERROR(__xludf.DUMMYFUNCTION("if(U131="""", """", U131/sum(filter($U$3:$U$1000, $U$3:$U$1000&lt;&gt;"""")))"),"")</f>
        <v/>
      </c>
    </row>
    <row r="132" ht="12.75" customHeight="1">
      <c r="A132" s="277" t="str">
        <f t="shared" si="12"/>
        <v>Storm Port - Flare</v>
      </c>
      <c r="B132" s="321" t="str">
        <f t="shared" si="13"/>
        <v>3★</v>
      </c>
      <c r="C132" s="321" t="str">
        <f>IFERROR(__xludf.DUMMYFUNCTION("""COMPUTED_VALUE"""),"CARD_41_s5")</f>
        <v>CARD_41_s5</v>
      </c>
      <c r="M132" s="316"/>
      <c r="N132" s="246"/>
      <c r="O132" s="315"/>
      <c r="Q132" s="316"/>
      <c r="R132" s="317"/>
      <c r="T132" s="329"/>
      <c r="U132" s="246"/>
      <c r="V132" s="315" t="str">
        <f>IFERROR(__xludf.DUMMYFUNCTION("if(U132="""", """", U132/sum(filter($U$3:$U$1000, $U$3:$U$1000&lt;&gt;"""")))"),"")</f>
        <v/>
      </c>
    </row>
    <row r="133" ht="12.75" customHeight="1">
      <c r="A133" s="277" t="str">
        <f t="shared" si="12"/>
        <v>Storm Port - Bucket</v>
      </c>
      <c r="B133" s="321" t="str">
        <f t="shared" si="13"/>
        <v>4★</v>
      </c>
      <c r="C133" s="321" t="str">
        <f>IFERROR(__xludf.DUMMYFUNCTION("""COMPUTED_VALUE"""),"CARD_42_s5")</f>
        <v>CARD_42_s5</v>
      </c>
      <c r="M133" s="316"/>
      <c r="N133" s="246"/>
      <c r="O133" s="315"/>
      <c r="Q133" s="316"/>
      <c r="R133" s="317"/>
      <c r="T133" s="329"/>
      <c r="U133" s="246"/>
      <c r="V133" s="315" t="str">
        <f>IFERROR(__xludf.DUMMYFUNCTION("if(U133="""", """", U133/sum(filter($U$3:$U$1000, $U$3:$U$1000&lt;&gt;"""")))"),"")</f>
        <v/>
      </c>
    </row>
    <row r="134" ht="12.75" customHeight="1">
      <c r="A134" s="277" t="str">
        <f t="shared" si="12"/>
        <v>Storm Port - Windmill</v>
      </c>
      <c r="B134" s="321" t="str">
        <f t="shared" si="13"/>
        <v>4★</v>
      </c>
      <c r="C134" s="321" t="str">
        <f>IFERROR(__xludf.DUMMYFUNCTION("""COMPUTED_VALUE"""),"CARD_43_s5")</f>
        <v>CARD_43_s5</v>
      </c>
      <c r="M134" s="316"/>
      <c r="N134" s="246"/>
      <c r="O134" s="315"/>
      <c r="Q134" s="316"/>
      <c r="R134" s="317"/>
      <c r="T134" s="329"/>
      <c r="U134" s="246"/>
      <c r="V134" s="315" t="str">
        <f>IFERROR(__xludf.DUMMYFUNCTION("if(U134="""", """", U134/sum(filter($U$3:$U$1000, $U$3:$U$1000&lt;&gt;"""")))"),"")</f>
        <v/>
      </c>
    </row>
    <row r="135" ht="12.75" customHeight="1">
      <c r="A135" s="277" t="str">
        <f t="shared" si="12"/>
        <v>Storm Port - Lighthouse</v>
      </c>
      <c r="B135" s="321" t="str">
        <f t="shared" si="13"/>
        <v>5★</v>
      </c>
      <c r="C135" s="321" t="str">
        <f>IFERROR(__xludf.DUMMYFUNCTION("""COMPUTED_VALUE"""),"CARD_44_s5")</f>
        <v>CARD_44_s5</v>
      </c>
      <c r="M135" s="316"/>
      <c r="N135" s="246"/>
      <c r="O135" s="315"/>
      <c r="Q135" s="316"/>
      <c r="R135" s="317"/>
      <c r="T135" s="329"/>
      <c r="U135" s="246"/>
      <c r="V135" s="315" t="str">
        <f>IFERROR(__xludf.DUMMYFUNCTION("if(U135="""", """", U135/sum(filter($U$3:$U$1000, $U$3:$U$1000&lt;&gt;"""")))"),"")</f>
        <v/>
      </c>
    </row>
    <row r="136" ht="12.75" customHeight="1">
      <c r="A136" s="277" t="str">
        <f t="shared" si="12"/>
        <v>Storm Port - Drum</v>
      </c>
      <c r="B136" s="321" t="str">
        <f t="shared" si="13"/>
        <v>5★</v>
      </c>
      <c r="C136" s="321" t="str">
        <f>IFERROR(__xludf.DUMMYFUNCTION("""COMPUTED_VALUE"""),"CARD_45_s5")</f>
        <v>CARD_45_s5</v>
      </c>
      <c r="M136" s="316"/>
      <c r="N136" s="246"/>
      <c r="O136" s="315"/>
      <c r="Q136" s="316"/>
      <c r="R136" s="317"/>
      <c r="T136" s="329"/>
      <c r="U136" s="246"/>
      <c r="V136" s="315" t="str">
        <f>IFERROR(__xludf.DUMMYFUNCTION("if(U136="""", """", U136/sum(filter($U$3:$U$1000, $U$3:$U$1000&lt;&gt;"""")))"),"")</f>
        <v/>
      </c>
    </row>
    <row r="137" ht="12.75" customHeight="1">
      <c r="M137" s="316"/>
      <c r="N137" s="246"/>
      <c r="O137" s="315"/>
      <c r="Q137" s="316"/>
      <c r="R137" s="317"/>
      <c r="T137" s="329"/>
      <c r="U137" s="246"/>
      <c r="V137" s="315" t="str">
        <f>IFERROR(__xludf.DUMMYFUNCTION("if(U137="""", """", U137/sum(filter($U$3:$U$1000, $U$3:$U$1000&lt;&gt;"""")))"),"")</f>
        <v/>
      </c>
    </row>
    <row r="138" ht="12.75" customHeight="1">
      <c r="A138" s="271" t="s">
        <v>741</v>
      </c>
      <c r="M138" s="316"/>
      <c r="N138" s="246"/>
      <c r="O138" s="315"/>
      <c r="Q138" s="316"/>
      <c r="R138" s="317"/>
      <c r="T138" s="329"/>
      <c r="U138" s="246"/>
      <c r="V138" s="315" t="str">
        <f>IFERROR(__xludf.DUMMYFUNCTION("if(U138="""", """", U138/sum(filter($U$3:$U$1000, $U$3:$U$1000&lt;&gt;"""")))"),"")</f>
        <v/>
      </c>
    </row>
    <row r="139" ht="12.75" customHeight="1">
      <c r="A139" s="274" t="s">
        <v>521</v>
      </c>
      <c r="B139" s="275" t="s">
        <v>499</v>
      </c>
      <c r="C139" s="275" t="s">
        <v>520</v>
      </c>
      <c r="M139" s="316"/>
      <c r="N139" s="246"/>
      <c r="O139" s="315"/>
      <c r="Q139" s="316"/>
      <c r="R139" s="317"/>
      <c r="T139" s="329"/>
      <c r="U139" s="246"/>
      <c r="V139" s="315" t="str">
        <f>IFERROR(__xludf.DUMMYFUNCTION("if(U139="""", """", U139/sum(filter($U$3:$U$1000, $U$3:$U$1000&lt;&gt;"""")))"),"")</f>
        <v/>
      </c>
    </row>
    <row r="140" ht="12.75" customHeight="1">
      <c r="A140" s="277" t="str">
        <f t="shared" ref="A140:A148" si="14">index($B$3:$B$74, match(C140, $A$3:$A$74, 0),0)</f>
        <v>Cannon Fort - Cannonball</v>
      </c>
      <c r="B140" s="321" t="str">
        <f t="shared" ref="B140:B148" si="15">index($E$3:$E$74, match(C140, $A$3:$A$74, 0),0)</f>
        <v>1★</v>
      </c>
      <c r="C140" s="321" t="str">
        <f>IFERROR(__xludf.DUMMYFUNCTION("filter($A$3:$A$74, $D$3:$D$74=LEFT(A$138, len(A$138)-8))"),"CARD_46_s6")</f>
        <v>CARD_46_s6</v>
      </c>
      <c r="M140" s="316"/>
      <c r="N140" s="246"/>
      <c r="O140" s="315"/>
      <c r="Q140" s="316"/>
      <c r="R140" s="317"/>
      <c r="T140" s="329"/>
      <c r="U140" s="246"/>
      <c r="V140" s="315" t="str">
        <f>IFERROR(__xludf.DUMMYFUNCTION("if(U140="""", """", U140/sum(filter($U$3:$U$1000, $U$3:$U$1000&lt;&gt;"""")))"),"")</f>
        <v/>
      </c>
    </row>
    <row r="141" ht="12.75" customHeight="1">
      <c r="A141" s="277" t="str">
        <f t="shared" si="14"/>
        <v>Cannon Fort - Powder</v>
      </c>
      <c r="B141" s="321" t="str">
        <f t="shared" si="15"/>
        <v>1★</v>
      </c>
      <c r="C141" s="321" t="str">
        <f>IFERROR(__xludf.DUMMYFUNCTION("""COMPUTED_VALUE"""),"CARD_47_s6")</f>
        <v>CARD_47_s6</v>
      </c>
      <c r="M141" s="316"/>
      <c r="N141" s="246"/>
      <c r="O141" s="315"/>
      <c r="Q141" s="316"/>
      <c r="R141" s="317"/>
      <c r="T141" s="329"/>
      <c r="U141" s="246"/>
      <c r="V141" s="315" t="str">
        <f>IFERROR(__xludf.DUMMYFUNCTION("if(U141="""", """", U141/sum(filter($U$3:$U$1000, $U$3:$U$1000&lt;&gt;"""")))"),"")</f>
        <v/>
      </c>
    </row>
    <row r="142" ht="12.75" customHeight="1">
      <c r="A142" s="277" t="str">
        <f t="shared" si="14"/>
        <v>Cannon Fort - Fuse</v>
      </c>
      <c r="B142" s="321" t="str">
        <f t="shared" si="15"/>
        <v>2★</v>
      </c>
      <c r="C142" s="321" t="str">
        <f>IFERROR(__xludf.DUMMYFUNCTION("""COMPUTED_VALUE"""),"CARD_48_s6")</f>
        <v>CARD_48_s6</v>
      </c>
      <c r="M142" s="316"/>
      <c r="N142" s="246"/>
      <c r="O142" s="315"/>
      <c r="Q142" s="316"/>
      <c r="R142" s="317"/>
      <c r="T142" s="329"/>
      <c r="U142" s="246"/>
      <c r="V142" s="315" t="str">
        <f>IFERROR(__xludf.DUMMYFUNCTION("if(U142="""", """", U142/sum(filter($U$3:$U$1000, $U$3:$U$1000&lt;&gt;"""")))"),"")</f>
        <v/>
      </c>
    </row>
    <row r="143" ht="12.75" customHeight="1">
      <c r="A143" s="277" t="str">
        <f t="shared" si="14"/>
        <v>Cannon Fort - Ramrod</v>
      </c>
      <c r="B143" s="321" t="str">
        <f t="shared" si="15"/>
        <v>2★</v>
      </c>
      <c r="C143" s="321" t="str">
        <f>IFERROR(__xludf.DUMMYFUNCTION("""COMPUTED_VALUE"""),"CARD_49_s6")</f>
        <v>CARD_49_s6</v>
      </c>
      <c r="M143" s="316"/>
      <c r="N143" s="246"/>
      <c r="O143" s="315"/>
      <c r="Q143" s="316"/>
      <c r="R143" s="317"/>
      <c r="T143" s="329"/>
      <c r="U143" s="246"/>
      <c r="V143" s="315" t="str">
        <f>IFERROR(__xludf.DUMMYFUNCTION("if(U143="""", """", U143/sum(filter($U$3:$U$1000, $U$3:$U$1000&lt;&gt;"""")))"),"")</f>
        <v/>
      </c>
    </row>
    <row r="144" ht="12.75" customHeight="1">
      <c r="A144" s="277" t="str">
        <f t="shared" si="14"/>
        <v>Cannon Fort - War Flag</v>
      </c>
      <c r="B144" s="321" t="str">
        <f t="shared" si="15"/>
        <v>3★</v>
      </c>
      <c r="C144" s="321" t="str">
        <f>IFERROR(__xludf.DUMMYFUNCTION("""COMPUTED_VALUE"""),"CARD_50_s6")</f>
        <v>CARD_50_s6</v>
      </c>
      <c r="M144" s="316"/>
      <c r="N144" s="246"/>
      <c r="O144" s="315"/>
      <c r="Q144" s="316"/>
      <c r="R144" s="317"/>
      <c r="T144" s="329"/>
      <c r="U144" s="246"/>
      <c r="V144" s="315" t="str">
        <f>IFERROR(__xludf.DUMMYFUNCTION("if(U144="""", """", U144/sum(filter($U$3:$U$1000, $U$3:$U$1000&lt;&gt;"""")))"),"")</f>
        <v/>
      </c>
    </row>
    <row r="145" ht="12.75" customHeight="1">
      <c r="A145" s="277" t="str">
        <f t="shared" si="14"/>
        <v>Cannon Fort - Tower</v>
      </c>
      <c r="B145" s="321" t="str">
        <f t="shared" si="15"/>
        <v>4★</v>
      </c>
      <c r="C145" s="321" t="str">
        <f>IFERROR(__xludf.DUMMYFUNCTION("""COMPUTED_VALUE"""),"CARD_51_s6")</f>
        <v>CARD_51_s6</v>
      </c>
      <c r="M145" s="316"/>
      <c r="N145" s="246"/>
      <c r="O145" s="315"/>
      <c r="Q145" s="316"/>
      <c r="R145" s="317"/>
      <c r="T145" s="329"/>
      <c r="U145" s="246"/>
      <c r="V145" s="315" t="str">
        <f>IFERROR(__xludf.DUMMYFUNCTION("if(U145="""", """", U145/sum(filter($U$3:$U$1000, $U$3:$U$1000&lt;&gt;"""")))"),"")</f>
        <v/>
      </c>
    </row>
    <row r="146" ht="12.75" customHeight="1">
      <c r="A146" s="277" t="str">
        <f t="shared" si="14"/>
        <v>Cannon Fort - Bridge</v>
      </c>
      <c r="B146" s="321" t="str">
        <f t="shared" si="15"/>
        <v>5★</v>
      </c>
      <c r="C146" s="321" t="str">
        <f>IFERROR(__xludf.DUMMYFUNCTION("""COMPUTED_VALUE"""),"CARD_52_s6")</f>
        <v>CARD_52_s6</v>
      </c>
      <c r="M146" s="316"/>
      <c r="N146" s="246"/>
      <c r="O146" s="315"/>
      <c r="Q146" s="316"/>
      <c r="R146" s="317"/>
      <c r="T146" s="329"/>
      <c r="U146" s="246"/>
      <c r="V146" s="315" t="str">
        <f>IFERROR(__xludf.DUMMYFUNCTION("if(U146="""", """", U146/sum(filter($U$3:$U$1000, $U$3:$U$1000&lt;&gt;"""")))"),"")</f>
        <v/>
      </c>
    </row>
    <row r="147" ht="12.75" customHeight="1">
      <c r="A147" s="277" t="str">
        <f t="shared" si="14"/>
        <v>Cannon Fort - Catapult</v>
      </c>
      <c r="B147" s="321" t="str">
        <f t="shared" si="15"/>
        <v>5★</v>
      </c>
      <c r="C147" s="321" t="str">
        <f>IFERROR(__xludf.DUMMYFUNCTION("""COMPUTED_VALUE"""),"CARD_53_s6")</f>
        <v>CARD_53_s6</v>
      </c>
      <c r="M147" s="316"/>
      <c r="N147" s="246"/>
      <c r="O147" s="315"/>
      <c r="Q147" s="316"/>
      <c r="R147" s="317"/>
      <c r="T147" s="329"/>
      <c r="U147" s="246"/>
      <c r="V147" s="315" t="str">
        <f>IFERROR(__xludf.DUMMYFUNCTION("if(U147="""", """", U147/sum(filter($U$3:$U$1000, $U$3:$U$1000&lt;&gt;"""")))"),"")</f>
        <v/>
      </c>
    </row>
    <row r="148" ht="12.75" customHeight="1">
      <c r="A148" s="277" t="str">
        <f t="shared" si="14"/>
        <v>Cannon Fort - Horn</v>
      </c>
      <c r="B148" s="321" t="str">
        <f t="shared" si="15"/>
        <v>5★</v>
      </c>
      <c r="C148" s="321" t="str">
        <f>IFERROR(__xludf.DUMMYFUNCTION("""COMPUTED_VALUE"""),"CARD_54_s6")</f>
        <v>CARD_54_s6</v>
      </c>
      <c r="M148" s="316"/>
      <c r="N148" s="246"/>
      <c r="O148" s="315"/>
      <c r="Q148" s="316"/>
      <c r="R148" s="317"/>
      <c r="T148" s="329"/>
      <c r="U148" s="246"/>
      <c r="V148" s="317"/>
    </row>
    <row r="149" ht="12.75" customHeight="1">
      <c r="M149" s="316"/>
      <c r="N149" s="246"/>
      <c r="O149" s="315"/>
      <c r="Q149" s="316"/>
      <c r="R149" s="317"/>
      <c r="T149" s="329"/>
      <c r="U149" s="246"/>
      <c r="V149" s="317"/>
    </row>
    <row r="150" ht="12.75" customHeight="1">
      <c r="A150" s="271" t="s">
        <v>742</v>
      </c>
      <c r="M150" s="316"/>
      <c r="N150" s="246"/>
      <c r="O150" s="315"/>
      <c r="Q150" s="316"/>
      <c r="R150" s="317"/>
      <c r="T150" s="329"/>
      <c r="U150" s="246"/>
      <c r="V150" s="317"/>
    </row>
    <row r="151" ht="12.75" customHeight="1">
      <c r="A151" s="274" t="s">
        <v>521</v>
      </c>
      <c r="B151" s="275" t="s">
        <v>499</v>
      </c>
      <c r="C151" s="275" t="s">
        <v>520</v>
      </c>
      <c r="M151" s="316"/>
      <c r="N151" s="246"/>
      <c r="O151" s="315"/>
      <c r="Q151" s="316"/>
      <c r="R151" s="317"/>
      <c r="T151" s="329" t="str">
        <f>IFERROR(__xludf.DUMMYFUNCTION("""COMPUTED_VALUE"""),"Unl. Bomb")</f>
        <v>Unl. Bomb</v>
      </c>
      <c r="U151" s="246" t="str">
        <f>IFERROR(__xludf.DUMMYFUNCTION("""COMPUTED_VALUE"""),"Avatar")</f>
        <v>Avatar</v>
      </c>
      <c r="V151" s="317"/>
    </row>
    <row r="152" ht="12.75" customHeight="1">
      <c r="A152" s="277" t="str">
        <f t="shared" ref="A152:A160" si="16">index($B$3:$B$74, match(C152, $A$3:$A$74, 0),0)</f>
        <v>Siren Reef - Harp</v>
      </c>
      <c r="B152" s="321" t="str">
        <f t="shared" ref="B152:B160" si="17">index($E$3:$E$74, match(C152, $A$3:$A$74, 0),0)</f>
        <v>1★</v>
      </c>
      <c r="C152" s="321" t="str">
        <f>IFERROR(__xludf.DUMMYFUNCTION("filter($A$3:$A$74, $D$3:$D$74=LEFT(A$150, len(A$150)-8))"),"CARD_55_s7")</f>
        <v>CARD_55_s7</v>
      </c>
      <c r="M152" s="316"/>
      <c r="N152" s="246"/>
      <c r="O152" s="315"/>
      <c r="Q152" s="316"/>
      <c r="R152" s="317"/>
      <c r="T152" s="329">
        <f>IFERROR(__xludf.DUMMYFUNCTION("""COMPUTED_VALUE"""),0.0)</f>
        <v>0</v>
      </c>
      <c r="U152" s="246">
        <f>IFERROR(__xludf.DUMMYFUNCTION("""COMPUTED_VALUE"""),0.0)</f>
        <v>0</v>
      </c>
      <c r="V152" s="317"/>
    </row>
    <row r="153" ht="12.75" customHeight="1">
      <c r="A153" s="277" t="str">
        <f t="shared" si="16"/>
        <v>Siren Reef - Mirror</v>
      </c>
      <c r="B153" s="321" t="str">
        <f t="shared" si="17"/>
        <v>1★</v>
      </c>
      <c r="C153" s="321" t="str">
        <f>IFERROR(__xludf.DUMMYFUNCTION("""COMPUTED_VALUE"""),"CARD_56_s7")</f>
        <v>CARD_56_s7</v>
      </c>
      <c r="M153" s="316"/>
      <c r="N153" s="246"/>
      <c r="O153" s="315"/>
      <c r="Q153" s="316"/>
      <c r="R153" s="317"/>
      <c r="T153" s="329">
        <f>IFERROR(__xludf.DUMMYFUNCTION("""COMPUTED_VALUE"""),0.0)</f>
        <v>0</v>
      </c>
      <c r="U153" s="246">
        <f>IFERROR(__xludf.DUMMYFUNCTION("""COMPUTED_VALUE"""),0.0)</f>
        <v>0</v>
      </c>
      <c r="V153" s="317"/>
    </row>
    <row r="154" ht="12.75" customHeight="1">
      <c r="A154" s="277" t="str">
        <f t="shared" si="16"/>
        <v>Siren Reef - Comb</v>
      </c>
      <c r="B154" s="321" t="str">
        <f t="shared" si="17"/>
        <v>2★</v>
      </c>
      <c r="C154" s="321" t="str">
        <f>IFERROR(__xludf.DUMMYFUNCTION("""COMPUTED_VALUE"""),"CARD_57_s7")</f>
        <v>CARD_57_s7</v>
      </c>
      <c r="M154" s="316"/>
      <c r="N154" s="246"/>
      <c r="O154" s="315"/>
      <c r="Q154" s="316"/>
      <c r="R154" s="317"/>
      <c r="T154" s="329">
        <f>IFERROR(__xludf.DUMMYFUNCTION("""COMPUTED_VALUE"""),0.0)</f>
        <v>0</v>
      </c>
      <c r="U154" s="246">
        <f>IFERROR(__xludf.DUMMYFUNCTION("""COMPUTED_VALUE"""),0.0)</f>
        <v>0</v>
      </c>
      <c r="V154" s="317"/>
    </row>
    <row r="155" ht="12.75" customHeight="1">
      <c r="A155" s="277" t="str">
        <f t="shared" si="16"/>
        <v>Siren Reef - Witch</v>
      </c>
      <c r="B155" s="321" t="str">
        <f t="shared" si="17"/>
        <v>2★</v>
      </c>
      <c r="C155" s="321" t="str">
        <f>IFERROR(__xludf.DUMMYFUNCTION("""COMPUTED_VALUE"""),"CARD_58_s7")</f>
        <v>CARD_58_s7</v>
      </c>
      <c r="M155" s="316"/>
      <c r="N155" s="246"/>
      <c r="O155" s="315"/>
      <c r="Q155" s="316"/>
      <c r="R155" s="317"/>
      <c r="T155" s="329">
        <f>IFERROR(__xludf.DUMMYFUNCTION("""COMPUTED_VALUE"""),0.0)</f>
        <v>0</v>
      </c>
      <c r="U155" s="246">
        <f>IFERROR(__xludf.DUMMYFUNCTION("""COMPUTED_VALUE"""),0.0)</f>
        <v>0</v>
      </c>
      <c r="V155" s="317"/>
    </row>
    <row r="156" ht="12.75" customHeight="1">
      <c r="A156" s="277" t="str">
        <f t="shared" si="16"/>
        <v>Siren Reef - Starfish</v>
      </c>
      <c r="B156" s="321" t="str">
        <f t="shared" si="17"/>
        <v>3★</v>
      </c>
      <c r="C156" s="321" t="str">
        <f>IFERROR(__xludf.DUMMYFUNCTION("""COMPUTED_VALUE"""),"CARD_59_s7")</f>
        <v>CARD_59_s7</v>
      </c>
      <c r="M156" s="316"/>
      <c r="N156" s="246"/>
      <c r="O156" s="315"/>
      <c r="Q156" s="316"/>
      <c r="R156" s="317"/>
      <c r="T156" s="329">
        <f>IFERROR(__xludf.DUMMYFUNCTION("""COMPUTED_VALUE"""),0.0)</f>
        <v>0</v>
      </c>
      <c r="U156" s="246">
        <f>IFERROR(__xludf.DUMMYFUNCTION("""COMPUTED_VALUE"""),0.0)</f>
        <v>0</v>
      </c>
      <c r="V156" s="317"/>
    </row>
    <row r="157" ht="12.75" customHeight="1">
      <c r="A157" s="277" t="str">
        <f t="shared" si="16"/>
        <v>Siren Reef - Moonstone</v>
      </c>
      <c r="B157" s="321" t="str">
        <f t="shared" si="17"/>
        <v>4★</v>
      </c>
      <c r="C157" s="321" t="str">
        <f>IFERROR(__xludf.DUMMYFUNCTION("""COMPUTED_VALUE"""),"CARD_60_s7")</f>
        <v>CARD_60_s7</v>
      </c>
      <c r="M157" s="316"/>
      <c r="N157" s="246"/>
      <c r="O157" s="315"/>
      <c r="Q157" s="316"/>
      <c r="R157" s="317"/>
      <c r="T157" s="329">
        <f>IFERROR(__xludf.DUMMYFUNCTION("""COMPUTED_VALUE"""),0.0)</f>
        <v>0</v>
      </c>
      <c r="U157" s="246">
        <f>IFERROR(__xludf.DUMMYFUNCTION("""COMPUTED_VALUE"""),0.0)</f>
        <v>0</v>
      </c>
      <c r="V157" s="317"/>
    </row>
    <row r="158" ht="12.75" customHeight="1">
      <c r="A158" s="277" t="str">
        <f t="shared" si="16"/>
        <v>Siren Reef - Wave</v>
      </c>
      <c r="B158" s="321" t="str">
        <f t="shared" si="17"/>
        <v>5★</v>
      </c>
      <c r="C158" s="321" t="str">
        <f>IFERROR(__xludf.DUMMYFUNCTION("""COMPUTED_VALUE"""),"CARD_61_s7")</f>
        <v>CARD_61_s7</v>
      </c>
      <c r="M158" s="316"/>
      <c r="N158" s="246"/>
      <c r="O158" s="315"/>
      <c r="Q158" s="316"/>
      <c r="R158" s="317"/>
      <c r="T158" s="329">
        <f>IFERROR(__xludf.DUMMYFUNCTION("""COMPUTED_VALUE"""),0.0)</f>
        <v>0</v>
      </c>
      <c r="U158" s="246">
        <f>IFERROR(__xludf.DUMMYFUNCTION("""COMPUTED_VALUE"""),0.0)</f>
        <v>0</v>
      </c>
      <c r="V158" s="317"/>
    </row>
    <row r="159" ht="12.75" customHeight="1">
      <c r="A159" s="277" t="str">
        <f t="shared" si="16"/>
        <v>Siren Reef - Driftwood</v>
      </c>
      <c r="B159" s="321" t="str">
        <f t="shared" si="17"/>
        <v>5★</v>
      </c>
      <c r="C159" s="321" t="str">
        <f>IFERROR(__xludf.DUMMYFUNCTION("""COMPUTED_VALUE"""),"CARD_62_s7")</f>
        <v>CARD_62_s7</v>
      </c>
      <c r="M159" s="316"/>
      <c r="N159" s="246"/>
      <c r="O159" s="315"/>
      <c r="Q159" s="316"/>
      <c r="R159" s="317"/>
      <c r="T159" s="329">
        <f>IFERROR(__xludf.DUMMYFUNCTION("""COMPUTED_VALUE"""),0.0)</f>
        <v>0</v>
      </c>
      <c r="U159" s="246">
        <f>IFERROR(__xludf.DUMMYFUNCTION("""COMPUTED_VALUE"""),0.0)</f>
        <v>0</v>
      </c>
      <c r="V159" s="317"/>
    </row>
    <row r="160" ht="12.75" customHeight="1">
      <c r="A160" s="277" t="str">
        <f t="shared" si="16"/>
        <v>Siren Reef - Conch</v>
      </c>
      <c r="B160" s="321" t="str">
        <f t="shared" si="17"/>
        <v>5★</v>
      </c>
      <c r="C160" s="321" t="str">
        <f>IFERROR(__xludf.DUMMYFUNCTION("""COMPUTED_VALUE"""),"CARD_63_s7")</f>
        <v>CARD_63_s7</v>
      </c>
      <c r="M160" s="316"/>
      <c r="N160" s="246"/>
      <c r="O160" s="315"/>
      <c r="Q160" s="316"/>
      <c r="R160" s="317"/>
      <c r="T160" s="329"/>
      <c r="U160" s="246"/>
      <c r="V160" s="317"/>
    </row>
    <row r="161" ht="12.75" customHeight="1">
      <c r="M161" s="316"/>
      <c r="N161" s="246"/>
      <c r="O161" s="315"/>
      <c r="Q161" s="316"/>
      <c r="R161" s="317"/>
      <c r="T161" s="329"/>
      <c r="U161" s="246"/>
      <c r="V161" s="317"/>
    </row>
    <row r="162" ht="12.75" customHeight="1">
      <c r="A162" s="271" t="s">
        <v>743</v>
      </c>
      <c r="M162" s="316"/>
      <c r="N162" s="246"/>
      <c r="O162" s="315"/>
      <c r="Q162" s="316"/>
      <c r="R162" s="317"/>
      <c r="T162" s="329" t="str">
        <f>IFERROR(__xludf.DUMMYFUNCTION("""COMPUTED_VALUE"""),"Unl. Bomb")</f>
        <v>Unl. Bomb</v>
      </c>
      <c r="U162" s="246" t="str">
        <f>IFERROR(__xludf.DUMMYFUNCTION("""COMPUTED_VALUE"""),"Avatar")</f>
        <v>Avatar</v>
      </c>
      <c r="V162" s="317"/>
    </row>
    <row r="163" ht="12.75" customHeight="1">
      <c r="A163" s="274" t="s">
        <v>521</v>
      </c>
      <c r="B163" s="275" t="s">
        <v>499</v>
      </c>
      <c r="C163" s="275" t="s">
        <v>520</v>
      </c>
      <c r="M163" s="316"/>
      <c r="N163" s="246"/>
      <c r="O163" s="315"/>
      <c r="Q163" s="316"/>
      <c r="R163" s="317"/>
      <c r="T163" s="329">
        <f>IFERROR(__xludf.DUMMYFUNCTION("""COMPUTED_VALUE"""),0.0)</f>
        <v>0</v>
      </c>
      <c r="U163" s="246">
        <f>IFERROR(__xludf.DUMMYFUNCTION("""COMPUTED_VALUE"""),0.0)</f>
        <v>0</v>
      </c>
      <c r="V163" s="317"/>
    </row>
    <row r="164" ht="12.75" customHeight="1">
      <c r="A164" s="277" t="str">
        <f t="shared" ref="A164:A172" si="18">index($B$3:$B$74, match(C164, $A$3:$A$74, 0),0)</f>
        <v>Dead Man Bay - Pistol</v>
      </c>
      <c r="B164" s="321" t="str">
        <f t="shared" ref="B164:B172" si="19">index($E$3:$E$74, match(C164, $A$3:$A$74, 0),0)</f>
        <v>1★</v>
      </c>
      <c r="C164" s="321" t="str">
        <f>IFERROR(__xludf.DUMMYFUNCTION("filter($A$3:$A$74, $D$3:$D$74=LEFT(A$162, len(A$162)-8))"),"CARD_64_s8")</f>
        <v>CARD_64_s8</v>
      </c>
      <c r="M164" s="316"/>
      <c r="N164" s="246"/>
      <c r="O164" s="315"/>
      <c r="Q164" s="316"/>
      <c r="R164" s="317"/>
      <c r="T164" s="329">
        <f>IFERROR(__xludf.DUMMYFUNCTION("""COMPUTED_VALUE"""),0.0)</f>
        <v>0</v>
      </c>
      <c r="U164" s="246">
        <f>IFERROR(__xludf.DUMMYFUNCTION("""COMPUTED_VALUE"""),0.0)</f>
        <v>0</v>
      </c>
      <c r="V164" s="317"/>
    </row>
    <row r="165" ht="12.75" customHeight="1">
      <c r="A165" s="277" t="str">
        <f t="shared" si="18"/>
        <v>Dead Man Bay - Rum</v>
      </c>
      <c r="B165" s="321" t="str">
        <f t="shared" si="19"/>
        <v>1★</v>
      </c>
      <c r="C165" s="321" t="str">
        <f>IFERROR(__xludf.DUMMYFUNCTION("""COMPUTED_VALUE"""),"CARD_65_s8")</f>
        <v>CARD_65_s8</v>
      </c>
      <c r="M165" s="316"/>
      <c r="N165" s="246"/>
      <c r="O165" s="315"/>
      <c r="Q165" s="316"/>
      <c r="R165" s="317"/>
      <c r="T165" s="329">
        <f>IFERROR(__xludf.DUMMYFUNCTION("""COMPUTED_VALUE"""),0.0)</f>
        <v>0</v>
      </c>
      <c r="U165" s="246">
        <f>IFERROR(__xludf.DUMMYFUNCTION("""COMPUTED_VALUE"""),0.0)</f>
        <v>0</v>
      </c>
      <c r="V165" s="317"/>
    </row>
    <row r="166" ht="12.75" customHeight="1">
      <c r="A166" s="277" t="str">
        <f t="shared" si="18"/>
        <v>Dead Man Bay - Treasure Map</v>
      </c>
      <c r="B166" s="321" t="str">
        <f t="shared" si="19"/>
        <v>2★</v>
      </c>
      <c r="C166" s="321" t="str">
        <f>IFERROR(__xludf.DUMMYFUNCTION("""COMPUTED_VALUE"""),"CARD_66_s8")</f>
        <v>CARD_66_s8</v>
      </c>
      <c r="M166" s="316"/>
      <c r="N166" s="246"/>
      <c r="O166" s="315"/>
      <c r="Q166" s="316"/>
      <c r="R166" s="317"/>
      <c r="T166" s="329">
        <f>IFERROR(__xludf.DUMMYFUNCTION("""COMPUTED_VALUE"""),0.0)</f>
        <v>0</v>
      </c>
      <c r="U166" s="246">
        <f>IFERROR(__xludf.DUMMYFUNCTION("""COMPUTED_VALUE"""),0.0)</f>
        <v>0</v>
      </c>
      <c r="V166" s="317"/>
    </row>
    <row r="167" ht="12.75" customHeight="1">
      <c r="A167" s="277" t="str">
        <f t="shared" si="18"/>
        <v>Dead Man Bay - Jolly Roger</v>
      </c>
      <c r="B167" s="321" t="str">
        <f t="shared" si="19"/>
        <v>2★</v>
      </c>
      <c r="C167" s="321" t="str">
        <f>IFERROR(__xludf.DUMMYFUNCTION("""COMPUTED_VALUE"""),"CARD_67_s8")</f>
        <v>CARD_67_s8</v>
      </c>
      <c r="M167" s="316"/>
      <c r="N167" s="246"/>
      <c r="O167" s="315"/>
      <c r="Q167" s="316"/>
      <c r="R167" s="317"/>
      <c r="T167" s="329">
        <f>IFERROR(__xludf.DUMMYFUNCTION("""COMPUTED_VALUE"""),0.0)</f>
        <v>0</v>
      </c>
      <c r="U167" s="246">
        <f>IFERROR(__xludf.DUMMYFUNCTION("""COMPUTED_VALUE"""),0.0)</f>
        <v>0</v>
      </c>
      <c r="V167" s="317"/>
    </row>
    <row r="168" ht="12.75" customHeight="1">
      <c r="A168" s="277" t="str">
        <f t="shared" si="18"/>
        <v>Dead Man Bay - Gold Tooth</v>
      </c>
      <c r="B168" s="321" t="str">
        <f t="shared" si="19"/>
        <v>3★</v>
      </c>
      <c r="C168" s="321" t="str">
        <f>IFERROR(__xludf.DUMMYFUNCTION("""COMPUTED_VALUE"""),"CARD_68_s8")</f>
        <v>CARD_68_s8</v>
      </c>
      <c r="M168" s="316"/>
      <c r="N168" s="246"/>
      <c r="O168" s="315"/>
      <c r="Q168" s="316"/>
      <c r="R168" s="317"/>
      <c r="T168" s="329">
        <f>IFERROR(__xludf.DUMMYFUNCTION("""COMPUTED_VALUE"""),0.0)</f>
        <v>0</v>
      </c>
      <c r="U168" s="246">
        <f>IFERROR(__xludf.DUMMYFUNCTION("""COMPUTED_VALUE"""),0.0)</f>
        <v>0</v>
      </c>
      <c r="V168" s="317"/>
    </row>
    <row r="169" ht="12.75" customHeight="1">
      <c r="A169" s="277" t="str">
        <f t="shared" si="18"/>
        <v>Dead Man Bay - Dagger</v>
      </c>
      <c r="B169" s="321" t="str">
        <f t="shared" si="19"/>
        <v>4★</v>
      </c>
      <c r="C169" s="321" t="str">
        <f>IFERROR(__xludf.DUMMYFUNCTION("""COMPUTED_VALUE"""),"CARD_69_s8")</f>
        <v>CARD_69_s8</v>
      </c>
      <c r="M169" s="316"/>
      <c r="N169" s="246"/>
      <c r="O169" s="315"/>
      <c r="Q169" s="316"/>
      <c r="R169" s="317"/>
      <c r="T169" s="329">
        <f>IFERROR(__xludf.DUMMYFUNCTION("""COMPUTED_VALUE"""),0.0)</f>
        <v>0</v>
      </c>
      <c r="U169" s="246">
        <f>IFERROR(__xludf.DUMMYFUNCTION("""COMPUTED_VALUE"""),0.0)</f>
        <v>0</v>
      </c>
      <c r="V169" s="317"/>
    </row>
    <row r="170" ht="12.75" customHeight="1">
      <c r="A170" s="277" t="str">
        <f t="shared" si="18"/>
        <v>Dead Man Bay - Bandana</v>
      </c>
      <c r="B170" s="321" t="str">
        <f t="shared" si="19"/>
        <v>5★</v>
      </c>
      <c r="C170" s="321" t="str">
        <f>IFERROR(__xludf.DUMMYFUNCTION("""COMPUTED_VALUE"""),"CARD_70_s8")</f>
        <v>CARD_70_s8</v>
      </c>
      <c r="M170" s="316"/>
      <c r="N170" s="246"/>
      <c r="O170" s="315"/>
      <c r="Q170" s="316"/>
      <c r="R170" s="317"/>
      <c r="T170" s="329">
        <f>IFERROR(__xludf.DUMMYFUNCTION("""COMPUTED_VALUE"""),0.0)</f>
        <v>0</v>
      </c>
      <c r="U170" s="246">
        <f>IFERROR(__xludf.DUMMYFUNCTION("""COMPUTED_VALUE"""),0.0)</f>
        <v>0</v>
      </c>
      <c r="V170" s="317"/>
    </row>
    <row r="171" ht="12.75" customHeight="1">
      <c r="A171" s="277" t="str">
        <f t="shared" si="18"/>
        <v>Dead Man Bay - Boots</v>
      </c>
      <c r="B171" s="321" t="str">
        <f t="shared" si="19"/>
        <v>5★</v>
      </c>
      <c r="C171" s="321" t="str">
        <f>IFERROR(__xludf.DUMMYFUNCTION("""COMPUTED_VALUE"""),"CARD_71_s8")</f>
        <v>CARD_71_s8</v>
      </c>
      <c r="M171" s="316"/>
      <c r="N171" s="246"/>
      <c r="O171" s="315"/>
      <c r="Q171" s="316"/>
      <c r="R171" s="317"/>
      <c r="T171" s="329"/>
      <c r="U171" s="246"/>
      <c r="V171" s="317"/>
    </row>
    <row r="172" ht="12.75" customHeight="1">
      <c r="A172" s="277" t="str">
        <f t="shared" si="18"/>
        <v>Dead Man Bay - Beard</v>
      </c>
      <c r="B172" s="321" t="str">
        <f t="shared" si="19"/>
        <v>5★</v>
      </c>
      <c r="C172" s="321" t="str">
        <f>IFERROR(__xludf.DUMMYFUNCTION("""COMPUTED_VALUE"""),"CARD_72_s8")</f>
        <v>CARD_72_s8</v>
      </c>
      <c r="F172" s="37" t="s">
        <v>744</v>
      </c>
      <c r="M172" s="316"/>
      <c r="N172" s="246"/>
      <c r="O172" s="315"/>
      <c r="Q172" s="316"/>
      <c r="R172" s="317"/>
      <c r="T172" s="329"/>
      <c r="U172" s="246"/>
      <c r="V172" s="317"/>
    </row>
    <row r="173" ht="12.75" customHeight="1">
      <c r="M173" s="316"/>
      <c r="N173" s="246"/>
      <c r="O173" s="315"/>
      <c r="Q173" s="316"/>
      <c r="R173" s="317"/>
      <c r="T173" s="329" t="str">
        <f>IFERROR(__xludf.DUMMYFUNCTION("""COMPUTED_VALUE"""),"Unl. Bomb")</f>
        <v>Unl. Bomb</v>
      </c>
      <c r="U173" s="246" t="str">
        <f>IFERROR(__xludf.DUMMYFUNCTION("""COMPUTED_VALUE"""),"Avatar")</f>
        <v>Avatar</v>
      </c>
      <c r="V173" s="317"/>
    </row>
    <row r="174" ht="12.75" customHeight="1">
      <c r="A174" s="271" t="s">
        <v>745</v>
      </c>
      <c r="B174" s="333"/>
      <c r="M174" s="316"/>
      <c r="N174" s="246"/>
      <c r="O174" s="315"/>
      <c r="Q174" s="316"/>
      <c r="R174" s="317"/>
      <c r="T174" s="329">
        <f>IFERROR(__xludf.DUMMYFUNCTION("""COMPUTED_VALUE"""),0.0)</f>
        <v>0</v>
      </c>
      <c r="U174" s="246">
        <f>IFERROR(__xludf.DUMMYFUNCTION("""COMPUTED_VALUE"""),0.0)</f>
        <v>0</v>
      </c>
      <c r="V174" s="317"/>
    </row>
    <row r="175" ht="12.75" customHeight="1">
      <c r="A175" s="274" t="s">
        <v>746</v>
      </c>
      <c r="B175" s="275" t="s">
        <v>469</v>
      </c>
      <c r="C175" s="275" t="s">
        <v>470</v>
      </c>
      <c r="D175" s="275" t="s">
        <v>471</v>
      </c>
      <c r="E175" s="275" t="s">
        <v>472</v>
      </c>
      <c r="F175" s="275" t="s">
        <v>473</v>
      </c>
      <c r="G175" s="276" t="s">
        <v>747</v>
      </c>
      <c r="H175" s="275" t="s">
        <v>474</v>
      </c>
      <c r="J175" s="155" t="str">
        <f>IFERROR(__xludf.DUMMYFUNCTION("iferror(filter($E$3:$E$74, $D$3:$D$74=$A176, $E$3:$E$74=F$175), """")"),"")</f>
        <v/>
      </c>
      <c r="M175" s="316"/>
      <c r="N175" s="246"/>
      <c r="O175" s="315"/>
      <c r="Q175" s="316"/>
      <c r="R175" s="317"/>
      <c r="T175" s="329">
        <f>IFERROR(__xludf.DUMMYFUNCTION("""COMPUTED_VALUE"""),0.0)</f>
        <v>0</v>
      </c>
      <c r="U175" s="246">
        <f>IFERROR(__xludf.DUMMYFUNCTION("""COMPUTED_VALUE"""),0.0)</f>
        <v>0</v>
      </c>
      <c r="V175" s="317"/>
    </row>
    <row r="176" ht="12.75" customHeight="1">
      <c r="A176" s="277" t="s">
        <v>529</v>
      </c>
      <c r="B176" s="321">
        <f>IFERROR(__xludf.DUMMYFUNCTION("if(iferror(filter($E$3:$E$74, $D$3:$D$74=$A176, $E$3:$E$74=B$175), 0)=0, 0, counta(iferror(filter($E$3:$E$74, $D$3:$D$74=$A176, $E$3:$E$74=B$175), 0)))"),4.0)</f>
        <v>4</v>
      </c>
      <c r="C176" s="321">
        <f>IFERROR(__xludf.DUMMYFUNCTION("if(iferror(filter($E$3:$E$74, $D$3:$D$74=$A176, $E$3:$E$74=C$175), 0)=0, 0, counta(iferror(filter($E$3:$E$74, $D$3:$D$74=$A176, $E$3:$E$74=C$175), 0)))"),3.0)</f>
        <v>3</v>
      </c>
      <c r="D176" s="321">
        <f>IFERROR(__xludf.DUMMYFUNCTION("if(iferror(filter($E$3:$E$74, $D$3:$D$74=$A176, $E$3:$E$74=D$175), 0)=0, 0, counta(iferror(filter($E$3:$E$74, $D$3:$D$74=$A176, $E$3:$E$74=D$175), 0)))"),2.0)</f>
        <v>2</v>
      </c>
      <c r="E176" s="321">
        <f>IFERROR(__xludf.DUMMYFUNCTION("if(iferror(filter($E$3:$E$74, $D$3:$D$74=$A176, $E$3:$E$74=E$175), 0)=0, 0, counta(iferror(filter($E$3:$E$74, $D$3:$D$74=$A176, $E$3:$E$74=E$175), 0)))"),0.0)</f>
        <v>0</v>
      </c>
      <c r="F176" s="321">
        <f>IFERROR(__xludf.DUMMYFUNCTION("if(iferror(filter($E$3:$E$74, $D$3:$D$74=$A176, $E$3:$E$74=F$175), 0)=0, 0, counta(iferror(filter($E$3:$E$74, $D$3:$D$74=$A176, $E$3:$E$74=F$175), 0)))"),0.0)</f>
        <v>0</v>
      </c>
      <c r="G176" s="321">
        <f>IFERROR(__xludf.DUMMYFUNCTION("if(iferror(filter($E$3:$E$74, $D$3:$D$74=$A176, $E$3:$E$74=G$175), 0)=0, 0, counta(iferror(filter($E$3:$E$74, $D$3:$D$74=$A176, $E$3:$E$74=G$175), 0)))"),0.0)</f>
        <v>0</v>
      </c>
      <c r="H176" s="321">
        <f>IFERROR(__xludf.DUMMYFUNCTION("if(iferror(filter($E$3:$E$74, $D$3:$D$74=$A176, $E$3:$E$74=H$175), 0)=0, 0, counta(iferror(filter($E$3:$E$74, $D$3:$D$74=$A176, $E$3:$E$74=H$175), 0)))"),0.0)</f>
        <v>0</v>
      </c>
      <c r="M176" s="316"/>
      <c r="N176" s="246"/>
      <c r="O176" s="315"/>
      <c r="Q176" s="316"/>
      <c r="R176" s="317"/>
      <c r="T176" s="329">
        <f>IFERROR(__xludf.DUMMYFUNCTION("""COMPUTED_VALUE"""),0.0)</f>
        <v>0</v>
      </c>
      <c r="U176" s="246">
        <f>IFERROR(__xludf.DUMMYFUNCTION("""COMPUTED_VALUE"""),0.0)</f>
        <v>0</v>
      </c>
      <c r="V176" s="317"/>
    </row>
    <row r="177" ht="12.75" customHeight="1">
      <c r="A177" s="277" t="s">
        <v>559</v>
      </c>
      <c r="B177" s="321">
        <f>IFERROR(__xludf.DUMMYFUNCTION("if(iferror(filter($E$3:$E$74, $D$3:$D$74=$A177, $E$3:$E$74=B$175), 0)=0, 0, counta(iferror(filter($E$3:$E$74, $D$3:$D$74=$A177, $E$3:$E$74=B$175), 0)))"),4.0)</f>
        <v>4</v>
      </c>
      <c r="C177" s="321">
        <f>IFERROR(__xludf.DUMMYFUNCTION("if(iferror(filter($E$3:$E$74, $D$3:$D$74=$A177, $E$3:$E$74=C$175), 0)=0, 0, counta(iferror(filter($E$3:$E$74, $D$3:$D$74=$A177, $E$3:$E$74=C$175), 0)))"),2.0)</f>
        <v>2</v>
      </c>
      <c r="D177" s="321">
        <f>IFERROR(__xludf.DUMMYFUNCTION("if(iferror(filter($E$3:$E$74, $D$3:$D$74=$A177, $E$3:$E$74=D$175), 0)=0, 0, counta(iferror(filter($E$3:$E$74, $D$3:$D$74=$A177, $E$3:$E$74=D$175), 0)))"),2.0)</f>
        <v>2</v>
      </c>
      <c r="E177" s="321">
        <f>IFERROR(__xludf.DUMMYFUNCTION("if(iferror(filter($E$3:$E$74, $D$3:$D$74=$A177, $E$3:$E$74=E$175), 0)=0, 0, counta(iferror(filter($E$3:$E$74, $D$3:$D$74=$A177, $E$3:$E$74=E$175), 0)))"),1.0)</f>
        <v>1</v>
      </c>
      <c r="F177" s="321">
        <f>IFERROR(__xludf.DUMMYFUNCTION("if(iferror(filter($E$3:$E$74, $D$3:$D$74=$A177, $E$3:$E$74=F$175), 0)=0, 0, counta(iferror(filter($E$3:$E$74, $D$3:$D$74=$A177, $E$3:$E$74=F$175), 0)))"),0.0)</f>
        <v>0</v>
      </c>
      <c r="G177" s="321">
        <f>IFERROR(__xludf.DUMMYFUNCTION("if(iferror(filter($E$3:$E$74, $D$3:$D$74=$A177, $E$3:$E$74=G$175), 0)=0, 0, counta(iferror(filter($E$3:$E$74, $D$3:$D$74=$A177, $E$3:$E$74=G$175), 0)))"),0.0)</f>
        <v>0</v>
      </c>
      <c r="H177" s="321">
        <f>IFERROR(__xludf.DUMMYFUNCTION("if(iferror(filter($E$3:$E$74, $D$3:$D$74=$A177, $E$3:$E$74=H$175), 0)=0, 0, counta(iferror(filter($E$3:$E$74, $D$3:$D$74=$A177, $E$3:$E$74=H$175), 0)))"),0.0)</f>
        <v>0</v>
      </c>
      <c r="M177" s="316"/>
      <c r="N177" s="246"/>
      <c r="O177" s="315"/>
      <c r="Q177" s="316"/>
      <c r="R177" s="317"/>
      <c r="T177" s="329">
        <f>IFERROR(__xludf.DUMMYFUNCTION("""COMPUTED_VALUE"""),0.0)</f>
        <v>0</v>
      </c>
      <c r="U177" s="246">
        <f>IFERROR(__xludf.DUMMYFUNCTION("""COMPUTED_VALUE"""),0.0)</f>
        <v>0</v>
      </c>
      <c r="V177" s="317"/>
    </row>
    <row r="178" ht="12.75" customHeight="1">
      <c r="A178" s="277" t="s">
        <v>588</v>
      </c>
      <c r="B178" s="321">
        <f>IFERROR(__xludf.DUMMYFUNCTION("if(iferror(filter($E$3:$E$74, $D$3:$D$74=$A178, $E$3:$E$74=B$175), 0)=0, 0, counta(iferror(filter($E$3:$E$74, $D$3:$D$74=$A178, $E$3:$E$74=B$175), 0)))"),3.0)</f>
        <v>3</v>
      </c>
      <c r="C178" s="321">
        <f>IFERROR(__xludf.DUMMYFUNCTION("if(iferror(filter($E$3:$E$74, $D$3:$D$74=$A178, $E$3:$E$74=C$175), 0)=0, 0, counta(iferror(filter($E$3:$E$74, $D$3:$D$74=$A178, $E$3:$E$74=C$175), 0)))"),2.0)</f>
        <v>2</v>
      </c>
      <c r="D178" s="321">
        <f>IFERROR(__xludf.DUMMYFUNCTION("if(iferror(filter($E$3:$E$74, $D$3:$D$74=$A178, $E$3:$E$74=D$175), 0)=0, 0, counta(iferror(filter($E$3:$E$74, $D$3:$D$74=$A178, $E$3:$E$74=D$175), 0)))"),1.0)</f>
        <v>1</v>
      </c>
      <c r="E178" s="321">
        <f>IFERROR(__xludf.DUMMYFUNCTION("if(iferror(filter($E$3:$E$74, $D$3:$D$74=$A178, $E$3:$E$74=E$175), 0)=0, 0, counta(iferror(filter($E$3:$E$74, $D$3:$D$74=$A178, $E$3:$E$74=E$175), 0)))"),2.0)</f>
        <v>2</v>
      </c>
      <c r="F178" s="321">
        <f>IFERROR(__xludf.DUMMYFUNCTION("if(iferror(filter($E$3:$E$74, $D$3:$D$74=$A178, $E$3:$E$74=F$175), 0)=0, 0, counta(iferror(filter($E$3:$E$74, $D$3:$D$74=$A178, $E$3:$E$74=F$175), 0)))"),1.0)</f>
        <v>1</v>
      </c>
      <c r="G178" s="321">
        <f>IFERROR(__xludf.DUMMYFUNCTION("if(iferror(filter($E$3:$E$74, $D$3:$D$74=$A178, $E$3:$E$74=G$175), 0)=0, 0, counta(iferror(filter($E$3:$E$74, $D$3:$D$74=$A178, $E$3:$E$74=G$175), 0)))"),0.0)</f>
        <v>0</v>
      </c>
      <c r="H178" s="321">
        <f>IFERROR(__xludf.DUMMYFUNCTION("if(iferror(filter($E$3:$E$74, $D$3:$D$74=$A178, $E$3:$E$74=H$175), 0)=0, 0, counta(iferror(filter($E$3:$E$74, $D$3:$D$74=$A178, $E$3:$E$74=H$175), 0)))"),0.0)</f>
        <v>0</v>
      </c>
      <c r="M178" s="316"/>
      <c r="N178" s="246"/>
      <c r="O178" s="315"/>
      <c r="Q178" s="316"/>
      <c r="R178" s="317"/>
      <c r="T178" s="329">
        <f>IFERROR(__xludf.DUMMYFUNCTION("""COMPUTED_VALUE"""),0.0)</f>
        <v>0</v>
      </c>
      <c r="U178" s="246">
        <f>IFERROR(__xludf.DUMMYFUNCTION("""COMPUTED_VALUE"""),0.0)</f>
        <v>0</v>
      </c>
      <c r="V178" s="317"/>
    </row>
    <row r="179" ht="12.75" customHeight="1">
      <c r="A179" s="277" t="s">
        <v>618</v>
      </c>
      <c r="B179" s="321">
        <f>IFERROR(__xludf.DUMMYFUNCTION("if(iferror(filter($E$3:$E$74, $D$3:$D$74=$A179, $E$3:$E$74=B$175), 0)=0, 0, counta(iferror(filter($E$3:$E$74, $D$3:$D$74=$A179, $E$3:$E$74=B$175), 0)))"),2.0)</f>
        <v>2</v>
      </c>
      <c r="C179" s="321">
        <f>IFERROR(__xludf.DUMMYFUNCTION("if(iferror(filter($E$3:$E$74, $D$3:$D$74=$A179, $E$3:$E$74=C$175), 0)=0, 0, counta(iferror(filter($E$3:$E$74, $D$3:$D$74=$A179, $E$3:$E$74=C$175), 0)))"),2.0)</f>
        <v>2</v>
      </c>
      <c r="D179" s="321">
        <f>IFERROR(__xludf.DUMMYFUNCTION("if(iferror(filter($E$3:$E$74, $D$3:$D$74=$A179, $E$3:$E$74=D$175), 0)=0, 0, counta(iferror(filter($E$3:$E$74, $D$3:$D$74=$A179, $E$3:$E$74=D$175), 0)))"),2.0)</f>
        <v>2</v>
      </c>
      <c r="E179" s="321">
        <f>IFERROR(__xludf.DUMMYFUNCTION("if(iferror(filter($E$3:$E$74, $D$3:$D$74=$A179, $E$3:$E$74=E$175), 0)=0, 0, counta(iferror(filter($E$3:$E$74, $D$3:$D$74=$A179, $E$3:$E$74=E$175), 0)))"),2.0)</f>
        <v>2</v>
      </c>
      <c r="F179" s="321">
        <f>IFERROR(__xludf.DUMMYFUNCTION("if(iferror(filter($E$3:$E$74, $D$3:$D$74=$A179, $E$3:$E$74=F$175), 0)=0, 0, counta(iferror(filter($E$3:$E$74, $D$3:$D$74=$A179, $E$3:$E$74=F$175), 0)))"),1.0)</f>
        <v>1</v>
      </c>
      <c r="G179" s="321">
        <f>IFERROR(__xludf.DUMMYFUNCTION("if(iferror(filter($E$3:$E$74, $D$3:$D$74=$A179, $E$3:$E$74=G$175), 0)=0, 0, counta(iferror(filter($E$3:$E$74, $D$3:$D$74=$A179, $E$3:$E$74=G$175), 0)))"),0.0)</f>
        <v>0</v>
      </c>
      <c r="H179" s="321">
        <f>IFERROR(__xludf.DUMMYFUNCTION("if(iferror(filter($E$3:$E$74, $D$3:$D$74=$A179, $E$3:$E$74=H$175), 0)=0, 0, counta(iferror(filter($E$3:$E$74, $D$3:$D$74=$A179, $E$3:$E$74=H$175), 0)))"),0.0)</f>
        <v>0</v>
      </c>
      <c r="M179" s="316"/>
      <c r="N179" s="246"/>
      <c r="O179" s="315"/>
      <c r="Q179" s="316"/>
      <c r="R179" s="317"/>
      <c r="T179" s="329">
        <f>IFERROR(__xludf.DUMMYFUNCTION("""COMPUTED_VALUE"""),0.0)</f>
        <v>0</v>
      </c>
      <c r="U179" s="246">
        <f>IFERROR(__xludf.DUMMYFUNCTION("""COMPUTED_VALUE"""),0.0)</f>
        <v>0</v>
      </c>
      <c r="V179" s="317"/>
    </row>
    <row r="180" ht="12.75" customHeight="1">
      <c r="A180" s="277" t="s">
        <v>647</v>
      </c>
      <c r="B180" s="321">
        <f>IFERROR(__xludf.DUMMYFUNCTION("if(iferror(filter($E$3:$E$74, $D$3:$D$74=$A180, $E$3:$E$74=B$175), 0)=0, 0, counta(iferror(filter($E$3:$E$74, $D$3:$D$74=$A180, $E$3:$E$74=B$175), 0)))"),2.0)</f>
        <v>2</v>
      </c>
      <c r="C180" s="321">
        <f>IFERROR(__xludf.DUMMYFUNCTION("if(iferror(filter($E$3:$E$74, $D$3:$D$74=$A180, $E$3:$E$74=C$175), 0)=0, 0, counta(iferror(filter($E$3:$E$74, $D$3:$D$74=$A180, $E$3:$E$74=C$175), 0)))"),2.0)</f>
        <v>2</v>
      </c>
      <c r="D180" s="321">
        <f>IFERROR(__xludf.DUMMYFUNCTION("if(iferror(filter($E$3:$E$74, $D$3:$D$74=$A180, $E$3:$E$74=D$175), 0)=0, 0, counta(iferror(filter($E$3:$E$74, $D$3:$D$74=$A180, $E$3:$E$74=D$175), 0)))"),1.0)</f>
        <v>1</v>
      </c>
      <c r="E180" s="321">
        <f>IFERROR(__xludf.DUMMYFUNCTION("if(iferror(filter($E$3:$E$74, $D$3:$D$74=$A180, $E$3:$E$74=E$175), 0)=0, 0, counta(iferror(filter($E$3:$E$74, $D$3:$D$74=$A180, $E$3:$E$74=E$175), 0)))"),2.0)</f>
        <v>2</v>
      </c>
      <c r="F180" s="321">
        <f>IFERROR(__xludf.DUMMYFUNCTION("if(iferror(filter($E$3:$E$74, $D$3:$D$74=$A180, $E$3:$E$74=F$175), 0)=0, 0, counta(iferror(filter($E$3:$E$74, $D$3:$D$74=$A180, $E$3:$E$74=F$175), 0)))"),2.0)</f>
        <v>2</v>
      </c>
      <c r="G180" s="321">
        <f>IFERROR(__xludf.DUMMYFUNCTION("if(iferror(filter($E$3:$E$74, $D$3:$D$74=$A180, $E$3:$E$74=G$175), 0)=0, 0, counta(iferror(filter($E$3:$E$74, $D$3:$D$74=$A180, $E$3:$E$74=G$175), 0)))"),0.0)</f>
        <v>0</v>
      </c>
      <c r="H180" s="321">
        <f>IFERROR(__xludf.DUMMYFUNCTION("if(iferror(filter($E$3:$E$74, $D$3:$D$74=$A180, $E$3:$E$74=H$175), 0)=0, 0, counta(iferror(filter($E$3:$E$74, $D$3:$D$74=$A180, $E$3:$E$74=H$175), 0)))"),0.0)</f>
        <v>0</v>
      </c>
      <c r="M180" s="316"/>
      <c r="N180" s="246"/>
      <c r="O180" s="315"/>
      <c r="Q180" s="316"/>
      <c r="R180" s="317"/>
      <c r="T180" s="329">
        <f>IFERROR(__xludf.DUMMYFUNCTION("""COMPUTED_VALUE"""),0.0)</f>
        <v>0</v>
      </c>
      <c r="U180" s="246">
        <f>IFERROR(__xludf.DUMMYFUNCTION("""COMPUTED_VALUE"""),0.0)</f>
        <v>0</v>
      </c>
      <c r="V180" s="317"/>
    </row>
    <row r="181" ht="12.75" customHeight="1">
      <c r="A181" s="277" t="s">
        <v>675</v>
      </c>
      <c r="B181" s="321">
        <f>IFERROR(__xludf.DUMMYFUNCTION("if(iferror(filter($E$3:$E$74, $D$3:$D$74=$A181, $E$3:$E$74=B$175), 0)=0, 0, counta(iferror(filter($E$3:$E$74, $D$3:$D$74=$A181, $E$3:$E$74=B$175), 0)))"),2.0)</f>
        <v>2</v>
      </c>
      <c r="C181" s="321">
        <f>IFERROR(__xludf.DUMMYFUNCTION("if(iferror(filter($E$3:$E$74, $D$3:$D$74=$A181, $E$3:$E$74=C$175), 0)=0, 0, counta(iferror(filter($E$3:$E$74, $D$3:$D$74=$A181, $E$3:$E$74=C$175), 0)))"),2.0)</f>
        <v>2</v>
      </c>
      <c r="D181" s="321">
        <f>IFERROR(__xludf.DUMMYFUNCTION("if(iferror(filter($E$3:$E$74, $D$3:$D$74=$A181, $E$3:$E$74=D$175), 0)=0, 0, counta(iferror(filter($E$3:$E$74, $D$3:$D$74=$A181, $E$3:$E$74=D$175), 0)))"),1.0)</f>
        <v>1</v>
      </c>
      <c r="E181" s="321">
        <f>IFERROR(__xludf.DUMMYFUNCTION("if(iferror(filter($E$3:$E$74, $D$3:$D$74=$A181, $E$3:$E$74=E$175), 0)=0, 0, counta(iferror(filter($E$3:$E$74, $D$3:$D$74=$A181, $E$3:$E$74=E$175), 0)))"),1.0)</f>
        <v>1</v>
      </c>
      <c r="F181" s="321">
        <f>IFERROR(__xludf.DUMMYFUNCTION("if(iferror(filter($E$3:$E$74, $D$3:$D$74=$A181, $E$3:$E$74=F$175), 0)=0, 0, counta(iferror(filter($E$3:$E$74, $D$3:$D$74=$A181, $E$3:$E$74=F$175), 0)))"),3.0)</f>
        <v>3</v>
      </c>
      <c r="G181" s="321">
        <f>IFERROR(__xludf.DUMMYFUNCTION("if(iferror(filter($E$3:$E$74, $D$3:$D$74=$A181, $E$3:$E$74=G$175), 0)=0, 0, counta(iferror(filter($E$3:$E$74, $D$3:$D$74=$A181, $E$3:$E$74=G$175), 0)))"),0.0)</f>
        <v>0</v>
      </c>
      <c r="H181" s="321">
        <f>IFERROR(__xludf.DUMMYFUNCTION("if(iferror(filter($E$3:$E$74, $D$3:$D$74=$A181, $E$3:$E$74=H$175), 0)=0, 0, counta(iferror(filter($E$3:$E$74, $D$3:$D$74=$A181, $E$3:$E$74=H$175), 0)))"),0.0)</f>
        <v>0</v>
      </c>
      <c r="M181" s="316"/>
      <c r="N181" s="246"/>
      <c r="O181" s="315"/>
      <c r="Q181" s="316"/>
      <c r="R181" s="317"/>
      <c r="T181" s="329">
        <f>IFERROR(__xludf.DUMMYFUNCTION("""COMPUTED_VALUE"""),0.0)</f>
        <v>0</v>
      </c>
      <c r="U181" s="246">
        <f>IFERROR(__xludf.DUMMYFUNCTION("""COMPUTED_VALUE"""),0.0)</f>
        <v>0</v>
      </c>
      <c r="V181" s="317"/>
    </row>
    <row r="182" ht="12.75" customHeight="1">
      <c r="A182" s="277" t="s">
        <v>699</v>
      </c>
      <c r="B182" s="321">
        <f>IFERROR(__xludf.DUMMYFUNCTION("if(iferror(filter($E$3:$E$74, $D$3:$D$74=$A182, $E$3:$E$74=B$175), 0)=0, 0, counta(iferror(filter($E$3:$E$74, $D$3:$D$74=$A182, $E$3:$E$74=B$175), 0)))"),2.0)</f>
        <v>2</v>
      </c>
      <c r="C182" s="321">
        <f>IFERROR(__xludf.DUMMYFUNCTION("if(iferror(filter($E$3:$E$74, $D$3:$D$74=$A182, $E$3:$E$74=C$175), 0)=0, 0, counta(iferror(filter($E$3:$E$74, $D$3:$D$74=$A182, $E$3:$E$74=C$175), 0)))"),2.0)</f>
        <v>2</v>
      </c>
      <c r="D182" s="321">
        <f>IFERROR(__xludf.DUMMYFUNCTION("if(iferror(filter($E$3:$E$74, $D$3:$D$74=$A182, $E$3:$E$74=D$175), 0)=0, 0, counta(iferror(filter($E$3:$E$74, $D$3:$D$74=$A182, $E$3:$E$74=D$175), 0)))"),1.0)</f>
        <v>1</v>
      </c>
      <c r="E182" s="321">
        <f>IFERROR(__xludf.DUMMYFUNCTION("if(iferror(filter($E$3:$E$74, $D$3:$D$74=$A182, $E$3:$E$74=E$175), 0)=0, 0, counta(iferror(filter($E$3:$E$74, $D$3:$D$74=$A182, $E$3:$E$74=E$175), 0)))"),1.0)</f>
        <v>1</v>
      </c>
      <c r="F182" s="321">
        <f>IFERROR(__xludf.DUMMYFUNCTION("if(iferror(filter($E$3:$E$74, $D$3:$D$74=$A182, $E$3:$E$74=F$175), 0)=0, 0, counta(iferror(filter($E$3:$E$74, $D$3:$D$74=$A182, $E$3:$E$74=F$175), 0)))"),3.0)</f>
        <v>3</v>
      </c>
      <c r="G182" s="321">
        <f>IFERROR(__xludf.DUMMYFUNCTION("if(iferror(filter($E$3:$E$74, $D$3:$D$74=$A182, $E$3:$E$74=G$175), 0)=0, 0, counta(iferror(filter($E$3:$E$74, $D$3:$D$74=$A182, $E$3:$E$74=G$175), 0)))"),0.0)</f>
        <v>0</v>
      </c>
      <c r="H182" s="321">
        <f>IFERROR(__xludf.DUMMYFUNCTION("if(iferror(filter($E$3:$E$74, $D$3:$D$74=$A182, $E$3:$E$74=H$175), 0)=0, 0, counta(iferror(filter($E$3:$E$74, $D$3:$D$74=$A182, $E$3:$E$74=H$175), 0)))"),0.0)</f>
        <v>0</v>
      </c>
      <c r="M182" s="316"/>
      <c r="N182" s="246"/>
      <c r="O182" s="315"/>
      <c r="Q182" s="316"/>
      <c r="R182" s="317"/>
      <c r="T182" s="329"/>
      <c r="U182" s="246"/>
      <c r="V182" s="317"/>
    </row>
    <row r="183" ht="12.75" customHeight="1">
      <c r="A183" s="277" t="s">
        <v>718</v>
      </c>
      <c r="B183" s="321">
        <f>IFERROR(__xludf.DUMMYFUNCTION("if(iferror(filter($E$3:$E$74, $D$3:$D$74=$A183, $E$3:$E$74=B$175), 0)=0, 0, counta(iferror(filter($E$3:$E$74, $D$3:$D$74=$A183, $E$3:$E$74=B$175), 0)))"),2.0)</f>
        <v>2</v>
      </c>
      <c r="C183" s="321">
        <f>IFERROR(__xludf.DUMMYFUNCTION("if(iferror(filter($E$3:$E$74, $D$3:$D$74=$A183, $E$3:$E$74=C$175), 0)=0, 0, counta(iferror(filter($E$3:$E$74, $D$3:$D$74=$A183, $E$3:$E$74=C$175), 0)))"),2.0)</f>
        <v>2</v>
      </c>
      <c r="D183" s="321">
        <f>IFERROR(__xludf.DUMMYFUNCTION("if(iferror(filter($E$3:$E$74, $D$3:$D$74=$A183, $E$3:$E$74=D$175), 0)=0, 0, counta(iferror(filter($E$3:$E$74, $D$3:$D$74=$A183, $E$3:$E$74=D$175), 0)))"),1.0)</f>
        <v>1</v>
      </c>
      <c r="E183" s="321">
        <f>IFERROR(__xludf.DUMMYFUNCTION("if(iferror(filter($E$3:$E$74, $D$3:$D$74=$A183, $E$3:$E$74=E$175), 0)=0, 0, counta(iferror(filter($E$3:$E$74, $D$3:$D$74=$A183, $E$3:$E$74=E$175), 0)))"),1.0)</f>
        <v>1</v>
      </c>
      <c r="F183" s="321">
        <f>IFERROR(__xludf.DUMMYFUNCTION("if(iferror(filter($E$3:$E$74, $D$3:$D$74=$A183, $E$3:$E$74=F$175), 0)=0, 0, counta(iferror(filter($E$3:$E$74, $D$3:$D$74=$A183, $E$3:$E$74=F$175), 0)))"),3.0)</f>
        <v>3</v>
      </c>
      <c r="G183" s="321">
        <f>IFERROR(__xludf.DUMMYFUNCTION("if(iferror(filter($E$3:$E$74, $D$3:$D$74=$A183, $E$3:$E$74=G$175), 0)=0, 0, counta(iferror(filter($E$3:$E$74, $D$3:$D$74=$A183, $E$3:$E$74=G$175), 0)))"),0.0)</f>
        <v>0</v>
      </c>
      <c r="H183" s="321">
        <f>IFERROR(__xludf.DUMMYFUNCTION("if(iferror(filter($E$3:$E$74, $D$3:$D$74=$A183, $E$3:$E$74=H$175), 0)=0, 0, counta(iferror(filter($E$3:$E$74, $D$3:$D$74=$A183, $E$3:$E$74=H$175), 0)))"),0.0)</f>
        <v>0</v>
      </c>
      <c r="M183" s="316"/>
      <c r="N183" s="246"/>
      <c r="O183" s="315"/>
      <c r="Q183" s="316"/>
      <c r="R183" s="317"/>
      <c r="T183" s="329"/>
      <c r="U183" s="246"/>
      <c r="V183" s="317"/>
    </row>
    <row r="184" ht="12.75" customHeight="1">
      <c r="M184" s="316"/>
      <c r="N184" s="246"/>
      <c r="O184" s="315"/>
      <c r="Q184" s="316"/>
      <c r="R184" s="317"/>
      <c r="T184" s="329" t="str">
        <f>IFERROR(__xludf.DUMMYFUNCTION("""COMPUTED_VALUE"""),"Unl. Bomb")</f>
        <v>Unl. Bomb</v>
      </c>
      <c r="U184" s="246" t="str">
        <f>IFERROR(__xludf.DUMMYFUNCTION("""COMPUTED_VALUE"""),"Avatar")</f>
        <v>Avatar</v>
      </c>
      <c r="V184" s="317"/>
    </row>
    <row r="185" ht="12.75" customHeight="1">
      <c r="A185" s="309" t="s">
        <v>748</v>
      </c>
      <c r="B185" s="333"/>
      <c r="M185" s="316"/>
      <c r="N185" s="246"/>
      <c r="O185" s="315"/>
      <c r="Q185" s="316"/>
      <c r="R185" s="317"/>
      <c r="T185" s="329">
        <f>IFERROR(__xludf.DUMMYFUNCTION("""COMPUTED_VALUE"""),0.0)</f>
        <v>0</v>
      </c>
      <c r="U185" s="246">
        <f>IFERROR(__xludf.DUMMYFUNCTION("""COMPUTED_VALUE"""),0.0)</f>
        <v>0</v>
      </c>
      <c r="V185" s="317"/>
    </row>
    <row r="186" ht="12.75" customHeight="1">
      <c r="A186" s="274" t="s">
        <v>746</v>
      </c>
      <c r="B186" s="275" t="s">
        <v>19</v>
      </c>
      <c r="C186" s="275" t="s">
        <v>5</v>
      </c>
      <c r="D186" s="275" t="s">
        <v>6</v>
      </c>
      <c r="E186" s="275" t="s">
        <v>7</v>
      </c>
      <c r="F186" s="275" t="s">
        <v>8</v>
      </c>
      <c r="G186" s="275" t="s">
        <v>9</v>
      </c>
      <c r="H186" s="275" t="s">
        <v>10</v>
      </c>
      <c r="I186" s="275" t="s">
        <v>11</v>
      </c>
      <c r="J186" s="275" t="s">
        <v>749</v>
      </c>
      <c r="K186" s="275" t="s">
        <v>750</v>
      </c>
      <c r="L186" s="275" t="s">
        <v>751</v>
      </c>
      <c r="M186" s="334" t="s">
        <v>752</v>
      </c>
      <c r="N186" s="275" t="s">
        <v>78</v>
      </c>
      <c r="O186" s="315"/>
      <c r="P186" s="275"/>
      <c r="Q186" s="316"/>
      <c r="R186" s="317"/>
      <c r="T186" s="329">
        <f>IFERROR(__xludf.DUMMYFUNCTION("""COMPUTED_VALUE"""),0.0)</f>
        <v>0</v>
      </c>
      <c r="U186" s="246">
        <f>IFERROR(__xludf.DUMMYFUNCTION("""COMPUTED_VALUE"""),0.0)</f>
        <v>0</v>
      </c>
      <c r="V186" s="317"/>
    </row>
    <row r="187" ht="12.75" customHeight="1">
      <c r="A187" s="277" t="s">
        <v>529</v>
      </c>
      <c r="B187" s="278">
        <v>100.0</v>
      </c>
      <c r="C187" s="303">
        <v>0.0</v>
      </c>
      <c r="D187" s="303">
        <v>0.0</v>
      </c>
      <c r="E187" s="303">
        <v>0.0</v>
      </c>
      <c r="F187" s="303">
        <v>0.0</v>
      </c>
      <c r="G187" s="303">
        <v>0.0</v>
      </c>
      <c r="H187" s="303">
        <v>0.0</v>
      </c>
      <c r="I187" s="303">
        <v>0.0</v>
      </c>
      <c r="J187" s="303">
        <v>0.0</v>
      </c>
      <c r="K187" s="303">
        <v>0.0</v>
      </c>
      <c r="L187" s="335">
        <v>0.0</v>
      </c>
      <c r="M187" s="336">
        <v>0.0</v>
      </c>
      <c r="N187" s="303">
        <v>0.0</v>
      </c>
      <c r="O187" s="315"/>
      <c r="P187" s="337"/>
      <c r="Q187" s="316"/>
      <c r="R187" s="317"/>
      <c r="T187" s="329">
        <f>IFERROR(__xludf.DUMMYFUNCTION("""COMPUTED_VALUE"""),0.0)</f>
        <v>0</v>
      </c>
      <c r="U187" s="246">
        <f>IFERROR(__xludf.DUMMYFUNCTION("""COMPUTED_VALUE"""),0.0)</f>
        <v>0</v>
      </c>
      <c r="V187" s="317"/>
    </row>
    <row r="188" ht="12.75" customHeight="1">
      <c r="A188" s="277" t="s">
        <v>559</v>
      </c>
      <c r="B188" s="303">
        <v>0.0</v>
      </c>
      <c r="C188" s="278">
        <v>1.0</v>
      </c>
      <c r="D188" s="303">
        <v>0.0</v>
      </c>
      <c r="E188" s="303">
        <v>0.0</v>
      </c>
      <c r="F188" s="303">
        <v>0.0</v>
      </c>
      <c r="G188" s="303">
        <v>0.0</v>
      </c>
      <c r="H188" s="303">
        <v>0.0</v>
      </c>
      <c r="I188" s="303">
        <v>0.0</v>
      </c>
      <c r="J188" s="303">
        <v>0.0</v>
      </c>
      <c r="K188" s="303">
        <v>0.0</v>
      </c>
      <c r="L188" s="335">
        <v>0.0</v>
      </c>
      <c r="M188" s="336">
        <v>0.0</v>
      </c>
      <c r="N188" s="303">
        <v>0.0</v>
      </c>
      <c r="O188" s="315"/>
      <c r="P188" s="337"/>
      <c r="Q188" s="316"/>
      <c r="R188" s="317"/>
      <c r="T188" s="329"/>
      <c r="U188" s="246"/>
      <c r="V188" s="317"/>
    </row>
    <row r="189" ht="12.75" customHeight="1">
      <c r="A189" s="277" t="s">
        <v>588</v>
      </c>
      <c r="B189" s="303">
        <v>0.0</v>
      </c>
      <c r="C189" s="303">
        <v>0.0</v>
      </c>
      <c r="D189" s="278">
        <v>1.0</v>
      </c>
      <c r="E189" s="303">
        <v>0.0</v>
      </c>
      <c r="F189" s="303">
        <v>0.0</v>
      </c>
      <c r="G189" s="303">
        <v>0.0</v>
      </c>
      <c r="H189" s="303">
        <v>0.0</v>
      </c>
      <c r="I189" s="303">
        <v>0.0</v>
      </c>
      <c r="J189" s="303">
        <v>0.0</v>
      </c>
      <c r="K189" s="303">
        <v>0.0</v>
      </c>
      <c r="L189" s="335">
        <v>0.0</v>
      </c>
      <c r="M189" s="336">
        <v>0.0</v>
      </c>
      <c r="N189" s="303">
        <v>0.0</v>
      </c>
      <c r="O189" s="315"/>
      <c r="P189" s="337"/>
      <c r="Q189" s="316"/>
      <c r="R189" s="317"/>
      <c r="T189" s="329"/>
      <c r="U189" s="246"/>
      <c r="V189" s="317"/>
    </row>
    <row r="190" ht="12.75" customHeight="1">
      <c r="A190" s="277" t="s">
        <v>618</v>
      </c>
      <c r="B190" s="303">
        <v>0.0</v>
      </c>
      <c r="C190" s="303">
        <v>0.0</v>
      </c>
      <c r="D190" s="303">
        <v>0.0</v>
      </c>
      <c r="E190" s="278">
        <v>1.0</v>
      </c>
      <c r="F190" s="303">
        <v>0.0</v>
      </c>
      <c r="G190" s="303">
        <v>0.0</v>
      </c>
      <c r="H190" s="303">
        <v>0.0</v>
      </c>
      <c r="I190" s="303">
        <v>0.0</v>
      </c>
      <c r="J190" s="303">
        <v>0.0</v>
      </c>
      <c r="K190" s="303">
        <v>0.0</v>
      </c>
      <c r="L190" s="335">
        <v>0.0</v>
      </c>
      <c r="M190" s="336">
        <v>0.0</v>
      </c>
      <c r="N190" s="303">
        <v>0.0</v>
      </c>
      <c r="O190" s="315"/>
      <c r="P190" s="337"/>
      <c r="Q190" s="316"/>
      <c r="R190" s="317"/>
      <c r="T190" s="329"/>
      <c r="U190" s="246"/>
      <c r="V190" s="317"/>
    </row>
    <row r="191" ht="12.75" customHeight="1">
      <c r="A191" s="277" t="s">
        <v>647</v>
      </c>
      <c r="B191" s="303">
        <v>0.0</v>
      </c>
      <c r="C191" s="303">
        <v>0.0</v>
      </c>
      <c r="D191" s="303">
        <v>0.0</v>
      </c>
      <c r="E191" s="303">
        <v>0.0</v>
      </c>
      <c r="F191" s="278">
        <v>1.0</v>
      </c>
      <c r="G191" s="303">
        <v>0.0</v>
      </c>
      <c r="H191" s="303">
        <v>0.0</v>
      </c>
      <c r="I191" s="303">
        <v>0.0</v>
      </c>
      <c r="J191" s="303">
        <v>0.0</v>
      </c>
      <c r="K191" s="303">
        <v>0.0</v>
      </c>
      <c r="L191" s="335">
        <v>0.0</v>
      </c>
      <c r="M191" s="336">
        <v>0.0</v>
      </c>
      <c r="N191" s="303">
        <v>0.0</v>
      </c>
      <c r="O191" s="315"/>
      <c r="P191" s="337"/>
      <c r="Q191" s="316"/>
      <c r="R191" s="317"/>
      <c r="T191" s="329"/>
      <c r="U191" s="246"/>
      <c r="V191" s="317"/>
    </row>
    <row r="192" ht="12.75" customHeight="1">
      <c r="A192" s="277" t="s">
        <v>675</v>
      </c>
      <c r="B192" s="303">
        <v>0.0</v>
      </c>
      <c r="C192" s="303">
        <v>0.0</v>
      </c>
      <c r="D192" s="303">
        <v>0.0</v>
      </c>
      <c r="E192" s="303">
        <v>0.0</v>
      </c>
      <c r="F192" s="303">
        <v>0.0</v>
      </c>
      <c r="G192" s="278">
        <v>1.0</v>
      </c>
      <c r="H192" s="303">
        <v>0.0</v>
      </c>
      <c r="I192" s="303">
        <v>0.0</v>
      </c>
      <c r="J192" s="303">
        <v>0.0</v>
      </c>
      <c r="K192" s="303">
        <v>0.0</v>
      </c>
      <c r="L192" s="335">
        <v>0.0</v>
      </c>
      <c r="M192" s="336">
        <v>0.0</v>
      </c>
      <c r="N192" s="303">
        <v>0.0</v>
      </c>
      <c r="O192" s="315"/>
      <c r="P192" s="337"/>
      <c r="Q192" s="316"/>
      <c r="R192" s="317"/>
      <c r="T192" s="329"/>
      <c r="U192" s="246"/>
      <c r="V192" s="317"/>
    </row>
    <row r="193" ht="12.75" customHeight="1">
      <c r="A193" s="277" t="s">
        <v>699</v>
      </c>
      <c r="B193" s="303">
        <v>0.0</v>
      </c>
      <c r="C193" s="303">
        <v>0.0</v>
      </c>
      <c r="D193" s="303">
        <v>0.0</v>
      </c>
      <c r="E193" s="303">
        <v>0.0</v>
      </c>
      <c r="F193" s="303">
        <v>0.0</v>
      </c>
      <c r="G193" s="303">
        <v>0.0</v>
      </c>
      <c r="H193" s="278">
        <v>1.0</v>
      </c>
      <c r="I193" s="303">
        <v>0.0</v>
      </c>
      <c r="J193" s="303">
        <v>0.0</v>
      </c>
      <c r="K193" s="303">
        <v>0.0</v>
      </c>
      <c r="L193" s="335">
        <v>0.0</v>
      </c>
      <c r="M193" s="336">
        <v>0.0</v>
      </c>
      <c r="N193" s="303">
        <v>0.0</v>
      </c>
      <c r="O193" s="315"/>
      <c r="P193" s="337"/>
      <c r="Q193" s="316"/>
      <c r="R193" s="317"/>
      <c r="T193" s="329"/>
      <c r="U193" s="246"/>
      <c r="V193" s="317"/>
    </row>
    <row r="194" ht="12.75" customHeight="1">
      <c r="A194" s="277" t="s">
        <v>718</v>
      </c>
      <c r="B194" s="303">
        <v>0.0</v>
      </c>
      <c r="C194" s="303">
        <v>0.0</v>
      </c>
      <c r="D194" s="303">
        <v>0.0</v>
      </c>
      <c r="E194" s="303">
        <v>0.0</v>
      </c>
      <c r="F194" s="303">
        <v>0.0</v>
      </c>
      <c r="G194" s="303">
        <v>0.0</v>
      </c>
      <c r="H194" s="303">
        <v>0.0</v>
      </c>
      <c r="I194" s="278">
        <v>1.0</v>
      </c>
      <c r="J194" s="303">
        <v>0.0</v>
      </c>
      <c r="K194" s="303">
        <v>0.0</v>
      </c>
      <c r="L194" s="335">
        <v>0.0</v>
      </c>
      <c r="M194" s="336">
        <v>0.0</v>
      </c>
      <c r="N194" s="303">
        <v>0.0</v>
      </c>
      <c r="O194" s="315"/>
      <c r="P194" s="337"/>
      <c r="Q194" s="316"/>
      <c r="R194" s="317"/>
      <c r="T194" s="329"/>
      <c r="U194" s="246"/>
      <c r="V194" s="317"/>
    </row>
    <row r="195" ht="12.75" customHeight="1">
      <c r="M195" s="316"/>
      <c r="N195" s="246"/>
      <c r="O195" s="315"/>
      <c r="Q195" s="316"/>
      <c r="R195" s="317"/>
      <c r="T195" s="329"/>
      <c r="U195" s="246"/>
      <c r="V195" s="317"/>
    </row>
    <row r="196" ht="12.75" customHeight="1">
      <c r="A196" s="309" t="s">
        <v>753</v>
      </c>
      <c r="B196" s="333"/>
      <c r="M196" s="316"/>
      <c r="N196" s="246"/>
      <c r="O196" s="315"/>
      <c r="Q196" s="316"/>
      <c r="R196" s="317"/>
      <c r="T196" s="329"/>
      <c r="U196" s="246"/>
      <c r="V196" s="317"/>
    </row>
    <row r="197" ht="12.75" customHeight="1">
      <c r="A197" s="274" t="s">
        <v>746</v>
      </c>
      <c r="B197" s="275" t="s">
        <v>19</v>
      </c>
      <c r="C197" s="275" t="s">
        <v>5</v>
      </c>
      <c r="D197" s="275" t="s">
        <v>6</v>
      </c>
      <c r="E197" s="275" t="s">
        <v>7</v>
      </c>
      <c r="F197" s="275" t="s">
        <v>8</v>
      </c>
      <c r="G197" s="275" t="s">
        <v>9</v>
      </c>
      <c r="H197" s="275" t="s">
        <v>10</v>
      </c>
      <c r="I197" s="275" t="s">
        <v>11</v>
      </c>
      <c r="J197" s="275" t="s">
        <v>749</v>
      </c>
      <c r="K197" s="275" t="s">
        <v>750</v>
      </c>
      <c r="L197" s="275" t="s">
        <v>751</v>
      </c>
      <c r="M197" s="334" t="s">
        <v>752</v>
      </c>
      <c r="N197" s="275" t="s">
        <v>78</v>
      </c>
      <c r="O197" s="315"/>
      <c r="P197" s="275"/>
      <c r="Q197" s="316"/>
      <c r="R197" s="317"/>
      <c r="T197" s="329"/>
      <c r="U197" s="246"/>
      <c r="V197" s="317"/>
    </row>
    <row r="198" ht="12.75" customHeight="1">
      <c r="A198" s="277" t="s">
        <v>529</v>
      </c>
      <c r="B198" s="278">
        <v>100.0</v>
      </c>
      <c r="C198" s="303">
        <v>0.0</v>
      </c>
      <c r="D198" s="303">
        <v>0.0</v>
      </c>
      <c r="E198" s="303">
        <v>0.0</v>
      </c>
      <c r="F198" s="303">
        <v>0.0</v>
      </c>
      <c r="G198" s="303">
        <v>0.0</v>
      </c>
      <c r="H198" s="303">
        <v>0.0</v>
      </c>
      <c r="I198" s="303">
        <v>0.0</v>
      </c>
      <c r="J198" s="303">
        <v>0.0</v>
      </c>
      <c r="K198" s="303">
        <v>0.0</v>
      </c>
      <c r="L198" s="335">
        <v>0.0</v>
      </c>
      <c r="M198" s="336">
        <v>0.0</v>
      </c>
      <c r="N198" s="303">
        <v>0.0</v>
      </c>
      <c r="O198" s="315"/>
      <c r="P198" s="337"/>
      <c r="Q198" s="316"/>
      <c r="R198" s="317"/>
      <c r="T198" s="329"/>
      <c r="U198" s="246"/>
      <c r="V198" s="317"/>
    </row>
    <row r="199" ht="12.75" customHeight="1">
      <c r="A199" s="277" t="s">
        <v>559</v>
      </c>
      <c r="B199" s="303">
        <v>0.0</v>
      </c>
      <c r="C199" s="278">
        <v>1.0</v>
      </c>
      <c r="D199" s="303">
        <v>0.0</v>
      </c>
      <c r="E199" s="303">
        <v>0.0</v>
      </c>
      <c r="F199" s="303">
        <v>0.0</v>
      </c>
      <c r="G199" s="303">
        <v>0.0</v>
      </c>
      <c r="H199" s="303">
        <v>0.0</v>
      </c>
      <c r="I199" s="303">
        <v>0.0</v>
      </c>
      <c r="J199" s="303">
        <v>0.0</v>
      </c>
      <c r="K199" s="303">
        <v>0.0</v>
      </c>
      <c r="L199" s="335">
        <v>0.0</v>
      </c>
      <c r="M199" s="336">
        <v>0.0</v>
      </c>
      <c r="N199" s="303">
        <v>0.0</v>
      </c>
      <c r="O199" s="315"/>
      <c r="P199" s="337"/>
      <c r="Q199" s="316"/>
      <c r="R199" s="317"/>
      <c r="T199" s="329"/>
      <c r="U199" s="246"/>
      <c r="V199" s="317"/>
    </row>
    <row r="200" ht="12.75" customHeight="1">
      <c r="A200" s="277" t="s">
        <v>588</v>
      </c>
      <c r="B200" s="303">
        <v>0.0</v>
      </c>
      <c r="C200" s="303">
        <v>0.0</v>
      </c>
      <c r="D200" s="278">
        <v>1.0</v>
      </c>
      <c r="E200" s="303">
        <v>0.0</v>
      </c>
      <c r="F200" s="303">
        <v>0.0</v>
      </c>
      <c r="G200" s="303">
        <v>0.0</v>
      </c>
      <c r="H200" s="303">
        <v>0.0</v>
      </c>
      <c r="I200" s="303">
        <v>0.0</v>
      </c>
      <c r="J200" s="303">
        <v>0.0</v>
      </c>
      <c r="K200" s="303">
        <v>0.0</v>
      </c>
      <c r="L200" s="335">
        <v>0.0</v>
      </c>
      <c r="M200" s="336">
        <v>0.0</v>
      </c>
      <c r="N200" s="303">
        <v>0.0</v>
      </c>
      <c r="O200" s="315"/>
      <c r="P200" s="337"/>
      <c r="Q200" s="316"/>
      <c r="R200" s="317"/>
      <c r="T200" s="329"/>
      <c r="U200" s="246"/>
      <c r="V200" s="317"/>
    </row>
    <row r="201" ht="12.75" customHeight="1">
      <c r="A201" s="277" t="s">
        <v>618</v>
      </c>
      <c r="B201" s="303">
        <v>0.0</v>
      </c>
      <c r="C201" s="303">
        <v>0.0</v>
      </c>
      <c r="D201" s="303">
        <v>0.0</v>
      </c>
      <c r="E201" s="278">
        <v>1.0</v>
      </c>
      <c r="F201" s="303">
        <v>0.0</v>
      </c>
      <c r="G201" s="303">
        <v>0.0</v>
      </c>
      <c r="H201" s="303">
        <v>0.0</v>
      </c>
      <c r="I201" s="303">
        <v>0.0</v>
      </c>
      <c r="J201" s="303">
        <v>0.0</v>
      </c>
      <c r="K201" s="303">
        <v>0.0</v>
      </c>
      <c r="L201" s="335">
        <v>0.0</v>
      </c>
      <c r="M201" s="336">
        <v>0.0</v>
      </c>
      <c r="N201" s="303">
        <v>0.0</v>
      </c>
      <c r="O201" s="315"/>
      <c r="P201" s="337"/>
      <c r="Q201" s="316"/>
      <c r="R201" s="317"/>
      <c r="T201" s="329"/>
      <c r="U201" s="246"/>
      <c r="V201" s="317"/>
    </row>
    <row r="202" ht="12.75" customHeight="1">
      <c r="A202" s="277" t="s">
        <v>647</v>
      </c>
      <c r="B202" s="303">
        <v>0.0</v>
      </c>
      <c r="C202" s="303">
        <v>0.0</v>
      </c>
      <c r="D202" s="303">
        <v>0.0</v>
      </c>
      <c r="E202" s="303">
        <v>0.0</v>
      </c>
      <c r="F202" s="278">
        <v>1.0</v>
      </c>
      <c r="G202" s="303">
        <v>0.0</v>
      </c>
      <c r="H202" s="303">
        <v>0.0</v>
      </c>
      <c r="I202" s="303">
        <v>0.0</v>
      </c>
      <c r="J202" s="303">
        <v>0.0</v>
      </c>
      <c r="K202" s="303">
        <v>0.0</v>
      </c>
      <c r="L202" s="335">
        <v>0.0</v>
      </c>
      <c r="M202" s="336">
        <v>0.0</v>
      </c>
      <c r="N202" s="303">
        <v>0.0</v>
      </c>
      <c r="O202" s="315"/>
      <c r="P202" s="337"/>
      <c r="Q202" s="316"/>
      <c r="R202" s="317"/>
      <c r="T202" s="329"/>
      <c r="U202" s="246"/>
      <c r="V202" s="317"/>
    </row>
    <row r="203" ht="12.75" customHeight="1">
      <c r="A203" s="277" t="s">
        <v>675</v>
      </c>
      <c r="B203" s="303">
        <v>0.0</v>
      </c>
      <c r="C203" s="303">
        <v>0.0</v>
      </c>
      <c r="D203" s="303">
        <v>0.0</v>
      </c>
      <c r="E203" s="303">
        <v>0.0</v>
      </c>
      <c r="F203" s="303">
        <v>0.0</v>
      </c>
      <c r="G203" s="278">
        <v>1.0</v>
      </c>
      <c r="H203" s="303">
        <v>0.0</v>
      </c>
      <c r="I203" s="303">
        <v>0.0</v>
      </c>
      <c r="J203" s="303">
        <v>0.0</v>
      </c>
      <c r="K203" s="303">
        <v>0.0</v>
      </c>
      <c r="L203" s="335">
        <v>0.0</v>
      </c>
      <c r="M203" s="336">
        <v>0.0</v>
      </c>
      <c r="N203" s="303">
        <v>0.0</v>
      </c>
      <c r="O203" s="315"/>
      <c r="P203" s="337"/>
      <c r="Q203" s="316"/>
      <c r="R203" s="317"/>
      <c r="T203" s="329"/>
      <c r="U203" s="246"/>
      <c r="V203" s="317"/>
    </row>
    <row r="204" ht="12.75" customHeight="1">
      <c r="A204" s="277" t="s">
        <v>699</v>
      </c>
      <c r="B204" s="303">
        <v>0.0</v>
      </c>
      <c r="C204" s="303">
        <v>0.0</v>
      </c>
      <c r="D204" s="303">
        <v>0.0</v>
      </c>
      <c r="E204" s="303">
        <v>0.0</v>
      </c>
      <c r="F204" s="303">
        <v>0.0</v>
      </c>
      <c r="G204" s="303">
        <v>0.0</v>
      </c>
      <c r="H204" s="278">
        <v>1.0</v>
      </c>
      <c r="I204" s="303">
        <v>0.0</v>
      </c>
      <c r="J204" s="303">
        <v>0.0</v>
      </c>
      <c r="K204" s="303">
        <v>0.0</v>
      </c>
      <c r="L204" s="335">
        <v>0.0</v>
      </c>
      <c r="M204" s="336">
        <v>0.0</v>
      </c>
      <c r="N204" s="303">
        <v>0.0</v>
      </c>
      <c r="O204" s="315"/>
      <c r="P204" s="337"/>
      <c r="Q204" s="316"/>
      <c r="R204" s="317"/>
      <c r="T204" s="329"/>
      <c r="U204" s="246"/>
      <c r="V204" s="317"/>
    </row>
    <row r="205" ht="12.75" customHeight="1">
      <c r="A205" s="277" t="s">
        <v>718</v>
      </c>
      <c r="B205" s="303">
        <v>0.0</v>
      </c>
      <c r="C205" s="303">
        <v>0.0</v>
      </c>
      <c r="D205" s="303">
        <v>0.0</v>
      </c>
      <c r="E205" s="303">
        <v>0.0</v>
      </c>
      <c r="F205" s="303">
        <v>0.0</v>
      </c>
      <c r="G205" s="303">
        <v>0.0</v>
      </c>
      <c r="H205" s="303">
        <v>0.0</v>
      </c>
      <c r="I205" s="278">
        <v>1.0</v>
      </c>
      <c r="J205" s="303">
        <v>0.0</v>
      </c>
      <c r="K205" s="303">
        <v>0.0</v>
      </c>
      <c r="L205" s="335">
        <v>0.0</v>
      </c>
      <c r="M205" s="336">
        <v>0.0</v>
      </c>
      <c r="N205" s="303">
        <v>0.0</v>
      </c>
      <c r="O205" s="315"/>
      <c r="P205" s="337"/>
      <c r="Q205" s="316"/>
      <c r="R205" s="317"/>
      <c r="T205" s="329"/>
      <c r="U205" s="246"/>
      <c r="V205" s="317"/>
    </row>
    <row r="206" ht="12.75" customHeight="1">
      <c r="M206" s="316"/>
      <c r="N206" s="246"/>
      <c r="O206" s="315"/>
      <c r="Q206" s="316"/>
      <c r="R206" s="317"/>
      <c r="T206" s="329"/>
      <c r="U206" s="246"/>
      <c r="V206" s="317"/>
    </row>
    <row r="207" ht="12.75" customHeight="1">
      <c r="A207" s="309" t="s">
        <v>754</v>
      </c>
      <c r="B207" s="333"/>
      <c r="M207" s="316"/>
      <c r="N207" s="246"/>
      <c r="O207" s="315"/>
      <c r="Q207" s="316"/>
      <c r="R207" s="317"/>
      <c r="T207" s="329"/>
      <c r="U207" s="246"/>
      <c r="V207" s="317"/>
    </row>
    <row r="208" ht="12.75" customHeight="1">
      <c r="A208" s="274" t="s">
        <v>746</v>
      </c>
      <c r="B208" s="275" t="s">
        <v>19</v>
      </c>
      <c r="C208" s="275" t="s">
        <v>5</v>
      </c>
      <c r="D208" s="275" t="s">
        <v>6</v>
      </c>
      <c r="E208" s="275" t="s">
        <v>7</v>
      </c>
      <c r="F208" s="275" t="s">
        <v>8</v>
      </c>
      <c r="G208" s="275" t="s">
        <v>9</v>
      </c>
      <c r="H208" s="275" t="s">
        <v>10</v>
      </c>
      <c r="I208" s="275" t="s">
        <v>11</v>
      </c>
      <c r="J208" s="275" t="s">
        <v>749</v>
      </c>
      <c r="K208" s="275" t="s">
        <v>750</v>
      </c>
      <c r="L208" s="275" t="s">
        <v>751</v>
      </c>
      <c r="M208" s="334" t="s">
        <v>752</v>
      </c>
      <c r="N208" s="275" t="s">
        <v>78</v>
      </c>
      <c r="O208" s="315"/>
      <c r="P208" s="275"/>
      <c r="Q208" s="316"/>
      <c r="R208" s="317"/>
      <c r="T208" s="329"/>
      <c r="U208" s="246"/>
      <c r="V208" s="317"/>
    </row>
    <row r="209" ht="12.75" customHeight="1">
      <c r="A209" s="277" t="s">
        <v>529</v>
      </c>
      <c r="B209" s="278">
        <v>100.0</v>
      </c>
      <c r="C209" s="303">
        <v>0.0</v>
      </c>
      <c r="D209" s="303">
        <v>0.0</v>
      </c>
      <c r="E209" s="303">
        <v>0.0</v>
      </c>
      <c r="F209" s="303">
        <v>0.0</v>
      </c>
      <c r="G209" s="303">
        <v>0.0</v>
      </c>
      <c r="H209" s="303">
        <v>0.0</v>
      </c>
      <c r="I209" s="303">
        <v>0.0</v>
      </c>
      <c r="J209" s="303">
        <v>0.0</v>
      </c>
      <c r="K209" s="303">
        <v>0.0</v>
      </c>
      <c r="L209" s="335">
        <v>0.0</v>
      </c>
      <c r="M209" s="336">
        <v>0.0</v>
      </c>
      <c r="N209" s="303">
        <v>0.0</v>
      </c>
      <c r="O209" s="315"/>
      <c r="P209" s="337"/>
      <c r="Q209" s="316"/>
      <c r="R209" s="317"/>
      <c r="T209" s="329"/>
      <c r="U209" s="246"/>
      <c r="V209" s="317"/>
    </row>
    <row r="210" ht="12.75" customHeight="1">
      <c r="A210" s="277" t="s">
        <v>559</v>
      </c>
      <c r="B210" s="303">
        <v>0.0</v>
      </c>
      <c r="C210" s="278">
        <v>1.0</v>
      </c>
      <c r="D210" s="303">
        <v>0.0</v>
      </c>
      <c r="E210" s="303">
        <v>0.0</v>
      </c>
      <c r="F210" s="303">
        <v>0.0</v>
      </c>
      <c r="G210" s="303">
        <v>0.0</v>
      </c>
      <c r="H210" s="303">
        <v>0.0</v>
      </c>
      <c r="I210" s="303">
        <v>0.0</v>
      </c>
      <c r="J210" s="303">
        <v>0.0</v>
      </c>
      <c r="K210" s="303">
        <v>0.0</v>
      </c>
      <c r="L210" s="335">
        <v>0.0</v>
      </c>
      <c r="M210" s="336">
        <v>0.0</v>
      </c>
      <c r="N210" s="303">
        <v>0.0</v>
      </c>
      <c r="O210" s="315"/>
      <c r="P210" s="337"/>
      <c r="Q210" s="316"/>
      <c r="R210" s="317"/>
      <c r="T210" s="329"/>
      <c r="U210" s="246"/>
      <c r="V210" s="317"/>
    </row>
    <row r="211" ht="12.75" customHeight="1">
      <c r="A211" s="277" t="s">
        <v>588</v>
      </c>
      <c r="B211" s="303">
        <v>0.0</v>
      </c>
      <c r="C211" s="303">
        <v>0.0</v>
      </c>
      <c r="D211" s="278">
        <v>1.0</v>
      </c>
      <c r="E211" s="303">
        <v>0.0</v>
      </c>
      <c r="F211" s="303">
        <v>0.0</v>
      </c>
      <c r="G211" s="303">
        <v>0.0</v>
      </c>
      <c r="H211" s="303">
        <v>0.0</v>
      </c>
      <c r="I211" s="303">
        <v>0.0</v>
      </c>
      <c r="J211" s="303">
        <v>0.0</v>
      </c>
      <c r="K211" s="303">
        <v>0.0</v>
      </c>
      <c r="L211" s="335">
        <v>0.0</v>
      </c>
      <c r="M211" s="336">
        <v>0.0</v>
      </c>
      <c r="N211" s="303">
        <v>0.0</v>
      </c>
      <c r="O211" s="315"/>
      <c r="P211" s="337"/>
      <c r="Q211" s="316"/>
      <c r="R211" s="317"/>
      <c r="T211" s="329"/>
      <c r="U211" s="246"/>
      <c r="V211" s="317"/>
    </row>
    <row r="212" ht="12.75" customHeight="1">
      <c r="A212" s="277" t="s">
        <v>618</v>
      </c>
      <c r="B212" s="303">
        <v>0.0</v>
      </c>
      <c r="C212" s="303">
        <v>0.0</v>
      </c>
      <c r="D212" s="303">
        <v>0.0</v>
      </c>
      <c r="E212" s="278">
        <v>1.0</v>
      </c>
      <c r="F212" s="303">
        <v>0.0</v>
      </c>
      <c r="G212" s="303">
        <v>0.0</v>
      </c>
      <c r="H212" s="303">
        <v>0.0</v>
      </c>
      <c r="I212" s="303">
        <v>0.0</v>
      </c>
      <c r="J212" s="303">
        <v>0.0</v>
      </c>
      <c r="K212" s="303">
        <v>0.0</v>
      </c>
      <c r="L212" s="335">
        <v>0.0</v>
      </c>
      <c r="M212" s="336">
        <v>0.0</v>
      </c>
      <c r="N212" s="303">
        <v>0.0</v>
      </c>
      <c r="O212" s="315"/>
      <c r="P212" s="337"/>
      <c r="Q212" s="316"/>
      <c r="R212" s="317"/>
      <c r="T212" s="329"/>
      <c r="U212" s="246"/>
      <c r="V212" s="317"/>
    </row>
    <row r="213" ht="12.75" customHeight="1">
      <c r="A213" s="277" t="s">
        <v>647</v>
      </c>
      <c r="B213" s="303">
        <v>0.0</v>
      </c>
      <c r="C213" s="303">
        <v>0.0</v>
      </c>
      <c r="D213" s="303">
        <v>0.0</v>
      </c>
      <c r="E213" s="303">
        <v>0.0</v>
      </c>
      <c r="F213" s="278">
        <v>1.0</v>
      </c>
      <c r="G213" s="303">
        <v>0.0</v>
      </c>
      <c r="H213" s="303">
        <v>0.0</v>
      </c>
      <c r="I213" s="303">
        <v>0.0</v>
      </c>
      <c r="J213" s="303">
        <v>0.0</v>
      </c>
      <c r="K213" s="303">
        <v>0.0</v>
      </c>
      <c r="L213" s="335">
        <v>0.0</v>
      </c>
      <c r="M213" s="336">
        <v>0.0</v>
      </c>
      <c r="N213" s="303">
        <v>0.0</v>
      </c>
      <c r="O213" s="315"/>
      <c r="P213" s="337"/>
      <c r="Q213" s="316"/>
      <c r="R213" s="317"/>
      <c r="T213" s="329"/>
      <c r="U213" s="246"/>
      <c r="V213" s="317"/>
    </row>
    <row r="214" ht="12.75" customHeight="1">
      <c r="A214" s="277" t="s">
        <v>675</v>
      </c>
      <c r="B214" s="303">
        <v>0.0</v>
      </c>
      <c r="C214" s="303">
        <v>0.0</v>
      </c>
      <c r="D214" s="303">
        <v>0.0</v>
      </c>
      <c r="E214" s="303">
        <v>0.0</v>
      </c>
      <c r="F214" s="303">
        <v>0.0</v>
      </c>
      <c r="G214" s="278">
        <v>1.0</v>
      </c>
      <c r="H214" s="303">
        <v>0.0</v>
      </c>
      <c r="I214" s="303">
        <v>0.0</v>
      </c>
      <c r="J214" s="303">
        <v>0.0</v>
      </c>
      <c r="K214" s="303">
        <v>0.0</v>
      </c>
      <c r="L214" s="335">
        <v>0.0</v>
      </c>
      <c r="M214" s="336">
        <v>0.0</v>
      </c>
      <c r="N214" s="303">
        <v>0.0</v>
      </c>
      <c r="O214" s="315"/>
      <c r="P214" s="337"/>
      <c r="Q214" s="316"/>
      <c r="R214" s="317"/>
      <c r="T214" s="329"/>
      <c r="U214" s="246"/>
      <c r="V214" s="317"/>
    </row>
    <row r="215" ht="12.75" customHeight="1">
      <c r="A215" s="277" t="s">
        <v>699</v>
      </c>
      <c r="B215" s="303">
        <v>0.0</v>
      </c>
      <c r="C215" s="303">
        <v>0.0</v>
      </c>
      <c r="D215" s="303">
        <v>0.0</v>
      </c>
      <c r="E215" s="303">
        <v>0.0</v>
      </c>
      <c r="F215" s="303">
        <v>0.0</v>
      </c>
      <c r="G215" s="303">
        <v>0.0</v>
      </c>
      <c r="H215" s="278">
        <v>1.0</v>
      </c>
      <c r="I215" s="303">
        <v>0.0</v>
      </c>
      <c r="J215" s="303">
        <v>0.0</v>
      </c>
      <c r="K215" s="303">
        <v>0.0</v>
      </c>
      <c r="L215" s="335">
        <v>0.0</v>
      </c>
      <c r="M215" s="336">
        <v>0.0</v>
      </c>
      <c r="N215" s="303">
        <v>0.0</v>
      </c>
      <c r="O215" s="315"/>
      <c r="P215" s="337"/>
      <c r="Q215" s="316"/>
      <c r="R215" s="317"/>
      <c r="T215" s="329"/>
      <c r="U215" s="246"/>
      <c r="V215" s="317"/>
    </row>
    <row r="216" ht="12.75" customHeight="1">
      <c r="A216" s="277" t="s">
        <v>718</v>
      </c>
      <c r="B216" s="303">
        <v>0.0</v>
      </c>
      <c r="C216" s="303">
        <v>0.0</v>
      </c>
      <c r="D216" s="303">
        <v>0.0</v>
      </c>
      <c r="E216" s="303">
        <v>0.0</v>
      </c>
      <c r="F216" s="303">
        <v>0.0</v>
      </c>
      <c r="G216" s="303">
        <v>0.0</v>
      </c>
      <c r="H216" s="303">
        <v>0.0</v>
      </c>
      <c r="I216" s="278">
        <v>1.0</v>
      </c>
      <c r="J216" s="303">
        <v>0.0</v>
      </c>
      <c r="K216" s="303">
        <v>0.0</v>
      </c>
      <c r="L216" s="335">
        <v>0.0</v>
      </c>
      <c r="M216" s="336">
        <v>0.0</v>
      </c>
      <c r="N216" s="303">
        <v>0.0</v>
      </c>
      <c r="O216" s="315"/>
      <c r="P216" s="337"/>
      <c r="Q216" s="316"/>
      <c r="R216" s="317"/>
      <c r="T216" s="329"/>
      <c r="U216" s="246"/>
      <c r="V216" s="317"/>
    </row>
    <row r="217" ht="12.75" customHeight="1">
      <c r="M217" s="316"/>
      <c r="N217" s="246"/>
      <c r="O217" s="315"/>
      <c r="Q217" s="316"/>
      <c r="R217" s="317"/>
      <c r="T217" s="329"/>
      <c r="U217" s="246"/>
      <c r="V217" s="317"/>
    </row>
    <row r="218" ht="12.75" customHeight="1">
      <c r="A218" s="271" t="s">
        <v>755</v>
      </c>
      <c r="B218" s="333"/>
      <c r="M218" s="316"/>
      <c r="N218" s="246"/>
      <c r="O218" s="315"/>
      <c r="Q218" s="316"/>
      <c r="R218" s="317"/>
      <c r="T218" s="329"/>
      <c r="U218" s="246"/>
      <c r="V218" s="317"/>
    </row>
    <row r="219" ht="12.75" customHeight="1">
      <c r="A219" s="274" t="s">
        <v>756</v>
      </c>
      <c r="B219" s="275" t="s">
        <v>19</v>
      </c>
      <c r="C219" s="275" t="s">
        <v>5</v>
      </c>
      <c r="D219" s="275" t="s">
        <v>6</v>
      </c>
      <c r="E219" s="275" t="s">
        <v>7</v>
      </c>
      <c r="F219" s="275" t="s">
        <v>8</v>
      </c>
      <c r="G219" s="275" t="s">
        <v>9</v>
      </c>
      <c r="H219" s="275" t="s">
        <v>10</v>
      </c>
      <c r="I219" s="275" t="s">
        <v>11</v>
      </c>
      <c r="J219" s="275" t="s">
        <v>749</v>
      </c>
      <c r="K219" s="275" t="s">
        <v>750</v>
      </c>
      <c r="L219" s="275" t="s">
        <v>751</v>
      </c>
      <c r="M219" s="334" t="s">
        <v>752</v>
      </c>
      <c r="N219" s="275" t="s">
        <v>78</v>
      </c>
      <c r="O219" s="315"/>
      <c r="P219" s="275"/>
      <c r="Q219" s="316"/>
      <c r="R219" s="317"/>
      <c r="T219" s="329"/>
      <c r="U219" s="246"/>
      <c r="V219" s="317"/>
    </row>
    <row r="220" ht="12.75" customHeight="1">
      <c r="A220" s="277" t="s">
        <v>757</v>
      </c>
      <c r="B220" s="278">
        <v>250.0</v>
      </c>
      <c r="C220" s="303">
        <v>0.0</v>
      </c>
      <c r="D220" s="303">
        <v>0.0</v>
      </c>
      <c r="E220" s="303">
        <v>0.0</v>
      </c>
      <c r="F220" s="303">
        <v>0.0</v>
      </c>
      <c r="G220" s="303">
        <v>0.0</v>
      </c>
      <c r="H220" s="303">
        <v>0.0</v>
      </c>
      <c r="I220" s="303">
        <v>0.0</v>
      </c>
      <c r="J220" s="303">
        <v>0.0</v>
      </c>
      <c r="K220" s="303">
        <v>0.0</v>
      </c>
      <c r="L220" s="335">
        <v>0.0</v>
      </c>
      <c r="M220" s="336">
        <v>0.0</v>
      </c>
      <c r="N220" s="303">
        <v>0.0</v>
      </c>
      <c r="O220" s="315"/>
      <c r="P220" s="337"/>
      <c r="Q220" s="316"/>
      <c r="R220" s="317"/>
      <c r="T220" s="329"/>
      <c r="U220" s="246"/>
      <c r="V220" s="317"/>
    </row>
    <row r="221" ht="12.75" customHeight="1">
      <c r="A221" s="277" t="s">
        <v>758</v>
      </c>
      <c r="B221" s="278">
        <v>400.0</v>
      </c>
      <c r="C221" s="303">
        <v>0.0</v>
      </c>
      <c r="D221" s="303">
        <v>0.0</v>
      </c>
      <c r="E221" s="303">
        <v>0.0</v>
      </c>
      <c r="F221" s="303">
        <v>0.0</v>
      </c>
      <c r="G221" s="303">
        <v>0.0</v>
      </c>
      <c r="H221" s="303">
        <v>0.0</v>
      </c>
      <c r="I221" s="303">
        <v>0.0</v>
      </c>
      <c r="J221" s="303">
        <v>0.0</v>
      </c>
      <c r="K221" s="303">
        <v>0.0</v>
      </c>
      <c r="L221" s="335">
        <v>0.0</v>
      </c>
      <c r="M221" s="336">
        <v>0.0</v>
      </c>
      <c r="N221" s="303">
        <v>0.0</v>
      </c>
      <c r="O221" s="315"/>
      <c r="P221" s="337"/>
      <c r="Q221" s="316"/>
      <c r="R221" s="317"/>
      <c r="T221" s="329"/>
      <c r="U221" s="246"/>
      <c r="V221" s="317"/>
    </row>
    <row r="222" ht="12.75" customHeight="1">
      <c r="A222" s="277" t="s">
        <v>759</v>
      </c>
      <c r="B222" s="278">
        <v>600.0</v>
      </c>
      <c r="C222" s="303">
        <v>0.0</v>
      </c>
      <c r="D222" s="303">
        <v>0.0</v>
      </c>
      <c r="E222" s="303">
        <v>0.0</v>
      </c>
      <c r="F222" s="303">
        <v>0.0</v>
      </c>
      <c r="G222" s="303">
        <v>0.0</v>
      </c>
      <c r="H222" s="303">
        <v>0.0</v>
      </c>
      <c r="I222" s="303">
        <v>0.0</v>
      </c>
      <c r="J222" s="303">
        <v>0.0</v>
      </c>
      <c r="K222" s="303">
        <v>0.0</v>
      </c>
      <c r="L222" s="335">
        <v>0.0</v>
      </c>
      <c r="M222" s="336">
        <v>0.0</v>
      </c>
      <c r="N222" s="303">
        <v>0.0</v>
      </c>
      <c r="O222" s="315"/>
      <c r="P222" s="337"/>
      <c r="Q222" s="316"/>
      <c r="R222" s="317"/>
      <c r="T222" s="329"/>
      <c r="U222" s="246"/>
      <c r="V222" s="317"/>
    </row>
    <row r="223" ht="12.75" customHeight="1">
      <c r="M223" s="316"/>
      <c r="N223" s="246"/>
      <c r="O223" s="315"/>
      <c r="Q223" s="316"/>
      <c r="R223" s="317"/>
      <c r="T223" s="329"/>
      <c r="U223" s="246"/>
      <c r="V223" s="317"/>
    </row>
    <row r="224" ht="12.75" customHeight="1">
      <c r="M224" s="316"/>
      <c r="N224" s="246"/>
      <c r="O224" s="315"/>
      <c r="Q224" s="316"/>
      <c r="R224" s="317"/>
      <c r="T224" s="329"/>
      <c r="U224" s="246"/>
      <c r="V224" s="317"/>
    </row>
    <row r="225" ht="12.75" customHeight="1">
      <c r="M225" s="316"/>
      <c r="N225" s="246"/>
      <c r="O225" s="315"/>
      <c r="Q225" s="316"/>
      <c r="R225" s="317"/>
      <c r="T225" s="329"/>
      <c r="U225" s="246"/>
      <c r="V225" s="317"/>
    </row>
    <row r="226" ht="12.75" customHeight="1">
      <c r="M226" s="316"/>
      <c r="N226" s="246"/>
      <c r="O226" s="315"/>
      <c r="Q226" s="316"/>
      <c r="R226" s="317"/>
      <c r="T226" s="329"/>
      <c r="U226" s="246"/>
      <c r="V226" s="317"/>
    </row>
    <row r="227" ht="12.75" customHeight="1">
      <c r="M227" s="316"/>
      <c r="N227" s="246"/>
      <c r="O227" s="315"/>
      <c r="Q227" s="316"/>
      <c r="R227" s="317"/>
      <c r="T227" s="329"/>
      <c r="U227" s="246"/>
      <c r="V227" s="317"/>
    </row>
    <row r="228" ht="12.75" customHeight="1">
      <c r="M228" s="316"/>
      <c r="N228" s="246"/>
      <c r="O228" s="315"/>
      <c r="Q228" s="316"/>
      <c r="R228" s="317"/>
      <c r="T228" s="329"/>
      <c r="U228" s="246"/>
      <c r="V228" s="317"/>
    </row>
    <row r="229" ht="12.75" customHeight="1">
      <c r="M229" s="316"/>
      <c r="N229" s="246"/>
      <c r="O229" s="315"/>
      <c r="Q229" s="316"/>
      <c r="R229" s="317"/>
      <c r="T229" s="329"/>
      <c r="U229" s="246"/>
      <c r="V229" s="317"/>
    </row>
    <row r="230" ht="12.75" customHeight="1">
      <c r="M230" s="316"/>
      <c r="N230" s="246"/>
      <c r="O230" s="315"/>
      <c r="Q230" s="316"/>
      <c r="R230" s="317"/>
      <c r="T230" s="329"/>
      <c r="U230" s="246"/>
      <c r="V230" s="317"/>
    </row>
    <row r="231" ht="12.75" customHeight="1">
      <c r="M231" s="316"/>
      <c r="N231" s="246"/>
      <c r="O231" s="315"/>
      <c r="Q231" s="316"/>
      <c r="R231" s="317"/>
      <c r="T231" s="329"/>
      <c r="U231" s="246"/>
      <c r="V231" s="317"/>
    </row>
    <row r="232" ht="12.75" customHeight="1">
      <c r="M232" s="316"/>
      <c r="N232" s="246"/>
      <c r="O232" s="315"/>
      <c r="Q232" s="316"/>
      <c r="R232" s="317"/>
      <c r="T232" s="329"/>
      <c r="U232" s="246"/>
      <c r="V232" s="317"/>
    </row>
    <row r="233" ht="12.75" customHeight="1">
      <c r="M233" s="316"/>
      <c r="N233" s="246"/>
      <c r="O233" s="315"/>
      <c r="Q233" s="316"/>
      <c r="R233" s="317"/>
      <c r="T233" s="329"/>
      <c r="U233" s="246"/>
      <c r="V233" s="317"/>
    </row>
    <row r="234" ht="12.75" customHeight="1">
      <c r="M234" s="316"/>
      <c r="N234" s="246"/>
      <c r="O234" s="315"/>
      <c r="Q234" s="316"/>
      <c r="R234" s="317"/>
      <c r="T234" s="329"/>
      <c r="U234" s="246"/>
      <c r="V234" s="317"/>
    </row>
    <row r="235" ht="12.75" customHeight="1">
      <c r="M235" s="316"/>
      <c r="N235" s="246"/>
      <c r="O235" s="315"/>
      <c r="Q235" s="316"/>
      <c r="R235" s="317"/>
      <c r="T235" s="329"/>
      <c r="U235" s="246"/>
      <c r="V235" s="317"/>
    </row>
    <row r="236" ht="12.75" customHeight="1">
      <c r="M236" s="316"/>
      <c r="N236" s="246"/>
      <c r="O236" s="315"/>
      <c r="Q236" s="316"/>
      <c r="R236" s="317"/>
      <c r="T236" s="329"/>
      <c r="U236" s="246"/>
      <c r="V236" s="317"/>
    </row>
    <row r="237" ht="12.75" customHeight="1">
      <c r="M237" s="316"/>
      <c r="N237" s="246"/>
      <c r="O237" s="315"/>
      <c r="Q237" s="316"/>
      <c r="R237" s="317"/>
      <c r="T237" s="329"/>
      <c r="U237" s="246"/>
      <c r="V237" s="317"/>
    </row>
    <row r="238" ht="12.75" customHeight="1">
      <c r="M238" s="316"/>
      <c r="N238" s="246"/>
      <c r="O238" s="315"/>
      <c r="Q238" s="316"/>
      <c r="R238" s="317"/>
      <c r="T238" s="329"/>
      <c r="U238" s="246"/>
      <c r="V238" s="317"/>
    </row>
    <row r="239" ht="12.75" customHeight="1">
      <c r="M239" s="316"/>
      <c r="N239" s="246"/>
      <c r="O239" s="315"/>
      <c r="Q239" s="316"/>
      <c r="R239" s="317"/>
      <c r="T239" s="329"/>
      <c r="U239" s="246"/>
      <c r="V239" s="317"/>
    </row>
    <row r="240" ht="12.75" customHeight="1">
      <c r="M240" s="316"/>
      <c r="N240" s="246"/>
      <c r="O240" s="315"/>
      <c r="Q240" s="316"/>
      <c r="R240" s="317"/>
      <c r="T240" s="329"/>
      <c r="U240" s="246"/>
      <c r="V240" s="317"/>
    </row>
    <row r="241" ht="12.75" customHeight="1">
      <c r="M241" s="316"/>
      <c r="N241" s="246"/>
      <c r="O241" s="315"/>
      <c r="Q241" s="316"/>
      <c r="R241" s="317"/>
      <c r="T241" s="329"/>
      <c r="U241" s="246"/>
      <c r="V241" s="317"/>
    </row>
    <row r="242" ht="12.75" customHeight="1">
      <c r="M242" s="316"/>
      <c r="N242" s="246"/>
      <c r="O242" s="315"/>
      <c r="Q242" s="316"/>
      <c r="R242" s="317"/>
      <c r="T242" s="329"/>
      <c r="U242" s="246"/>
      <c r="V242" s="317"/>
    </row>
    <row r="243" ht="12.75" customHeight="1">
      <c r="M243" s="316"/>
      <c r="N243" s="246"/>
      <c r="O243" s="315"/>
      <c r="Q243" s="316"/>
      <c r="R243" s="317"/>
      <c r="T243" s="329"/>
      <c r="U243" s="246"/>
      <c r="V243" s="317"/>
    </row>
    <row r="244" ht="12.75" customHeight="1">
      <c r="M244" s="316"/>
      <c r="N244" s="246"/>
      <c r="O244" s="315"/>
      <c r="Q244" s="316"/>
      <c r="R244" s="317"/>
      <c r="T244" s="329"/>
      <c r="U244" s="246"/>
      <c r="V244" s="317"/>
    </row>
    <row r="245" ht="12.75" customHeight="1">
      <c r="M245" s="316"/>
      <c r="N245" s="246"/>
      <c r="O245" s="315"/>
      <c r="Q245" s="316"/>
      <c r="R245" s="317"/>
      <c r="T245" s="329"/>
      <c r="U245" s="246"/>
      <c r="V245" s="317"/>
    </row>
    <row r="246" ht="12.75" customHeight="1">
      <c r="M246" s="316"/>
      <c r="N246" s="246"/>
      <c r="O246" s="315"/>
      <c r="Q246" s="316"/>
      <c r="R246" s="317"/>
      <c r="T246" s="329"/>
      <c r="U246" s="246"/>
      <c r="V246" s="317"/>
    </row>
    <row r="247" ht="12.75" customHeight="1">
      <c r="M247" s="316"/>
      <c r="N247" s="246"/>
      <c r="O247" s="315"/>
      <c r="Q247" s="316"/>
      <c r="R247" s="317"/>
      <c r="T247" s="329"/>
      <c r="U247" s="246"/>
      <c r="V247" s="317"/>
    </row>
    <row r="248" ht="12.75" customHeight="1">
      <c r="M248" s="316"/>
      <c r="N248" s="246"/>
      <c r="O248" s="315"/>
      <c r="Q248" s="316"/>
      <c r="R248" s="317"/>
      <c r="T248" s="329"/>
      <c r="U248" s="246"/>
      <c r="V248" s="317"/>
    </row>
    <row r="249" ht="12.75" customHeight="1">
      <c r="M249" s="316"/>
      <c r="N249" s="246"/>
      <c r="O249" s="315"/>
      <c r="Q249" s="316"/>
      <c r="R249" s="317"/>
      <c r="T249" s="329"/>
      <c r="U249" s="246"/>
      <c r="V249" s="317"/>
    </row>
    <row r="250" ht="12.75" customHeight="1">
      <c r="M250" s="316"/>
      <c r="N250" s="246"/>
      <c r="O250" s="315"/>
      <c r="Q250" s="316"/>
      <c r="R250" s="317"/>
      <c r="T250" s="329"/>
      <c r="U250" s="246"/>
      <c r="V250" s="317"/>
    </row>
    <row r="251" ht="12.75" customHeight="1">
      <c r="M251" s="316"/>
      <c r="N251" s="246"/>
      <c r="O251" s="315"/>
      <c r="Q251" s="316"/>
      <c r="R251" s="317"/>
      <c r="T251" s="329"/>
      <c r="U251" s="246"/>
      <c r="V251" s="317"/>
    </row>
    <row r="252" ht="12.75" customHeight="1">
      <c r="M252" s="316"/>
      <c r="N252" s="246"/>
      <c r="O252" s="315"/>
      <c r="Q252" s="316"/>
      <c r="R252" s="317"/>
      <c r="T252" s="329"/>
      <c r="U252" s="246"/>
      <c r="V252" s="317"/>
    </row>
    <row r="253" ht="12.75" customHeight="1">
      <c r="M253" s="316"/>
      <c r="N253" s="246"/>
      <c r="O253" s="315"/>
      <c r="Q253" s="316"/>
      <c r="R253" s="317"/>
      <c r="T253" s="329"/>
      <c r="U253" s="246"/>
      <c r="V253" s="317"/>
    </row>
    <row r="254" ht="12.75" customHeight="1">
      <c r="M254" s="316"/>
      <c r="N254" s="246"/>
      <c r="O254" s="315"/>
      <c r="Q254" s="316"/>
      <c r="R254" s="317"/>
      <c r="T254" s="329"/>
      <c r="U254" s="246"/>
      <c r="V254" s="317"/>
    </row>
    <row r="255" ht="12.75" customHeight="1">
      <c r="M255" s="316"/>
      <c r="N255" s="246"/>
      <c r="O255" s="315"/>
      <c r="Q255" s="316"/>
      <c r="R255" s="317"/>
      <c r="T255" s="329"/>
      <c r="U255" s="246"/>
      <c r="V255" s="317"/>
    </row>
    <row r="256" ht="12.75" customHeight="1">
      <c r="M256" s="316"/>
      <c r="N256" s="246"/>
      <c r="O256" s="315"/>
      <c r="Q256" s="316"/>
      <c r="R256" s="317"/>
      <c r="T256" s="329"/>
      <c r="U256" s="246"/>
      <c r="V256" s="317"/>
    </row>
    <row r="257" ht="12.75" customHeight="1">
      <c r="M257" s="316"/>
      <c r="N257" s="246"/>
      <c r="O257" s="315"/>
      <c r="Q257" s="316"/>
      <c r="R257" s="317"/>
      <c r="T257" s="329"/>
      <c r="U257" s="246"/>
      <c r="V257" s="317"/>
    </row>
    <row r="258" ht="12.75" customHeight="1">
      <c r="M258" s="316"/>
      <c r="N258" s="246"/>
      <c r="O258" s="315"/>
      <c r="Q258" s="316"/>
      <c r="R258" s="317"/>
      <c r="T258" s="329"/>
      <c r="U258" s="246"/>
      <c r="V258" s="317"/>
    </row>
    <row r="259" ht="12.75" customHeight="1">
      <c r="M259" s="316"/>
      <c r="N259" s="246"/>
      <c r="O259" s="315"/>
      <c r="Q259" s="316"/>
      <c r="R259" s="317"/>
      <c r="T259" s="329"/>
      <c r="U259" s="246"/>
      <c r="V259" s="317"/>
    </row>
    <row r="260" ht="12.75" customHeight="1">
      <c r="M260" s="316"/>
      <c r="N260" s="246"/>
      <c r="O260" s="315"/>
      <c r="Q260" s="316"/>
      <c r="R260" s="317"/>
      <c r="T260" s="329"/>
      <c r="U260" s="246"/>
      <c r="V260" s="317"/>
    </row>
    <row r="261" ht="12.75" customHeight="1">
      <c r="M261" s="316"/>
      <c r="N261" s="246"/>
      <c r="O261" s="315"/>
      <c r="Q261" s="316"/>
      <c r="R261" s="317"/>
      <c r="T261" s="329"/>
      <c r="U261" s="246"/>
      <c r="V261" s="317"/>
    </row>
    <row r="262" ht="12.75" customHeight="1">
      <c r="M262" s="316"/>
      <c r="N262" s="246"/>
      <c r="O262" s="315"/>
      <c r="Q262" s="316"/>
      <c r="R262" s="317"/>
      <c r="T262" s="329"/>
      <c r="U262" s="246"/>
      <c r="V262" s="317"/>
    </row>
    <row r="263" ht="12.75" customHeight="1">
      <c r="M263" s="316"/>
      <c r="N263" s="246"/>
      <c r="O263" s="315"/>
      <c r="Q263" s="316"/>
      <c r="R263" s="317"/>
      <c r="T263" s="329"/>
      <c r="U263" s="246"/>
      <c r="V263" s="317"/>
    </row>
    <row r="264" ht="12.75" customHeight="1">
      <c r="M264" s="316"/>
      <c r="N264" s="246"/>
      <c r="O264" s="315"/>
      <c r="Q264" s="316"/>
      <c r="R264" s="317"/>
      <c r="T264" s="329"/>
      <c r="U264" s="246"/>
      <c r="V264" s="317"/>
    </row>
    <row r="265" ht="12.75" customHeight="1">
      <c r="M265" s="316"/>
      <c r="N265" s="246"/>
      <c r="O265" s="315"/>
      <c r="Q265" s="316"/>
      <c r="R265" s="317"/>
      <c r="T265" s="329"/>
      <c r="U265" s="246"/>
      <c r="V265" s="317"/>
    </row>
    <row r="266" ht="12.75" customHeight="1">
      <c r="M266" s="316"/>
      <c r="N266" s="246"/>
      <c r="O266" s="315"/>
      <c r="Q266" s="316"/>
      <c r="R266" s="317"/>
      <c r="T266" s="329"/>
      <c r="U266" s="246"/>
      <c r="V266" s="317"/>
    </row>
    <row r="267" ht="12.75" customHeight="1">
      <c r="M267" s="316"/>
      <c r="N267" s="246"/>
      <c r="O267" s="315"/>
      <c r="Q267" s="316"/>
      <c r="R267" s="317"/>
      <c r="T267" s="329"/>
      <c r="U267" s="246"/>
      <c r="V267" s="317"/>
    </row>
    <row r="268" ht="12.75" customHeight="1">
      <c r="M268" s="316"/>
      <c r="N268" s="246"/>
      <c r="O268" s="315"/>
      <c r="Q268" s="316"/>
      <c r="R268" s="317"/>
      <c r="T268" s="329"/>
      <c r="U268" s="246"/>
      <c r="V268" s="317"/>
    </row>
    <row r="269" ht="12.75" customHeight="1">
      <c r="M269" s="316"/>
      <c r="N269" s="246"/>
      <c r="O269" s="315"/>
      <c r="Q269" s="316"/>
      <c r="R269" s="317"/>
      <c r="T269" s="329"/>
      <c r="U269" s="246"/>
      <c r="V269" s="317"/>
    </row>
    <row r="270" ht="12.75" customHeight="1">
      <c r="M270" s="316"/>
      <c r="N270" s="246"/>
      <c r="O270" s="315"/>
      <c r="Q270" s="316"/>
      <c r="R270" s="317"/>
      <c r="T270" s="329"/>
      <c r="U270" s="246"/>
      <c r="V270" s="317"/>
    </row>
    <row r="271" ht="12.75" customHeight="1">
      <c r="M271" s="316"/>
      <c r="N271" s="246"/>
      <c r="O271" s="315"/>
      <c r="Q271" s="316"/>
      <c r="R271" s="317"/>
      <c r="T271" s="329"/>
      <c r="U271" s="246"/>
      <c r="V271" s="317"/>
    </row>
    <row r="272" ht="12.75" customHeight="1">
      <c r="M272" s="316"/>
      <c r="N272" s="246"/>
      <c r="O272" s="315"/>
      <c r="Q272" s="316"/>
      <c r="R272" s="317"/>
      <c r="T272" s="329"/>
      <c r="U272" s="246"/>
      <c r="V272" s="317"/>
    </row>
    <row r="273" ht="12.75" customHeight="1">
      <c r="M273" s="316"/>
      <c r="N273" s="246"/>
      <c r="O273" s="315"/>
      <c r="Q273" s="316"/>
      <c r="R273" s="317"/>
      <c r="T273" s="329"/>
      <c r="U273" s="246"/>
      <c r="V273" s="317"/>
    </row>
    <row r="274" ht="12.75" customHeight="1">
      <c r="M274" s="316"/>
      <c r="N274" s="246"/>
      <c r="O274" s="315"/>
      <c r="Q274" s="316"/>
      <c r="R274" s="317"/>
      <c r="T274" s="329"/>
      <c r="U274" s="246"/>
      <c r="V274" s="317"/>
    </row>
    <row r="275" ht="12.75" customHeight="1">
      <c r="M275" s="316"/>
      <c r="N275" s="246"/>
      <c r="O275" s="315"/>
      <c r="Q275" s="316"/>
      <c r="R275" s="317"/>
      <c r="T275" s="329"/>
      <c r="U275" s="246"/>
      <c r="V275" s="317"/>
    </row>
    <row r="276" ht="12.75" customHeight="1">
      <c r="M276" s="316"/>
      <c r="N276" s="246"/>
      <c r="O276" s="315"/>
      <c r="Q276" s="316"/>
      <c r="R276" s="317"/>
      <c r="T276" s="329"/>
      <c r="U276" s="246"/>
      <c r="V276" s="317"/>
    </row>
    <row r="277" ht="12.75" customHeight="1">
      <c r="M277" s="316"/>
      <c r="N277" s="246"/>
      <c r="O277" s="315"/>
      <c r="Q277" s="316"/>
      <c r="R277" s="317"/>
      <c r="T277" s="329"/>
      <c r="U277" s="246"/>
      <c r="V277" s="317"/>
    </row>
    <row r="278" ht="12.75" customHeight="1">
      <c r="M278" s="316"/>
      <c r="N278" s="246"/>
      <c r="O278" s="315"/>
      <c r="Q278" s="316"/>
      <c r="R278" s="317"/>
      <c r="T278" s="329"/>
      <c r="U278" s="246"/>
      <c r="V278" s="317"/>
    </row>
    <row r="279" ht="12.75" customHeight="1">
      <c r="M279" s="316"/>
      <c r="N279" s="246"/>
      <c r="O279" s="315"/>
      <c r="Q279" s="316"/>
      <c r="R279" s="317"/>
      <c r="T279" s="329"/>
      <c r="U279" s="246"/>
      <c r="V279" s="317"/>
    </row>
    <row r="280" ht="12.75" customHeight="1">
      <c r="M280" s="316"/>
      <c r="N280" s="246"/>
      <c r="O280" s="315"/>
      <c r="Q280" s="316"/>
      <c r="R280" s="317"/>
      <c r="T280" s="329"/>
      <c r="U280" s="246"/>
      <c r="V280" s="317"/>
    </row>
    <row r="281" ht="12.75" customHeight="1">
      <c r="M281" s="316"/>
      <c r="N281" s="246"/>
      <c r="O281" s="315"/>
      <c r="Q281" s="316"/>
      <c r="R281" s="317"/>
      <c r="T281" s="329"/>
      <c r="U281" s="246"/>
      <c r="V281" s="317"/>
    </row>
    <row r="282" ht="12.75" customHeight="1">
      <c r="M282" s="316"/>
      <c r="N282" s="246"/>
      <c r="O282" s="315"/>
      <c r="Q282" s="316"/>
      <c r="R282" s="317"/>
      <c r="T282" s="329"/>
      <c r="U282" s="246"/>
      <c r="V282" s="317"/>
    </row>
    <row r="283" ht="12.75" customHeight="1">
      <c r="M283" s="316"/>
      <c r="N283" s="246"/>
      <c r="O283" s="315"/>
      <c r="Q283" s="316"/>
      <c r="R283" s="317"/>
      <c r="T283" s="329"/>
      <c r="U283" s="246"/>
      <c r="V283" s="317"/>
    </row>
    <row r="284" ht="12.75" customHeight="1">
      <c r="M284" s="316"/>
      <c r="N284" s="246"/>
      <c r="O284" s="315"/>
      <c r="Q284" s="316"/>
      <c r="R284" s="317"/>
      <c r="T284" s="329"/>
      <c r="U284" s="246"/>
      <c r="V284" s="317"/>
    </row>
    <row r="285" ht="12.75" customHeight="1">
      <c r="M285" s="316"/>
      <c r="N285" s="246"/>
      <c r="O285" s="315"/>
      <c r="Q285" s="316"/>
      <c r="R285" s="317"/>
      <c r="T285" s="329"/>
      <c r="U285" s="246"/>
      <c r="V285" s="317"/>
    </row>
    <row r="286" ht="12.75" customHeight="1">
      <c r="M286" s="316"/>
      <c r="N286" s="246"/>
      <c r="O286" s="315"/>
      <c r="Q286" s="316"/>
      <c r="R286" s="317"/>
      <c r="T286" s="329"/>
      <c r="U286" s="246"/>
      <c r="V286" s="317"/>
    </row>
    <row r="287" ht="12.75" customHeight="1">
      <c r="M287" s="316"/>
      <c r="N287" s="246"/>
      <c r="O287" s="315"/>
      <c r="Q287" s="316"/>
      <c r="R287" s="317"/>
      <c r="T287" s="329"/>
      <c r="U287" s="246"/>
      <c r="V287" s="317"/>
    </row>
    <row r="288" ht="12.75" customHeight="1">
      <c r="M288" s="316"/>
      <c r="N288" s="246"/>
      <c r="O288" s="315"/>
      <c r="Q288" s="316"/>
      <c r="R288" s="317"/>
      <c r="T288" s="329"/>
      <c r="U288" s="246"/>
      <c r="V288" s="317"/>
    </row>
    <row r="289" ht="12.75" customHeight="1">
      <c r="M289" s="316"/>
      <c r="N289" s="246"/>
      <c r="O289" s="315"/>
      <c r="Q289" s="316"/>
      <c r="R289" s="317"/>
      <c r="T289" s="329"/>
      <c r="U289" s="246"/>
      <c r="V289" s="317"/>
    </row>
    <row r="290" ht="12.75" customHeight="1">
      <c r="M290" s="316"/>
      <c r="N290" s="246"/>
      <c r="O290" s="315"/>
      <c r="Q290" s="316"/>
      <c r="R290" s="317"/>
      <c r="T290" s="329"/>
      <c r="U290" s="246"/>
      <c r="V290" s="317"/>
    </row>
    <row r="291" ht="12.75" customHeight="1">
      <c r="M291" s="316"/>
      <c r="N291" s="246"/>
      <c r="O291" s="315"/>
      <c r="Q291" s="316"/>
      <c r="R291" s="317"/>
      <c r="T291" s="329"/>
      <c r="U291" s="246"/>
      <c r="V291" s="317"/>
    </row>
    <row r="292" ht="12.75" customHeight="1">
      <c r="M292" s="316"/>
      <c r="N292" s="246"/>
      <c r="O292" s="315"/>
      <c r="Q292" s="316"/>
      <c r="R292" s="317"/>
      <c r="T292" s="329"/>
      <c r="U292" s="246"/>
      <c r="V292" s="317"/>
    </row>
    <row r="293" ht="12.75" customHeight="1">
      <c r="M293" s="316"/>
      <c r="N293" s="246"/>
      <c r="O293" s="315"/>
      <c r="Q293" s="316"/>
      <c r="R293" s="317"/>
      <c r="T293" s="329"/>
      <c r="U293" s="246"/>
      <c r="V293" s="317"/>
    </row>
    <row r="294" ht="12.75" customHeight="1">
      <c r="M294" s="316"/>
      <c r="N294" s="246"/>
      <c r="O294" s="315"/>
      <c r="Q294" s="316"/>
      <c r="R294" s="317"/>
      <c r="T294" s="329"/>
      <c r="U294" s="246"/>
      <c r="V294" s="317"/>
    </row>
    <row r="295" ht="12.75" customHeight="1">
      <c r="M295" s="316"/>
      <c r="N295" s="246"/>
      <c r="O295" s="315"/>
      <c r="Q295" s="316"/>
      <c r="R295" s="317"/>
      <c r="T295" s="329"/>
      <c r="U295" s="246"/>
      <c r="V295" s="317"/>
    </row>
    <row r="296" ht="12.75" customHeight="1">
      <c r="M296" s="316"/>
      <c r="N296" s="246"/>
      <c r="O296" s="315"/>
      <c r="Q296" s="316"/>
      <c r="R296" s="317"/>
      <c r="T296" s="329"/>
      <c r="U296" s="246"/>
      <c r="V296" s="317"/>
    </row>
    <row r="297" ht="12.75" customHeight="1">
      <c r="M297" s="316"/>
      <c r="N297" s="246"/>
      <c r="O297" s="315"/>
      <c r="Q297" s="316"/>
      <c r="R297" s="317"/>
      <c r="T297" s="329"/>
      <c r="U297" s="246"/>
      <c r="V297" s="317"/>
    </row>
    <row r="298" ht="12.75" customHeight="1">
      <c r="M298" s="316"/>
      <c r="N298" s="246"/>
      <c r="O298" s="315"/>
      <c r="Q298" s="316"/>
      <c r="R298" s="317"/>
      <c r="T298" s="329"/>
      <c r="U298" s="246"/>
      <c r="V298" s="317"/>
    </row>
    <row r="299" ht="12.75" customHeight="1">
      <c r="M299" s="316"/>
      <c r="N299" s="246"/>
      <c r="O299" s="315"/>
      <c r="Q299" s="316"/>
      <c r="R299" s="317"/>
      <c r="T299" s="329"/>
      <c r="U299" s="246"/>
      <c r="V299" s="317"/>
    </row>
    <row r="300" ht="12.75" customHeight="1">
      <c r="M300" s="316"/>
      <c r="N300" s="246"/>
      <c r="O300" s="315"/>
      <c r="Q300" s="316"/>
      <c r="R300" s="317"/>
      <c r="T300" s="329"/>
      <c r="U300" s="246"/>
      <c r="V300" s="317"/>
    </row>
    <row r="301" ht="12.75" customHeight="1">
      <c r="M301" s="316"/>
      <c r="N301" s="246"/>
      <c r="O301" s="315"/>
      <c r="Q301" s="316"/>
      <c r="R301" s="317"/>
      <c r="T301" s="329"/>
      <c r="U301" s="246"/>
      <c r="V301" s="317"/>
    </row>
    <row r="302" ht="12.75" customHeight="1">
      <c r="M302" s="316"/>
      <c r="N302" s="246"/>
      <c r="O302" s="315"/>
      <c r="Q302" s="316"/>
      <c r="R302" s="317"/>
      <c r="T302" s="329"/>
      <c r="U302" s="246"/>
      <c r="V302" s="317"/>
    </row>
    <row r="303" ht="12.75" customHeight="1">
      <c r="M303" s="316"/>
      <c r="N303" s="246"/>
      <c r="O303" s="315"/>
      <c r="Q303" s="316"/>
      <c r="R303" s="317"/>
      <c r="T303" s="329"/>
      <c r="U303" s="246"/>
      <c r="V303" s="317"/>
    </row>
    <row r="304" ht="12.75" customHeight="1">
      <c r="M304" s="316"/>
      <c r="N304" s="246"/>
      <c r="O304" s="315"/>
      <c r="Q304" s="316"/>
      <c r="R304" s="317"/>
      <c r="T304" s="329"/>
      <c r="U304" s="246"/>
      <c r="V304" s="317"/>
    </row>
    <row r="305" ht="12.75" customHeight="1">
      <c r="M305" s="316"/>
      <c r="N305" s="246"/>
      <c r="O305" s="315"/>
      <c r="Q305" s="316"/>
      <c r="R305" s="317"/>
      <c r="T305" s="329"/>
      <c r="U305" s="246"/>
      <c r="V305" s="317"/>
    </row>
    <row r="306" ht="12.75" customHeight="1">
      <c r="M306" s="316"/>
      <c r="N306" s="246"/>
      <c r="O306" s="315"/>
      <c r="Q306" s="316"/>
      <c r="R306" s="317"/>
      <c r="T306" s="329"/>
      <c r="U306" s="246"/>
      <c r="V306" s="317"/>
    </row>
    <row r="307" ht="12.75" customHeight="1">
      <c r="M307" s="316"/>
      <c r="N307" s="246"/>
      <c r="O307" s="315"/>
      <c r="Q307" s="316"/>
      <c r="R307" s="317"/>
      <c r="T307" s="329"/>
      <c r="U307" s="246"/>
      <c r="V307" s="317"/>
    </row>
    <row r="308" ht="12.75" customHeight="1">
      <c r="M308" s="316"/>
      <c r="N308" s="246"/>
      <c r="O308" s="315"/>
      <c r="Q308" s="316"/>
      <c r="R308" s="317"/>
      <c r="T308" s="329"/>
      <c r="U308" s="246"/>
      <c r="V308" s="317"/>
    </row>
    <row r="309" ht="12.75" customHeight="1">
      <c r="M309" s="316"/>
      <c r="N309" s="246"/>
      <c r="O309" s="315"/>
      <c r="Q309" s="316"/>
      <c r="R309" s="317"/>
      <c r="T309" s="329"/>
      <c r="U309" s="246"/>
      <c r="V309" s="317"/>
    </row>
    <row r="310" ht="12.75" customHeight="1">
      <c r="M310" s="316"/>
      <c r="N310" s="246"/>
      <c r="O310" s="315"/>
      <c r="Q310" s="316"/>
      <c r="R310" s="317"/>
      <c r="T310" s="329"/>
      <c r="U310" s="246"/>
      <c r="V310" s="317"/>
    </row>
    <row r="311" ht="12.75" customHeight="1">
      <c r="M311" s="316"/>
      <c r="N311" s="246"/>
      <c r="O311" s="315"/>
      <c r="Q311" s="316"/>
      <c r="R311" s="317"/>
      <c r="T311" s="329"/>
      <c r="U311" s="246"/>
      <c r="V311" s="317"/>
    </row>
    <row r="312" ht="12.75" customHeight="1">
      <c r="M312" s="316"/>
      <c r="N312" s="246"/>
      <c r="O312" s="315"/>
      <c r="Q312" s="316"/>
      <c r="R312" s="317"/>
      <c r="T312" s="329"/>
      <c r="U312" s="246"/>
      <c r="V312" s="317"/>
    </row>
    <row r="313" ht="12.75" customHeight="1">
      <c r="M313" s="316"/>
      <c r="N313" s="246"/>
      <c r="O313" s="315"/>
      <c r="Q313" s="316"/>
      <c r="R313" s="317"/>
      <c r="T313" s="329"/>
      <c r="U313" s="246"/>
      <c r="V313" s="317"/>
    </row>
    <row r="314" ht="12.75" customHeight="1">
      <c r="M314" s="316"/>
      <c r="N314" s="246"/>
      <c r="O314" s="315"/>
      <c r="Q314" s="316"/>
      <c r="R314" s="317"/>
      <c r="T314" s="329"/>
      <c r="U314" s="246"/>
      <c r="V314" s="317"/>
    </row>
    <row r="315" ht="12.75" customHeight="1">
      <c r="M315" s="316"/>
      <c r="N315" s="246"/>
      <c r="O315" s="315"/>
      <c r="Q315" s="316"/>
      <c r="R315" s="317"/>
      <c r="T315" s="329"/>
      <c r="U315" s="246"/>
      <c r="V315" s="317"/>
    </row>
    <row r="316" ht="12.75" customHeight="1">
      <c r="M316" s="316"/>
      <c r="N316" s="246"/>
      <c r="O316" s="315"/>
      <c r="Q316" s="316"/>
      <c r="R316" s="317"/>
      <c r="T316" s="329"/>
      <c r="U316" s="246"/>
      <c r="V316" s="317"/>
    </row>
    <row r="317" ht="12.75" customHeight="1">
      <c r="M317" s="316"/>
      <c r="N317" s="246"/>
      <c r="O317" s="315"/>
      <c r="Q317" s="316"/>
      <c r="R317" s="317"/>
      <c r="T317" s="329"/>
      <c r="U317" s="246"/>
      <c r="V317" s="317"/>
    </row>
    <row r="318" ht="12.75" customHeight="1">
      <c r="M318" s="316"/>
      <c r="N318" s="246"/>
      <c r="O318" s="315"/>
      <c r="Q318" s="316"/>
      <c r="R318" s="317"/>
      <c r="T318" s="329"/>
      <c r="U318" s="246"/>
      <c r="V318" s="317"/>
    </row>
    <row r="319" ht="12.75" customHeight="1">
      <c r="M319" s="316"/>
      <c r="N319" s="246"/>
      <c r="O319" s="315"/>
      <c r="Q319" s="316"/>
      <c r="R319" s="317"/>
      <c r="T319" s="329"/>
      <c r="U319" s="246"/>
      <c r="V319" s="317"/>
    </row>
    <row r="320" ht="12.75" customHeight="1">
      <c r="M320" s="316"/>
      <c r="N320" s="246"/>
      <c r="O320" s="315"/>
      <c r="Q320" s="316"/>
      <c r="R320" s="317"/>
      <c r="T320" s="329"/>
      <c r="U320" s="246"/>
      <c r="V320" s="317"/>
    </row>
    <row r="321" ht="12.75" customHeight="1">
      <c r="M321" s="316"/>
      <c r="N321" s="246"/>
      <c r="O321" s="315"/>
      <c r="Q321" s="316"/>
      <c r="R321" s="317"/>
      <c r="T321" s="329"/>
      <c r="U321" s="246"/>
      <c r="V321" s="317"/>
    </row>
    <row r="322" ht="12.75" customHeight="1">
      <c r="M322" s="316"/>
      <c r="N322" s="246"/>
      <c r="O322" s="315"/>
      <c r="Q322" s="316"/>
      <c r="R322" s="317"/>
      <c r="T322" s="329"/>
      <c r="U322" s="246"/>
      <c r="V322" s="317"/>
    </row>
    <row r="323" ht="12.75" customHeight="1">
      <c r="M323" s="316"/>
      <c r="N323" s="246"/>
      <c r="O323" s="315"/>
      <c r="Q323" s="316"/>
      <c r="R323" s="317"/>
      <c r="T323" s="329"/>
      <c r="U323" s="246"/>
      <c r="V323" s="317"/>
    </row>
    <row r="324" ht="12.75" customHeight="1">
      <c r="M324" s="316"/>
      <c r="N324" s="246"/>
      <c r="O324" s="315"/>
      <c r="Q324" s="316"/>
      <c r="R324" s="317"/>
      <c r="T324" s="329"/>
      <c r="U324" s="246"/>
      <c r="V324" s="317"/>
    </row>
    <row r="325" ht="12.75" customHeight="1">
      <c r="M325" s="316"/>
      <c r="N325" s="246"/>
      <c r="O325" s="315"/>
      <c r="Q325" s="316"/>
      <c r="R325" s="317"/>
      <c r="T325" s="329"/>
      <c r="U325" s="246"/>
      <c r="V325" s="317"/>
    </row>
    <row r="326" ht="12.75" customHeight="1">
      <c r="M326" s="316"/>
      <c r="N326" s="246"/>
      <c r="O326" s="315"/>
      <c r="Q326" s="316"/>
      <c r="R326" s="317"/>
      <c r="T326" s="329"/>
      <c r="U326" s="246"/>
      <c r="V326" s="317"/>
    </row>
    <row r="327" ht="12.75" customHeight="1">
      <c r="M327" s="316"/>
      <c r="N327" s="246"/>
      <c r="O327" s="315"/>
      <c r="Q327" s="316"/>
      <c r="R327" s="317"/>
      <c r="T327" s="329"/>
      <c r="U327" s="246"/>
      <c r="V327" s="317"/>
    </row>
    <row r="328" ht="12.75" customHeight="1">
      <c r="M328" s="316"/>
      <c r="N328" s="246"/>
      <c r="O328" s="315"/>
      <c r="Q328" s="316"/>
      <c r="R328" s="317"/>
      <c r="T328" s="329"/>
      <c r="U328" s="246"/>
      <c r="V328" s="317"/>
    </row>
    <row r="329" ht="12.75" customHeight="1">
      <c r="M329" s="316"/>
      <c r="N329" s="246"/>
      <c r="O329" s="315"/>
      <c r="Q329" s="316"/>
      <c r="R329" s="317"/>
      <c r="T329" s="329"/>
      <c r="U329" s="246"/>
      <c r="V329" s="317"/>
    </row>
    <row r="330" ht="12.75" customHeight="1">
      <c r="M330" s="316"/>
      <c r="N330" s="246"/>
      <c r="O330" s="315"/>
      <c r="Q330" s="316"/>
      <c r="R330" s="317"/>
      <c r="T330" s="329"/>
      <c r="U330" s="246"/>
      <c r="V330" s="317"/>
    </row>
    <row r="331" ht="12.75" customHeight="1">
      <c r="M331" s="316"/>
      <c r="N331" s="246"/>
      <c r="O331" s="315"/>
      <c r="Q331" s="316"/>
      <c r="R331" s="317"/>
      <c r="T331" s="329"/>
      <c r="U331" s="246"/>
      <c r="V331" s="317"/>
    </row>
    <row r="332" ht="12.75" customHeight="1">
      <c r="M332" s="316"/>
      <c r="N332" s="246"/>
      <c r="O332" s="315"/>
      <c r="Q332" s="316"/>
      <c r="R332" s="317"/>
      <c r="T332" s="329"/>
      <c r="U332" s="246"/>
      <c r="V332" s="317"/>
    </row>
    <row r="333" ht="12.75" customHeight="1">
      <c r="M333" s="316"/>
      <c r="N333" s="246"/>
      <c r="O333" s="315"/>
      <c r="Q333" s="316"/>
      <c r="R333" s="317"/>
      <c r="T333" s="329"/>
      <c r="U333" s="246"/>
      <c r="V333" s="317"/>
    </row>
    <row r="334" ht="12.75" customHeight="1">
      <c r="M334" s="316"/>
      <c r="N334" s="246"/>
      <c r="O334" s="315"/>
      <c r="Q334" s="316"/>
      <c r="R334" s="317"/>
      <c r="T334" s="329"/>
      <c r="U334" s="246"/>
      <c r="V334" s="317"/>
    </row>
    <row r="335" ht="12.75" customHeight="1">
      <c r="M335" s="316"/>
      <c r="N335" s="246"/>
      <c r="O335" s="315"/>
      <c r="Q335" s="316"/>
      <c r="R335" s="317"/>
      <c r="T335" s="329"/>
      <c r="U335" s="246"/>
      <c r="V335" s="317"/>
    </row>
    <row r="336" ht="12.75" customHeight="1">
      <c r="M336" s="316"/>
      <c r="N336" s="246"/>
      <c r="O336" s="315"/>
      <c r="Q336" s="316"/>
      <c r="R336" s="317"/>
      <c r="T336" s="329"/>
      <c r="U336" s="246"/>
      <c r="V336" s="317"/>
    </row>
    <row r="337" ht="12.75" customHeight="1">
      <c r="M337" s="316"/>
      <c r="N337" s="246"/>
      <c r="O337" s="315"/>
      <c r="Q337" s="316"/>
      <c r="R337" s="317"/>
      <c r="T337" s="329"/>
      <c r="U337" s="246"/>
      <c r="V337" s="317"/>
    </row>
    <row r="338" ht="12.75" customHeight="1">
      <c r="M338" s="316"/>
      <c r="N338" s="246"/>
      <c r="O338" s="315"/>
      <c r="Q338" s="316"/>
      <c r="R338" s="317"/>
      <c r="T338" s="329"/>
      <c r="U338" s="246"/>
      <c r="V338" s="317"/>
    </row>
    <row r="339" ht="12.75" customHeight="1">
      <c r="M339" s="316"/>
      <c r="N339" s="246"/>
      <c r="O339" s="315"/>
      <c r="Q339" s="316"/>
      <c r="R339" s="317"/>
      <c r="T339" s="329"/>
      <c r="U339" s="246"/>
      <c r="V339" s="317"/>
    </row>
    <row r="340" ht="12.75" customHeight="1">
      <c r="M340" s="316"/>
      <c r="N340" s="246"/>
      <c r="O340" s="315"/>
      <c r="Q340" s="316"/>
      <c r="R340" s="317"/>
      <c r="T340" s="329"/>
      <c r="U340" s="246"/>
      <c r="V340" s="317"/>
    </row>
    <row r="341" ht="12.75" customHeight="1">
      <c r="M341" s="316"/>
      <c r="N341" s="246"/>
      <c r="O341" s="315"/>
      <c r="Q341" s="316"/>
      <c r="R341" s="317"/>
      <c r="T341" s="329"/>
      <c r="U341" s="246"/>
      <c r="V341" s="317"/>
    </row>
    <row r="342" ht="12.75" customHeight="1">
      <c r="M342" s="316"/>
      <c r="N342" s="246"/>
      <c r="O342" s="315"/>
      <c r="Q342" s="316"/>
      <c r="R342" s="317"/>
      <c r="T342" s="329"/>
      <c r="U342" s="246"/>
      <c r="V342" s="317"/>
    </row>
    <row r="343" ht="12.75" customHeight="1">
      <c r="M343" s="316"/>
      <c r="N343" s="246"/>
      <c r="O343" s="315"/>
      <c r="Q343" s="316"/>
      <c r="R343" s="317"/>
      <c r="T343" s="329"/>
      <c r="U343" s="246"/>
      <c r="V343" s="317"/>
    </row>
    <row r="344" ht="12.75" customHeight="1">
      <c r="M344" s="316"/>
      <c r="N344" s="246"/>
      <c r="O344" s="315"/>
      <c r="Q344" s="316"/>
      <c r="R344" s="317"/>
      <c r="T344" s="329"/>
      <c r="U344" s="246"/>
      <c r="V344" s="317"/>
    </row>
    <row r="345" ht="12.75" customHeight="1">
      <c r="M345" s="316"/>
      <c r="N345" s="246"/>
      <c r="O345" s="315"/>
      <c r="Q345" s="316"/>
      <c r="R345" s="317"/>
      <c r="T345" s="329"/>
      <c r="U345" s="246"/>
      <c r="V345" s="317"/>
    </row>
    <row r="346" ht="12.75" customHeight="1">
      <c r="M346" s="316"/>
      <c r="N346" s="246"/>
      <c r="O346" s="315"/>
      <c r="Q346" s="316"/>
      <c r="R346" s="317"/>
      <c r="T346" s="329"/>
      <c r="U346" s="246"/>
      <c r="V346" s="317"/>
    </row>
    <row r="347" ht="12.75" customHeight="1">
      <c r="M347" s="316"/>
      <c r="N347" s="246"/>
      <c r="O347" s="315"/>
      <c r="Q347" s="316"/>
      <c r="R347" s="317"/>
      <c r="T347" s="329"/>
      <c r="U347" s="246"/>
      <c r="V347" s="317"/>
    </row>
    <row r="348" ht="12.75" customHeight="1">
      <c r="M348" s="316"/>
      <c r="N348" s="246"/>
      <c r="O348" s="315"/>
      <c r="Q348" s="316"/>
      <c r="R348" s="317"/>
      <c r="T348" s="329"/>
      <c r="U348" s="246"/>
      <c r="V348" s="317"/>
    </row>
    <row r="349" ht="12.75" customHeight="1">
      <c r="M349" s="316"/>
      <c r="N349" s="246"/>
      <c r="O349" s="315"/>
      <c r="Q349" s="316"/>
      <c r="R349" s="317"/>
      <c r="T349" s="329"/>
      <c r="U349" s="246"/>
      <c r="V349" s="317"/>
    </row>
    <row r="350" ht="12.75" customHeight="1">
      <c r="M350" s="316"/>
      <c r="N350" s="246"/>
      <c r="O350" s="315"/>
      <c r="Q350" s="316"/>
      <c r="R350" s="317"/>
      <c r="T350" s="329"/>
      <c r="U350" s="246"/>
      <c r="V350" s="317"/>
    </row>
    <row r="351" ht="12.75" customHeight="1">
      <c r="M351" s="316"/>
      <c r="N351" s="246"/>
      <c r="O351" s="315"/>
      <c r="Q351" s="316"/>
      <c r="R351" s="317"/>
      <c r="T351" s="329"/>
      <c r="U351" s="246"/>
      <c r="V351" s="317"/>
    </row>
    <row r="352" ht="12.75" customHeight="1">
      <c r="M352" s="316"/>
      <c r="N352" s="246"/>
      <c r="O352" s="315"/>
      <c r="Q352" s="316"/>
      <c r="R352" s="317"/>
      <c r="T352" s="329"/>
      <c r="U352" s="246"/>
      <c r="V352" s="317"/>
    </row>
    <row r="353" ht="12.75" customHeight="1">
      <c r="M353" s="316"/>
      <c r="N353" s="246"/>
      <c r="O353" s="315"/>
      <c r="Q353" s="316"/>
      <c r="R353" s="317"/>
      <c r="T353" s="329"/>
      <c r="U353" s="246"/>
      <c r="V353" s="317"/>
    </row>
    <row r="354" ht="12.75" customHeight="1">
      <c r="M354" s="316"/>
      <c r="N354" s="246"/>
      <c r="O354" s="315"/>
      <c r="Q354" s="316"/>
      <c r="R354" s="317"/>
      <c r="T354" s="329"/>
      <c r="U354" s="246"/>
      <c r="V354" s="317"/>
    </row>
    <row r="355" ht="12.75" customHeight="1">
      <c r="M355" s="316"/>
      <c r="N355" s="246"/>
      <c r="O355" s="315"/>
      <c r="Q355" s="316"/>
      <c r="R355" s="317"/>
      <c r="T355" s="329"/>
      <c r="U355" s="246"/>
      <c r="V355" s="317"/>
    </row>
    <row r="356" ht="12.75" customHeight="1">
      <c r="M356" s="316"/>
      <c r="N356" s="246"/>
      <c r="O356" s="315"/>
      <c r="Q356" s="316"/>
      <c r="R356" s="317"/>
      <c r="T356" s="329"/>
      <c r="U356" s="246"/>
      <c r="V356" s="317"/>
    </row>
    <row r="357" ht="12.75" customHeight="1">
      <c r="M357" s="316"/>
      <c r="N357" s="246"/>
      <c r="O357" s="315"/>
      <c r="Q357" s="316"/>
      <c r="R357" s="317"/>
      <c r="T357" s="329"/>
      <c r="U357" s="246"/>
      <c r="V357" s="317"/>
    </row>
    <row r="358" ht="12.75" customHeight="1">
      <c r="M358" s="316"/>
      <c r="N358" s="246"/>
      <c r="O358" s="315"/>
      <c r="Q358" s="316"/>
      <c r="R358" s="317"/>
      <c r="T358" s="329"/>
      <c r="U358" s="246"/>
      <c r="V358" s="317"/>
    </row>
    <row r="359" ht="12.75" customHeight="1">
      <c r="M359" s="316"/>
      <c r="N359" s="246"/>
      <c r="O359" s="315"/>
      <c r="Q359" s="316"/>
      <c r="R359" s="317"/>
      <c r="T359" s="329"/>
      <c r="U359" s="246"/>
      <c r="V359" s="317"/>
    </row>
    <row r="360" ht="12.75" customHeight="1">
      <c r="M360" s="316"/>
      <c r="N360" s="246"/>
      <c r="O360" s="315"/>
      <c r="Q360" s="316"/>
      <c r="R360" s="317"/>
      <c r="T360" s="329"/>
      <c r="U360" s="246"/>
      <c r="V360" s="317"/>
    </row>
    <row r="361" ht="12.75" customHeight="1">
      <c r="M361" s="316"/>
      <c r="N361" s="246"/>
      <c r="O361" s="315"/>
      <c r="Q361" s="316"/>
      <c r="R361" s="317"/>
      <c r="T361" s="329"/>
      <c r="U361" s="246"/>
      <c r="V361" s="317"/>
    </row>
    <row r="362" ht="12.75" customHeight="1">
      <c r="M362" s="316"/>
      <c r="N362" s="246"/>
      <c r="O362" s="315"/>
      <c r="Q362" s="316"/>
      <c r="R362" s="317"/>
      <c r="T362" s="329"/>
      <c r="U362" s="246"/>
      <c r="V362" s="317"/>
    </row>
    <row r="363" ht="12.75" customHeight="1">
      <c r="M363" s="316"/>
      <c r="N363" s="246"/>
      <c r="O363" s="315"/>
      <c r="Q363" s="316"/>
      <c r="R363" s="317"/>
      <c r="T363" s="329"/>
      <c r="U363" s="246"/>
      <c r="V363" s="317"/>
    </row>
    <row r="364" ht="12.75" customHeight="1">
      <c r="M364" s="316"/>
      <c r="N364" s="246"/>
      <c r="O364" s="315"/>
      <c r="Q364" s="316"/>
      <c r="R364" s="317"/>
      <c r="T364" s="329"/>
      <c r="U364" s="246"/>
      <c r="V364" s="317"/>
    </row>
    <row r="365" ht="12.75" customHeight="1">
      <c r="M365" s="316"/>
      <c r="N365" s="246"/>
      <c r="O365" s="315"/>
      <c r="Q365" s="316"/>
      <c r="R365" s="317"/>
      <c r="T365" s="329"/>
      <c r="U365" s="246"/>
      <c r="V365" s="317"/>
    </row>
    <row r="366" ht="12.75" customHeight="1">
      <c r="M366" s="316"/>
      <c r="N366" s="246"/>
      <c r="O366" s="315"/>
      <c r="Q366" s="316"/>
      <c r="R366" s="317"/>
      <c r="T366" s="329"/>
      <c r="U366" s="246"/>
      <c r="V366" s="317"/>
    </row>
    <row r="367" ht="12.75" customHeight="1">
      <c r="M367" s="316"/>
      <c r="N367" s="246"/>
      <c r="O367" s="315"/>
      <c r="Q367" s="316"/>
      <c r="R367" s="317"/>
      <c r="T367" s="329"/>
      <c r="U367" s="246"/>
      <c r="V367" s="317"/>
    </row>
    <row r="368" ht="12.75" customHeight="1">
      <c r="M368" s="316"/>
      <c r="N368" s="246"/>
      <c r="O368" s="315"/>
      <c r="Q368" s="316"/>
      <c r="R368" s="317"/>
      <c r="T368" s="329"/>
      <c r="U368" s="246"/>
      <c r="V368" s="317"/>
    </row>
    <row r="369" ht="12.75" customHeight="1">
      <c r="M369" s="316"/>
      <c r="N369" s="246"/>
      <c r="O369" s="315"/>
      <c r="Q369" s="316"/>
      <c r="R369" s="317"/>
      <c r="T369" s="329"/>
      <c r="U369" s="246"/>
      <c r="V369" s="317"/>
    </row>
    <row r="370" ht="12.75" customHeight="1">
      <c r="M370" s="316"/>
      <c r="N370" s="246"/>
      <c r="O370" s="315"/>
      <c r="Q370" s="316"/>
      <c r="R370" s="317"/>
      <c r="T370" s="329"/>
      <c r="U370" s="246"/>
      <c r="V370" s="317"/>
    </row>
    <row r="371" ht="12.75" customHeight="1">
      <c r="M371" s="316"/>
      <c r="N371" s="246"/>
      <c r="O371" s="315"/>
      <c r="Q371" s="316"/>
      <c r="R371" s="317"/>
      <c r="T371" s="329"/>
      <c r="U371" s="246"/>
      <c r="V371" s="317"/>
    </row>
    <row r="372" ht="12.75" customHeight="1">
      <c r="M372" s="316"/>
      <c r="N372" s="246"/>
      <c r="O372" s="315"/>
      <c r="Q372" s="316"/>
      <c r="R372" s="317"/>
      <c r="T372" s="329"/>
      <c r="U372" s="246"/>
      <c r="V372" s="317"/>
    </row>
    <row r="373" ht="12.75" customHeight="1">
      <c r="M373" s="316"/>
      <c r="N373" s="246"/>
      <c r="O373" s="315"/>
      <c r="Q373" s="316"/>
      <c r="R373" s="317"/>
      <c r="T373" s="329"/>
      <c r="U373" s="246"/>
      <c r="V373" s="317"/>
    </row>
    <row r="374" ht="12.75" customHeight="1">
      <c r="M374" s="316"/>
      <c r="N374" s="246"/>
      <c r="O374" s="315"/>
      <c r="Q374" s="316"/>
      <c r="R374" s="317"/>
      <c r="T374" s="329"/>
      <c r="U374" s="246"/>
      <c r="V374" s="317"/>
    </row>
    <row r="375" ht="12.75" customHeight="1">
      <c r="M375" s="316"/>
      <c r="N375" s="246"/>
      <c r="O375" s="315"/>
      <c r="Q375" s="316"/>
      <c r="R375" s="317"/>
      <c r="T375" s="329"/>
      <c r="U375" s="246"/>
      <c r="V375" s="317"/>
    </row>
    <row r="376" ht="12.75" customHeight="1">
      <c r="M376" s="316"/>
      <c r="N376" s="246"/>
      <c r="O376" s="315"/>
      <c r="Q376" s="316"/>
      <c r="R376" s="317"/>
      <c r="T376" s="329"/>
      <c r="U376" s="246"/>
      <c r="V376" s="317"/>
    </row>
    <row r="377" ht="12.75" customHeight="1">
      <c r="M377" s="316"/>
      <c r="N377" s="246"/>
      <c r="O377" s="315"/>
      <c r="Q377" s="316"/>
      <c r="R377" s="317"/>
      <c r="T377" s="329"/>
      <c r="U377" s="246"/>
      <c r="V377" s="317"/>
    </row>
    <row r="378" ht="12.75" customHeight="1">
      <c r="M378" s="316"/>
      <c r="N378" s="246"/>
      <c r="O378" s="315"/>
      <c r="Q378" s="316"/>
      <c r="R378" s="317"/>
      <c r="T378" s="329"/>
      <c r="U378" s="246"/>
      <c r="V378" s="317"/>
    </row>
    <row r="379" ht="12.75" customHeight="1">
      <c r="M379" s="316"/>
      <c r="N379" s="246"/>
      <c r="O379" s="315"/>
      <c r="Q379" s="316"/>
      <c r="R379" s="317"/>
      <c r="T379" s="329"/>
      <c r="U379" s="246"/>
      <c r="V379" s="317"/>
    </row>
    <row r="380" ht="12.75" customHeight="1">
      <c r="M380" s="316"/>
      <c r="N380" s="246"/>
      <c r="O380" s="315"/>
      <c r="Q380" s="316"/>
      <c r="R380" s="317"/>
      <c r="T380" s="329"/>
      <c r="U380" s="246"/>
      <c r="V380" s="317"/>
    </row>
    <row r="381" ht="12.75" customHeight="1">
      <c r="M381" s="316"/>
      <c r="N381" s="246"/>
      <c r="O381" s="315"/>
      <c r="Q381" s="316"/>
      <c r="R381" s="317"/>
      <c r="T381" s="329"/>
      <c r="U381" s="246"/>
      <c r="V381" s="317"/>
    </row>
    <row r="382" ht="12.75" customHeight="1">
      <c r="M382" s="316"/>
      <c r="N382" s="246"/>
      <c r="O382" s="315"/>
      <c r="Q382" s="316"/>
      <c r="R382" s="317"/>
      <c r="T382" s="329"/>
      <c r="U382" s="246"/>
      <c r="V382" s="317"/>
    </row>
    <row r="383" ht="12.75" customHeight="1">
      <c r="M383" s="316"/>
      <c r="N383" s="246"/>
      <c r="O383" s="315"/>
      <c r="Q383" s="316"/>
      <c r="R383" s="317"/>
      <c r="T383" s="329"/>
      <c r="U383" s="246"/>
      <c r="V383" s="317"/>
    </row>
    <row r="384" ht="12.75" customHeight="1">
      <c r="M384" s="316"/>
      <c r="N384" s="246"/>
      <c r="O384" s="315"/>
      <c r="Q384" s="316"/>
      <c r="R384" s="317"/>
      <c r="T384" s="329"/>
      <c r="U384" s="246"/>
      <c r="V384" s="317"/>
    </row>
    <row r="385" ht="12.75" customHeight="1">
      <c r="M385" s="316"/>
      <c r="N385" s="246"/>
      <c r="O385" s="315"/>
      <c r="Q385" s="316"/>
      <c r="R385" s="317"/>
      <c r="T385" s="329"/>
      <c r="U385" s="246"/>
      <c r="V385" s="317"/>
    </row>
    <row r="386" ht="12.75" customHeight="1">
      <c r="M386" s="316"/>
      <c r="N386" s="246"/>
      <c r="O386" s="315"/>
      <c r="Q386" s="316"/>
      <c r="R386" s="317"/>
      <c r="T386" s="329"/>
      <c r="U386" s="246"/>
      <c r="V386" s="317"/>
    </row>
    <row r="387" ht="12.75" customHeight="1">
      <c r="M387" s="316"/>
      <c r="N387" s="246"/>
      <c r="O387" s="315"/>
      <c r="Q387" s="316"/>
      <c r="R387" s="317"/>
      <c r="T387" s="329"/>
      <c r="U387" s="246"/>
      <c r="V387" s="317"/>
    </row>
    <row r="388" ht="12.75" customHeight="1">
      <c r="M388" s="316"/>
      <c r="N388" s="246"/>
      <c r="O388" s="315"/>
      <c r="Q388" s="316"/>
      <c r="R388" s="317"/>
      <c r="T388" s="329"/>
      <c r="U388" s="246"/>
      <c r="V388" s="317"/>
    </row>
    <row r="389" ht="12.75" customHeight="1">
      <c r="M389" s="316"/>
      <c r="N389" s="246"/>
      <c r="O389" s="315"/>
      <c r="Q389" s="316"/>
      <c r="R389" s="317"/>
      <c r="T389" s="329"/>
      <c r="U389" s="246"/>
      <c r="V389" s="317"/>
    </row>
    <row r="390" ht="12.75" customHeight="1">
      <c r="M390" s="316"/>
      <c r="N390" s="246"/>
      <c r="O390" s="315"/>
      <c r="Q390" s="316"/>
      <c r="R390" s="317"/>
      <c r="T390" s="329"/>
      <c r="U390" s="246"/>
      <c r="V390" s="317"/>
    </row>
    <row r="391" ht="12.75" customHeight="1">
      <c r="M391" s="316"/>
      <c r="N391" s="246"/>
      <c r="O391" s="315"/>
      <c r="Q391" s="316"/>
      <c r="R391" s="317"/>
      <c r="T391" s="329"/>
      <c r="U391" s="246"/>
      <c r="V391" s="317"/>
    </row>
    <row r="392" ht="12.75" customHeight="1">
      <c r="M392" s="316"/>
      <c r="N392" s="246"/>
      <c r="O392" s="315"/>
      <c r="Q392" s="316"/>
      <c r="R392" s="317"/>
      <c r="T392" s="329"/>
      <c r="U392" s="246"/>
      <c r="V392" s="317"/>
    </row>
    <row r="393" ht="12.75" customHeight="1">
      <c r="M393" s="316"/>
      <c r="N393" s="246"/>
      <c r="O393" s="315"/>
      <c r="Q393" s="316"/>
      <c r="R393" s="317"/>
      <c r="T393" s="329"/>
      <c r="U393" s="246"/>
      <c r="V393" s="317"/>
    </row>
    <row r="394" ht="12.75" customHeight="1">
      <c r="M394" s="316"/>
      <c r="N394" s="246"/>
      <c r="O394" s="315"/>
      <c r="Q394" s="316"/>
      <c r="R394" s="317"/>
      <c r="T394" s="329"/>
      <c r="U394" s="246"/>
      <c r="V394" s="317"/>
    </row>
    <row r="395" ht="12.75" customHeight="1">
      <c r="M395" s="316"/>
      <c r="N395" s="246"/>
      <c r="O395" s="315"/>
      <c r="Q395" s="316"/>
      <c r="R395" s="317"/>
      <c r="T395" s="329"/>
      <c r="U395" s="246"/>
      <c r="V395" s="317"/>
    </row>
    <row r="396" ht="12.75" customHeight="1">
      <c r="M396" s="316"/>
      <c r="N396" s="246"/>
      <c r="O396" s="315"/>
      <c r="Q396" s="316"/>
      <c r="R396" s="317"/>
      <c r="T396" s="329"/>
      <c r="U396" s="246"/>
      <c r="V396" s="317"/>
    </row>
    <row r="397" ht="12.75" customHeight="1">
      <c r="M397" s="316"/>
      <c r="N397" s="246"/>
      <c r="O397" s="315"/>
      <c r="Q397" s="316"/>
      <c r="R397" s="317"/>
      <c r="T397" s="329"/>
      <c r="U397" s="246"/>
      <c r="V397" s="317"/>
    </row>
    <row r="398" ht="12.75" customHeight="1">
      <c r="M398" s="316"/>
      <c r="N398" s="246"/>
      <c r="O398" s="315"/>
      <c r="Q398" s="316"/>
      <c r="R398" s="317"/>
      <c r="T398" s="329"/>
      <c r="U398" s="246"/>
      <c r="V398" s="317"/>
    </row>
    <row r="399" ht="12.75" customHeight="1">
      <c r="M399" s="316"/>
      <c r="N399" s="246"/>
      <c r="O399" s="315"/>
      <c r="Q399" s="316"/>
      <c r="R399" s="317"/>
      <c r="T399" s="329"/>
      <c r="U399" s="246"/>
      <c r="V399" s="317"/>
    </row>
    <row r="400" ht="12.75" customHeight="1">
      <c r="M400" s="316"/>
      <c r="N400" s="246"/>
      <c r="O400" s="315"/>
      <c r="Q400" s="316"/>
      <c r="R400" s="317"/>
      <c r="T400" s="329"/>
      <c r="U400" s="246"/>
      <c r="V400" s="317"/>
    </row>
    <row r="401" ht="12.75" customHeight="1">
      <c r="M401" s="316"/>
      <c r="N401" s="246"/>
      <c r="O401" s="315"/>
      <c r="Q401" s="316"/>
      <c r="R401" s="317"/>
      <c r="T401" s="329"/>
      <c r="U401" s="246"/>
      <c r="V401" s="317"/>
    </row>
    <row r="402" ht="12.75" customHeight="1">
      <c r="M402" s="316"/>
      <c r="N402" s="246"/>
      <c r="O402" s="315"/>
      <c r="Q402" s="316"/>
      <c r="R402" s="317"/>
      <c r="T402" s="329"/>
      <c r="U402" s="246"/>
      <c r="V402" s="317"/>
    </row>
    <row r="403" ht="12.75" customHeight="1">
      <c r="M403" s="316"/>
      <c r="N403" s="246"/>
      <c r="O403" s="315"/>
      <c r="Q403" s="316"/>
      <c r="R403" s="317"/>
      <c r="T403" s="329"/>
      <c r="U403" s="246"/>
      <c r="V403" s="317"/>
    </row>
    <row r="404" ht="12.75" customHeight="1">
      <c r="M404" s="316"/>
      <c r="N404" s="246"/>
      <c r="O404" s="315"/>
      <c r="Q404" s="316"/>
      <c r="R404" s="317"/>
      <c r="T404" s="329"/>
      <c r="U404" s="246"/>
      <c r="V404" s="317"/>
    </row>
    <row r="405" ht="12.75" customHeight="1">
      <c r="M405" s="316"/>
      <c r="N405" s="246"/>
      <c r="O405" s="315"/>
      <c r="Q405" s="316"/>
      <c r="R405" s="317"/>
      <c r="T405" s="329"/>
      <c r="U405" s="246"/>
      <c r="V405" s="317"/>
    </row>
    <row r="406" ht="12.75" customHeight="1">
      <c r="M406" s="316"/>
      <c r="N406" s="246"/>
      <c r="O406" s="315"/>
      <c r="Q406" s="316"/>
      <c r="R406" s="317"/>
      <c r="T406" s="329"/>
      <c r="U406" s="246"/>
      <c r="V406" s="317"/>
    </row>
    <row r="407" ht="12.75" customHeight="1">
      <c r="M407" s="316"/>
      <c r="N407" s="246"/>
      <c r="O407" s="315"/>
      <c r="Q407" s="316"/>
      <c r="R407" s="317"/>
      <c r="T407" s="329"/>
      <c r="U407" s="246"/>
      <c r="V407" s="317"/>
    </row>
    <row r="408" ht="12.75" customHeight="1">
      <c r="M408" s="316"/>
      <c r="N408" s="246"/>
      <c r="O408" s="315"/>
      <c r="Q408" s="316"/>
      <c r="R408" s="317"/>
      <c r="T408" s="329"/>
      <c r="U408" s="246"/>
      <c r="V408" s="317"/>
    </row>
    <row r="409" ht="12.75" customHeight="1">
      <c r="M409" s="316"/>
      <c r="N409" s="246"/>
      <c r="O409" s="315"/>
      <c r="Q409" s="316"/>
      <c r="R409" s="317"/>
      <c r="T409" s="329"/>
      <c r="U409" s="246"/>
      <c r="V409" s="317"/>
    </row>
    <row r="410" ht="12.75" customHeight="1">
      <c r="M410" s="316"/>
      <c r="N410" s="246"/>
      <c r="O410" s="315"/>
      <c r="Q410" s="316"/>
      <c r="R410" s="317"/>
      <c r="T410" s="329"/>
      <c r="U410" s="246"/>
      <c r="V410" s="317"/>
    </row>
    <row r="411" ht="12.75" customHeight="1">
      <c r="M411" s="316"/>
      <c r="N411" s="246"/>
      <c r="O411" s="315"/>
      <c r="Q411" s="316"/>
      <c r="R411" s="317"/>
      <c r="T411" s="329"/>
      <c r="U411" s="246"/>
      <c r="V411" s="317"/>
    </row>
    <row r="412" ht="12.75" customHeight="1">
      <c r="M412" s="316"/>
      <c r="N412" s="246"/>
      <c r="O412" s="315"/>
      <c r="Q412" s="316"/>
      <c r="R412" s="317"/>
      <c r="T412" s="329"/>
      <c r="U412" s="246"/>
      <c r="V412" s="317"/>
    </row>
    <row r="413" ht="12.75" customHeight="1">
      <c r="M413" s="316"/>
      <c r="N413" s="246"/>
      <c r="O413" s="315"/>
      <c r="Q413" s="316"/>
      <c r="R413" s="317"/>
      <c r="T413" s="329"/>
      <c r="U413" s="246"/>
      <c r="V413" s="317"/>
    </row>
    <row r="414" ht="12.75" customHeight="1">
      <c r="M414" s="316"/>
      <c r="N414" s="246"/>
      <c r="O414" s="315"/>
      <c r="Q414" s="316"/>
      <c r="R414" s="317"/>
      <c r="T414" s="329"/>
      <c r="U414" s="246"/>
      <c r="V414" s="317"/>
    </row>
    <row r="415" ht="12.75" customHeight="1">
      <c r="M415" s="316"/>
      <c r="N415" s="246"/>
      <c r="O415" s="315"/>
      <c r="Q415" s="316"/>
      <c r="R415" s="317"/>
      <c r="T415" s="329"/>
      <c r="U415" s="246"/>
      <c r="V415" s="317"/>
    </row>
    <row r="416" ht="12.75" customHeight="1">
      <c r="M416" s="316"/>
      <c r="N416" s="246"/>
      <c r="O416" s="315"/>
      <c r="Q416" s="316"/>
      <c r="R416" s="317"/>
      <c r="T416" s="329"/>
      <c r="U416" s="246"/>
      <c r="V416" s="317"/>
    </row>
    <row r="417" ht="12.75" customHeight="1">
      <c r="M417" s="316"/>
      <c r="N417" s="246"/>
      <c r="O417" s="315"/>
      <c r="Q417" s="316"/>
      <c r="R417" s="317"/>
      <c r="T417" s="329"/>
      <c r="U417" s="246"/>
      <c r="V417" s="317"/>
    </row>
    <row r="418" ht="12.75" customHeight="1">
      <c r="M418" s="316"/>
      <c r="N418" s="246"/>
      <c r="O418" s="315"/>
      <c r="Q418" s="316"/>
      <c r="R418" s="317"/>
      <c r="T418" s="329"/>
      <c r="U418" s="246"/>
      <c r="V418" s="317"/>
    </row>
    <row r="419" ht="12.75" customHeight="1">
      <c r="M419" s="316"/>
      <c r="N419" s="246"/>
      <c r="O419" s="315"/>
      <c r="Q419" s="316"/>
      <c r="R419" s="317"/>
      <c r="T419" s="329"/>
      <c r="U419" s="246"/>
      <c r="V419" s="317"/>
    </row>
    <row r="420" ht="12.75" customHeight="1">
      <c r="M420" s="316"/>
      <c r="N420" s="246"/>
      <c r="O420" s="315"/>
      <c r="Q420" s="316"/>
      <c r="R420" s="317"/>
      <c r="T420" s="329"/>
      <c r="U420" s="246"/>
      <c r="V420" s="317"/>
    </row>
    <row r="421" ht="12.75" customHeight="1">
      <c r="M421" s="316"/>
      <c r="N421" s="246"/>
      <c r="O421" s="315"/>
      <c r="Q421" s="316"/>
      <c r="R421" s="317"/>
      <c r="T421" s="329"/>
      <c r="U421" s="246"/>
      <c r="V421" s="317"/>
    </row>
    <row r="422" ht="12.75" customHeight="1">
      <c r="M422" s="316"/>
      <c r="N422" s="246"/>
      <c r="O422" s="315"/>
      <c r="Q422" s="316"/>
      <c r="R422" s="317"/>
      <c r="T422" s="329"/>
      <c r="U422" s="246"/>
      <c r="V422" s="317"/>
    </row>
    <row r="423" ht="12.75" customHeight="1">
      <c r="M423" s="316"/>
      <c r="N423" s="246"/>
      <c r="O423" s="315"/>
      <c r="Q423" s="316"/>
      <c r="R423" s="317"/>
      <c r="T423" s="329"/>
      <c r="U423" s="246"/>
      <c r="V423" s="317"/>
    </row>
    <row r="424" ht="12.75" customHeight="1">
      <c r="M424" s="316"/>
      <c r="N424" s="246"/>
      <c r="O424" s="315"/>
      <c r="Q424" s="316"/>
      <c r="R424" s="317"/>
      <c r="T424" s="329"/>
      <c r="U424" s="246"/>
      <c r="V424" s="317"/>
    </row>
    <row r="425" ht="12.75" customHeight="1">
      <c r="M425" s="316"/>
      <c r="N425" s="246"/>
      <c r="O425" s="315"/>
      <c r="Q425" s="316"/>
      <c r="R425" s="317"/>
      <c r="T425" s="329"/>
      <c r="U425" s="246"/>
      <c r="V425" s="317"/>
    </row>
    <row r="426" ht="12.75" customHeight="1">
      <c r="M426" s="316"/>
      <c r="N426" s="246"/>
      <c r="O426" s="315"/>
      <c r="Q426" s="316"/>
      <c r="R426" s="317"/>
      <c r="T426" s="329"/>
      <c r="U426" s="246"/>
      <c r="V426" s="317"/>
    </row>
    <row r="427" ht="12.75" customHeight="1">
      <c r="M427" s="316"/>
      <c r="N427" s="246"/>
      <c r="O427" s="315"/>
      <c r="Q427" s="316"/>
      <c r="R427" s="317"/>
      <c r="T427" s="329"/>
      <c r="U427" s="246"/>
      <c r="V427" s="317"/>
    </row>
    <row r="428" ht="12.75" customHeight="1">
      <c r="M428" s="316"/>
      <c r="N428" s="246"/>
      <c r="O428" s="315"/>
      <c r="Q428" s="316"/>
      <c r="R428" s="317"/>
      <c r="T428" s="329"/>
      <c r="U428" s="246"/>
      <c r="V428" s="317"/>
    </row>
    <row r="429" ht="12.75" customHeight="1">
      <c r="M429" s="316"/>
      <c r="N429" s="246"/>
      <c r="O429" s="315"/>
      <c r="Q429" s="316"/>
      <c r="R429" s="317"/>
      <c r="T429" s="329"/>
      <c r="U429" s="246"/>
      <c r="V429" s="317"/>
    </row>
    <row r="430" ht="12.75" customHeight="1">
      <c r="M430" s="316"/>
      <c r="N430" s="246"/>
      <c r="O430" s="315"/>
      <c r="Q430" s="316"/>
      <c r="R430" s="317"/>
      <c r="T430" s="329"/>
      <c r="U430" s="246"/>
      <c r="V430" s="317"/>
    </row>
    <row r="431" ht="12.75" customHeight="1">
      <c r="M431" s="316"/>
      <c r="N431" s="246"/>
      <c r="O431" s="315"/>
      <c r="Q431" s="316"/>
      <c r="R431" s="317"/>
      <c r="T431" s="329"/>
      <c r="U431" s="246"/>
      <c r="V431" s="317"/>
    </row>
    <row r="432" ht="12.75" customHeight="1">
      <c r="M432" s="316"/>
      <c r="N432" s="246"/>
      <c r="O432" s="315"/>
      <c r="Q432" s="316"/>
      <c r="R432" s="317"/>
      <c r="T432" s="329"/>
      <c r="U432" s="246"/>
      <c r="V432" s="317"/>
    </row>
    <row r="433" ht="12.75" customHeight="1">
      <c r="M433" s="316"/>
      <c r="N433" s="246"/>
      <c r="O433" s="315"/>
      <c r="Q433" s="316"/>
      <c r="R433" s="317"/>
      <c r="T433" s="329"/>
      <c r="U433" s="246"/>
      <c r="V433" s="317"/>
    </row>
    <row r="434" ht="12.75" customHeight="1">
      <c r="M434" s="316"/>
      <c r="N434" s="246"/>
      <c r="O434" s="315"/>
      <c r="Q434" s="316"/>
      <c r="R434" s="317"/>
      <c r="T434" s="329"/>
      <c r="U434" s="246"/>
      <c r="V434" s="317"/>
    </row>
    <row r="435" ht="12.75" customHeight="1">
      <c r="M435" s="316"/>
      <c r="N435" s="246"/>
      <c r="O435" s="315"/>
      <c r="Q435" s="316"/>
      <c r="R435" s="317"/>
      <c r="T435" s="329"/>
      <c r="U435" s="246"/>
      <c r="V435" s="317"/>
    </row>
    <row r="436" ht="12.75" customHeight="1">
      <c r="M436" s="316"/>
      <c r="N436" s="246"/>
      <c r="O436" s="315"/>
      <c r="Q436" s="316"/>
      <c r="R436" s="317"/>
      <c r="T436" s="329"/>
      <c r="U436" s="246"/>
      <c r="V436" s="317"/>
    </row>
    <row r="437" ht="12.75" customHeight="1">
      <c r="M437" s="316"/>
      <c r="N437" s="246"/>
      <c r="O437" s="315"/>
      <c r="Q437" s="316"/>
      <c r="R437" s="317"/>
      <c r="T437" s="329"/>
      <c r="U437" s="246"/>
      <c r="V437" s="317"/>
    </row>
    <row r="438" ht="12.75" customHeight="1">
      <c r="M438" s="316"/>
      <c r="N438" s="246"/>
      <c r="O438" s="315"/>
      <c r="Q438" s="316"/>
      <c r="R438" s="317"/>
      <c r="T438" s="329"/>
      <c r="U438" s="246"/>
      <c r="V438" s="317"/>
    </row>
    <row r="439" ht="12.75" customHeight="1">
      <c r="M439" s="316"/>
      <c r="N439" s="246"/>
      <c r="O439" s="315"/>
      <c r="Q439" s="316"/>
      <c r="R439" s="317"/>
      <c r="T439" s="329"/>
      <c r="U439" s="246"/>
      <c r="V439" s="317"/>
    </row>
    <row r="440" ht="12.75" customHeight="1">
      <c r="M440" s="316"/>
      <c r="N440" s="246"/>
      <c r="O440" s="315"/>
      <c r="Q440" s="316"/>
      <c r="R440" s="317"/>
      <c r="T440" s="329"/>
      <c r="U440" s="246"/>
      <c r="V440" s="317"/>
    </row>
    <row r="441" ht="12.75" customHeight="1">
      <c r="M441" s="316"/>
      <c r="N441" s="246"/>
      <c r="O441" s="315"/>
      <c r="Q441" s="316"/>
      <c r="R441" s="317"/>
      <c r="T441" s="329"/>
      <c r="U441" s="246"/>
      <c r="V441" s="317"/>
    </row>
    <row r="442" ht="12.75" customHeight="1">
      <c r="M442" s="316"/>
      <c r="N442" s="246"/>
      <c r="O442" s="315"/>
      <c r="Q442" s="316"/>
      <c r="R442" s="317"/>
      <c r="T442" s="329"/>
      <c r="U442" s="246"/>
      <c r="V442" s="317"/>
    </row>
    <row r="443" ht="12.75" customHeight="1">
      <c r="M443" s="316"/>
      <c r="N443" s="246"/>
      <c r="O443" s="315"/>
      <c r="Q443" s="316"/>
      <c r="R443" s="317"/>
      <c r="T443" s="329"/>
      <c r="U443" s="246"/>
      <c r="V443" s="317"/>
    </row>
    <row r="444" ht="12.75" customHeight="1">
      <c r="M444" s="316"/>
      <c r="N444" s="246"/>
      <c r="O444" s="315"/>
      <c r="Q444" s="316"/>
      <c r="R444" s="317"/>
      <c r="T444" s="329"/>
      <c r="U444" s="246"/>
      <c r="V444" s="317"/>
    </row>
    <row r="445" ht="12.75" customHeight="1">
      <c r="M445" s="316"/>
      <c r="N445" s="246"/>
      <c r="O445" s="315"/>
      <c r="Q445" s="316"/>
      <c r="R445" s="317"/>
      <c r="T445" s="329"/>
      <c r="U445" s="246"/>
      <c r="V445" s="317"/>
    </row>
    <row r="446" ht="12.75" customHeight="1">
      <c r="M446" s="316"/>
      <c r="N446" s="246"/>
      <c r="O446" s="315"/>
      <c r="Q446" s="316"/>
      <c r="R446" s="317"/>
      <c r="T446" s="329"/>
      <c r="U446" s="246"/>
      <c r="V446" s="317"/>
    </row>
    <row r="447" ht="12.75" customHeight="1">
      <c r="M447" s="316"/>
      <c r="N447" s="246"/>
      <c r="O447" s="315"/>
      <c r="Q447" s="316"/>
      <c r="R447" s="317"/>
      <c r="T447" s="329"/>
      <c r="U447" s="246"/>
      <c r="V447" s="317"/>
    </row>
    <row r="448" ht="12.75" customHeight="1">
      <c r="M448" s="316"/>
      <c r="N448" s="246"/>
      <c r="O448" s="315"/>
      <c r="Q448" s="316"/>
      <c r="R448" s="317"/>
      <c r="T448" s="329"/>
      <c r="U448" s="246"/>
      <c r="V448" s="317"/>
    </row>
    <row r="449" ht="12.75" customHeight="1">
      <c r="M449" s="316"/>
      <c r="N449" s="246"/>
      <c r="O449" s="315"/>
      <c r="Q449" s="316"/>
      <c r="R449" s="317"/>
      <c r="T449" s="329"/>
      <c r="U449" s="246"/>
      <c r="V449" s="317"/>
    </row>
    <row r="450" ht="12.75" customHeight="1">
      <c r="M450" s="316"/>
      <c r="N450" s="246"/>
      <c r="O450" s="315"/>
      <c r="Q450" s="316"/>
      <c r="R450" s="317"/>
      <c r="T450" s="329"/>
      <c r="U450" s="246"/>
      <c r="V450" s="317"/>
    </row>
    <row r="451" ht="12.75" customHeight="1">
      <c r="M451" s="316"/>
      <c r="N451" s="246"/>
      <c r="O451" s="315"/>
      <c r="Q451" s="316"/>
      <c r="R451" s="317"/>
      <c r="T451" s="329"/>
      <c r="U451" s="246"/>
      <c r="V451" s="317"/>
    </row>
    <row r="452" ht="12.75" customHeight="1">
      <c r="M452" s="316"/>
      <c r="N452" s="246"/>
      <c r="O452" s="315"/>
      <c r="Q452" s="316"/>
      <c r="R452" s="317"/>
      <c r="T452" s="329"/>
      <c r="U452" s="246"/>
      <c r="V452" s="317"/>
    </row>
    <row r="453" ht="12.75" customHeight="1">
      <c r="M453" s="316"/>
      <c r="N453" s="246"/>
      <c r="O453" s="315"/>
      <c r="Q453" s="316"/>
      <c r="R453" s="317"/>
      <c r="T453" s="329"/>
      <c r="U453" s="246"/>
      <c r="V453" s="317"/>
    </row>
    <row r="454" ht="12.75" customHeight="1">
      <c r="M454" s="316"/>
      <c r="N454" s="246"/>
      <c r="O454" s="315"/>
      <c r="Q454" s="316"/>
      <c r="R454" s="317"/>
      <c r="T454" s="329"/>
      <c r="U454" s="246"/>
      <c r="V454" s="317"/>
    </row>
    <row r="455" ht="12.75" customHeight="1">
      <c r="M455" s="316"/>
      <c r="N455" s="246"/>
      <c r="O455" s="315"/>
      <c r="Q455" s="316"/>
      <c r="R455" s="317"/>
      <c r="T455" s="329"/>
      <c r="U455" s="246"/>
      <c r="V455" s="317"/>
    </row>
    <row r="456" ht="12.75" customHeight="1">
      <c r="M456" s="316"/>
      <c r="N456" s="246"/>
      <c r="O456" s="315"/>
      <c r="Q456" s="316"/>
      <c r="R456" s="317"/>
      <c r="T456" s="329"/>
      <c r="U456" s="246"/>
      <c r="V456" s="317"/>
    </row>
    <row r="457" ht="12.75" customHeight="1">
      <c r="M457" s="316"/>
      <c r="N457" s="246"/>
      <c r="O457" s="315"/>
      <c r="Q457" s="316"/>
      <c r="R457" s="317"/>
      <c r="T457" s="329"/>
      <c r="U457" s="246"/>
      <c r="V457" s="317"/>
    </row>
    <row r="458" ht="12.75" customHeight="1">
      <c r="M458" s="316"/>
      <c r="N458" s="246"/>
      <c r="O458" s="315"/>
      <c r="Q458" s="316"/>
      <c r="R458" s="317"/>
      <c r="T458" s="329"/>
      <c r="U458" s="246"/>
      <c r="V458" s="317"/>
    </row>
    <row r="459" ht="12.75" customHeight="1">
      <c r="M459" s="316"/>
      <c r="N459" s="246"/>
      <c r="O459" s="315"/>
      <c r="Q459" s="316"/>
      <c r="R459" s="317"/>
      <c r="T459" s="329"/>
      <c r="U459" s="246"/>
      <c r="V459" s="317"/>
    </row>
    <row r="460" ht="12.75" customHeight="1">
      <c r="M460" s="316"/>
      <c r="N460" s="246"/>
      <c r="O460" s="315"/>
      <c r="Q460" s="316"/>
      <c r="R460" s="317"/>
      <c r="T460" s="329"/>
      <c r="U460" s="246"/>
      <c r="V460" s="317"/>
    </row>
    <row r="461" ht="12.75" customHeight="1">
      <c r="M461" s="316"/>
      <c r="N461" s="246"/>
      <c r="O461" s="315"/>
      <c r="Q461" s="316"/>
      <c r="R461" s="317"/>
      <c r="T461" s="329"/>
      <c r="U461" s="246"/>
      <c r="V461" s="317"/>
    </row>
    <row r="462" ht="12.75" customHeight="1">
      <c r="M462" s="316"/>
      <c r="N462" s="246"/>
      <c r="O462" s="315"/>
      <c r="Q462" s="316"/>
      <c r="R462" s="317"/>
      <c r="T462" s="329"/>
      <c r="U462" s="246"/>
      <c r="V462" s="317"/>
    </row>
    <row r="463" ht="12.75" customHeight="1">
      <c r="M463" s="316"/>
      <c r="N463" s="246"/>
      <c r="O463" s="315"/>
      <c r="Q463" s="316"/>
      <c r="R463" s="317"/>
      <c r="T463" s="329"/>
      <c r="U463" s="246"/>
      <c r="V463" s="317"/>
    </row>
    <row r="464" ht="12.75" customHeight="1">
      <c r="M464" s="316"/>
      <c r="N464" s="246"/>
      <c r="O464" s="315"/>
      <c r="Q464" s="316"/>
      <c r="R464" s="317"/>
      <c r="T464" s="329"/>
      <c r="U464" s="246"/>
      <c r="V464" s="317"/>
    </row>
    <row r="465" ht="12.75" customHeight="1">
      <c r="M465" s="316"/>
      <c r="N465" s="246"/>
      <c r="O465" s="315"/>
      <c r="Q465" s="316"/>
      <c r="R465" s="317"/>
      <c r="T465" s="329"/>
      <c r="U465" s="246"/>
      <c r="V465" s="317"/>
    </row>
    <row r="466" ht="12.75" customHeight="1">
      <c r="M466" s="316"/>
      <c r="N466" s="246"/>
      <c r="O466" s="315"/>
      <c r="Q466" s="316"/>
      <c r="R466" s="317"/>
      <c r="T466" s="329"/>
      <c r="U466" s="246"/>
      <c r="V466" s="317"/>
    </row>
    <row r="467" ht="12.75" customHeight="1">
      <c r="M467" s="316"/>
      <c r="N467" s="246"/>
      <c r="O467" s="315"/>
      <c r="Q467" s="316"/>
      <c r="R467" s="317"/>
      <c r="T467" s="329"/>
      <c r="U467" s="246"/>
      <c r="V467" s="317"/>
    </row>
    <row r="468" ht="12.75" customHeight="1">
      <c r="M468" s="316"/>
      <c r="N468" s="246"/>
      <c r="O468" s="315"/>
      <c r="Q468" s="316"/>
      <c r="R468" s="317"/>
      <c r="T468" s="329"/>
      <c r="U468" s="246"/>
      <c r="V468" s="317"/>
    </row>
    <row r="469" ht="12.75" customHeight="1">
      <c r="M469" s="316"/>
      <c r="N469" s="246"/>
      <c r="O469" s="315"/>
      <c r="Q469" s="316"/>
      <c r="R469" s="317"/>
      <c r="T469" s="329"/>
      <c r="U469" s="246"/>
      <c r="V469" s="317"/>
    </row>
    <row r="470" ht="12.75" customHeight="1">
      <c r="M470" s="316"/>
      <c r="N470" s="246"/>
      <c r="O470" s="315"/>
      <c r="Q470" s="316"/>
      <c r="R470" s="317"/>
      <c r="T470" s="329"/>
      <c r="U470" s="246"/>
      <c r="V470" s="317"/>
    </row>
    <row r="471" ht="12.75" customHeight="1">
      <c r="M471" s="316"/>
      <c r="N471" s="246"/>
      <c r="O471" s="315"/>
      <c r="Q471" s="316"/>
      <c r="R471" s="317"/>
      <c r="T471" s="329"/>
      <c r="U471" s="246"/>
      <c r="V471" s="317"/>
    </row>
    <row r="472" ht="12.75" customHeight="1">
      <c r="M472" s="316"/>
      <c r="N472" s="246"/>
      <c r="O472" s="315"/>
      <c r="Q472" s="316"/>
      <c r="R472" s="317"/>
      <c r="T472" s="329"/>
      <c r="U472" s="246"/>
      <c r="V472" s="317"/>
    </row>
    <row r="473" ht="12.75" customHeight="1">
      <c r="M473" s="316"/>
      <c r="N473" s="246"/>
      <c r="O473" s="315"/>
      <c r="Q473" s="316"/>
      <c r="R473" s="317"/>
      <c r="T473" s="329"/>
      <c r="U473" s="246"/>
      <c r="V473" s="317"/>
    </row>
    <row r="474" ht="12.75" customHeight="1">
      <c r="M474" s="316"/>
      <c r="N474" s="246"/>
      <c r="O474" s="315"/>
      <c r="Q474" s="316"/>
      <c r="R474" s="317"/>
      <c r="T474" s="329"/>
      <c r="U474" s="246"/>
      <c r="V474" s="317"/>
    </row>
    <row r="475" ht="12.75" customHeight="1">
      <c r="M475" s="316"/>
      <c r="N475" s="246"/>
      <c r="O475" s="315"/>
      <c r="Q475" s="316"/>
      <c r="R475" s="317"/>
      <c r="T475" s="329"/>
      <c r="U475" s="246"/>
      <c r="V475" s="317"/>
    </row>
    <row r="476" ht="12.75" customHeight="1">
      <c r="M476" s="316"/>
      <c r="N476" s="246"/>
      <c r="O476" s="315"/>
      <c r="Q476" s="316"/>
      <c r="R476" s="317"/>
      <c r="T476" s="329"/>
      <c r="U476" s="246"/>
      <c r="V476" s="317"/>
    </row>
    <row r="477" ht="12.75" customHeight="1">
      <c r="M477" s="316"/>
      <c r="N477" s="246"/>
      <c r="O477" s="315"/>
      <c r="Q477" s="316"/>
      <c r="R477" s="317"/>
      <c r="T477" s="329"/>
      <c r="U477" s="246"/>
      <c r="V477" s="317"/>
    </row>
    <row r="478" ht="12.75" customHeight="1">
      <c r="M478" s="316"/>
      <c r="N478" s="246"/>
      <c r="O478" s="315"/>
      <c r="Q478" s="316"/>
      <c r="R478" s="317"/>
      <c r="T478" s="329"/>
      <c r="U478" s="246"/>
      <c r="V478" s="317"/>
    </row>
    <row r="479" ht="12.75" customHeight="1">
      <c r="M479" s="316"/>
      <c r="N479" s="246"/>
      <c r="O479" s="315"/>
      <c r="Q479" s="316"/>
      <c r="R479" s="317"/>
      <c r="T479" s="329"/>
      <c r="U479" s="246"/>
      <c r="V479" s="317"/>
    </row>
    <row r="480" ht="12.75" customHeight="1">
      <c r="M480" s="316"/>
      <c r="N480" s="246"/>
      <c r="O480" s="315"/>
      <c r="Q480" s="316"/>
      <c r="R480" s="317"/>
      <c r="T480" s="329"/>
      <c r="U480" s="246"/>
      <c r="V480" s="317"/>
    </row>
    <row r="481" ht="12.75" customHeight="1">
      <c r="M481" s="316"/>
      <c r="N481" s="246"/>
      <c r="O481" s="315"/>
      <c r="Q481" s="316"/>
      <c r="R481" s="317"/>
      <c r="T481" s="329"/>
      <c r="U481" s="246"/>
      <c r="V481" s="317"/>
    </row>
    <row r="482" ht="12.75" customHeight="1">
      <c r="M482" s="316"/>
      <c r="N482" s="246"/>
      <c r="O482" s="315"/>
      <c r="Q482" s="316"/>
      <c r="R482" s="317"/>
      <c r="T482" s="329"/>
      <c r="U482" s="246"/>
      <c r="V482" s="317"/>
    </row>
    <row r="483" ht="12.75" customHeight="1">
      <c r="M483" s="316"/>
      <c r="N483" s="246"/>
      <c r="O483" s="315"/>
      <c r="Q483" s="316"/>
      <c r="R483" s="317"/>
      <c r="T483" s="329"/>
      <c r="U483" s="246"/>
      <c r="V483" s="317"/>
    </row>
    <row r="484" ht="12.75" customHeight="1">
      <c r="M484" s="316"/>
      <c r="N484" s="246"/>
      <c r="O484" s="315"/>
      <c r="Q484" s="316"/>
      <c r="R484" s="317"/>
      <c r="T484" s="329"/>
      <c r="U484" s="246"/>
      <c r="V484" s="317"/>
    </row>
    <row r="485" ht="12.75" customHeight="1">
      <c r="M485" s="316"/>
      <c r="N485" s="246"/>
      <c r="O485" s="315"/>
      <c r="Q485" s="316"/>
      <c r="R485" s="317"/>
      <c r="T485" s="329"/>
      <c r="U485" s="246"/>
      <c r="V485" s="317"/>
    </row>
    <row r="486" ht="12.75" customHeight="1">
      <c r="M486" s="316"/>
      <c r="N486" s="246"/>
      <c r="O486" s="315"/>
      <c r="Q486" s="316"/>
      <c r="R486" s="317"/>
      <c r="T486" s="329"/>
      <c r="U486" s="246"/>
      <c r="V486" s="317"/>
    </row>
    <row r="487" ht="12.75" customHeight="1">
      <c r="M487" s="316"/>
      <c r="N487" s="246"/>
      <c r="O487" s="315"/>
      <c r="Q487" s="316"/>
      <c r="R487" s="317"/>
      <c r="T487" s="329"/>
      <c r="U487" s="246"/>
      <c r="V487" s="317"/>
    </row>
    <row r="488" ht="12.75" customHeight="1">
      <c r="M488" s="316"/>
      <c r="N488" s="246"/>
      <c r="O488" s="315"/>
      <c r="Q488" s="316"/>
      <c r="R488" s="317"/>
      <c r="T488" s="329"/>
      <c r="U488" s="246"/>
      <c r="V488" s="317"/>
    </row>
    <row r="489" ht="12.75" customHeight="1">
      <c r="M489" s="316"/>
      <c r="N489" s="246"/>
      <c r="O489" s="315"/>
      <c r="Q489" s="316"/>
      <c r="R489" s="317"/>
      <c r="T489" s="329"/>
      <c r="U489" s="246"/>
      <c r="V489" s="317"/>
    </row>
    <row r="490" ht="12.75" customHeight="1">
      <c r="M490" s="316"/>
      <c r="N490" s="246"/>
      <c r="O490" s="315"/>
      <c r="Q490" s="316"/>
      <c r="R490" s="317"/>
      <c r="T490" s="329"/>
      <c r="U490" s="246"/>
      <c r="V490" s="317"/>
    </row>
    <row r="491" ht="12.75" customHeight="1">
      <c r="M491" s="316"/>
      <c r="N491" s="246"/>
      <c r="O491" s="315"/>
      <c r="Q491" s="316"/>
      <c r="R491" s="317"/>
      <c r="T491" s="329"/>
      <c r="U491" s="246"/>
      <c r="V491" s="317"/>
    </row>
    <row r="492" ht="12.75" customHeight="1">
      <c r="M492" s="316"/>
      <c r="N492" s="246"/>
      <c r="O492" s="315"/>
      <c r="Q492" s="316"/>
      <c r="R492" s="317"/>
      <c r="T492" s="329"/>
      <c r="U492" s="246"/>
      <c r="V492" s="317"/>
    </row>
    <row r="493" ht="12.75" customHeight="1">
      <c r="M493" s="316"/>
      <c r="N493" s="246"/>
      <c r="O493" s="315"/>
      <c r="Q493" s="316"/>
      <c r="R493" s="317"/>
      <c r="T493" s="329"/>
      <c r="U493" s="246"/>
      <c r="V493" s="317"/>
    </row>
    <row r="494" ht="12.75" customHeight="1">
      <c r="M494" s="316"/>
      <c r="N494" s="246"/>
      <c r="O494" s="315"/>
      <c r="Q494" s="316"/>
      <c r="R494" s="317"/>
      <c r="T494" s="329"/>
      <c r="U494" s="246"/>
      <c r="V494" s="317"/>
    </row>
    <row r="495" ht="12.75" customHeight="1">
      <c r="M495" s="316"/>
      <c r="N495" s="246"/>
      <c r="O495" s="315"/>
      <c r="Q495" s="316"/>
      <c r="R495" s="317"/>
      <c r="T495" s="329"/>
      <c r="U495" s="246"/>
      <c r="V495" s="317"/>
    </row>
    <row r="496" ht="12.75" customHeight="1">
      <c r="M496" s="316"/>
      <c r="N496" s="246"/>
      <c r="O496" s="315"/>
      <c r="Q496" s="316"/>
      <c r="R496" s="317"/>
      <c r="T496" s="329"/>
      <c r="U496" s="246"/>
      <c r="V496" s="317"/>
    </row>
    <row r="497" ht="12.75" customHeight="1">
      <c r="M497" s="316"/>
      <c r="N497" s="246"/>
      <c r="O497" s="315"/>
      <c r="Q497" s="316"/>
      <c r="R497" s="317"/>
      <c r="T497" s="329"/>
      <c r="U497" s="246"/>
      <c r="V497" s="317"/>
    </row>
    <row r="498" ht="12.75" customHeight="1">
      <c r="M498" s="316"/>
      <c r="N498" s="246"/>
      <c r="O498" s="315"/>
      <c r="Q498" s="316"/>
      <c r="R498" s="317"/>
      <c r="T498" s="329"/>
      <c r="U498" s="246"/>
      <c r="V498" s="317"/>
    </row>
    <row r="499" ht="12.75" customHeight="1">
      <c r="M499" s="316"/>
      <c r="N499" s="246"/>
      <c r="O499" s="315"/>
      <c r="Q499" s="316"/>
      <c r="R499" s="317"/>
      <c r="T499" s="329"/>
      <c r="U499" s="246"/>
      <c r="V499" s="317"/>
    </row>
    <row r="500" ht="12.75" customHeight="1">
      <c r="M500" s="316"/>
      <c r="N500" s="246"/>
      <c r="O500" s="315"/>
      <c r="Q500" s="316"/>
      <c r="R500" s="317"/>
      <c r="T500" s="329"/>
      <c r="U500" s="246"/>
      <c r="V500" s="317"/>
    </row>
    <row r="501" ht="12.75" customHeight="1">
      <c r="M501" s="316"/>
      <c r="N501" s="246"/>
      <c r="O501" s="315"/>
      <c r="Q501" s="316"/>
      <c r="R501" s="317"/>
      <c r="T501" s="329"/>
      <c r="U501" s="246"/>
      <c r="V501" s="317"/>
    </row>
    <row r="502" ht="12.75" customHeight="1">
      <c r="M502" s="316"/>
      <c r="N502" s="246"/>
      <c r="O502" s="315"/>
      <c r="Q502" s="316"/>
      <c r="R502" s="317"/>
      <c r="T502" s="329"/>
      <c r="U502" s="246"/>
      <c r="V502" s="317"/>
    </row>
    <row r="503" ht="12.75" customHeight="1">
      <c r="M503" s="316"/>
      <c r="N503" s="246"/>
      <c r="O503" s="315"/>
      <c r="Q503" s="316"/>
      <c r="R503" s="317"/>
      <c r="T503" s="329"/>
      <c r="U503" s="246"/>
      <c r="V503" s="317"/>
    </row>
    <row r="504" ht="12.75" customHeight="1">
      <c r="M504" s="316"/>
      <c r="N504" s="246"/>
      <c r="O504" s="315"/>
      <c r="Q504" s="316"/>
      <c r="R504" s="317"/>
      <c r="T504" s="329"/>
      <c r="U504" s="246"/>
      <c r="V504" s="317"/>
    </row>
    <row r="505" ht="12.75" customHeight="1">
      <c r="M505" s="316"/>
      <c r="N505" s="246"/>
      <c r="O505" s="315"/>
      <c r="Q505" s="316"/>
      <c r="R505" s="317"/>
      <c r="T505" s="329"/>
      <c r="U505" s="246"/>
      <c r="V505" s="317"/>
    </row>
    <row r="506" ht="12.75" customHeight="1">
      <c r="M506" s="316"/>
      <c r="N506" s="246"/>
      <c r="O506" s="315"/>
      <c r="Q506" s="316"/>
      <c r="R506" s="317"/>
      <c r="T506" s="329"/>
      <c r="U506" s="246"/>
      <c r="V506" s="317"/>
    </row>
    <row r="507" ht="12.75" customHeight="1">
      <c r="M507" s="316"/>
      <c r="N507" s="246"/>
      <c r="O507" s="315"/>
      <c r="Q507" s="316"/>
      <c r="R507" s="317"/>
      <c r="T507" s="329"/>
      <c r="U507" s="246"/>
      <c r="V507" s="317"/>
    </row>
    <row r="508" ht="12.75" customHeight="1">
      <c r="M508" s="316"/>
      <c r="N508" s="246"/>
      <c r="O508" s="315"/>
      <c r="Q508" s="316"/>
      <c r="R508" s="317"/>
      <c r="T508" s="329"/>
      <c r="U508" s="246"/>
      <c r="V508" s="317"/>
    </row>
    <row r="509" ht="12.75" customHeight="1">
      <c r="M509" s="316"/>
      <c r="N509" s="246"/>
      <c r="O509" s="315"/>
      <c r="Q509" s="316"/>
      <c r="R509" s="317"/>
      <c r="T509" s="329"/>
      <c r="U509" s="246"/>
      <c r="V509" s="317"/>
    </row>
    <row r="510" ht="12.75" customHeight="1">
      <c r="M510" s="316"/>
      <c r="N510" s="246"/>
      <c r="O510" s="315"/>
      <c r="Q510" s="316"/>
      <c r="R510" s="317"/>
      <c r="T510" s="329"/>
      <c r="U510" s="246"/>
      <c r="V510" s="317"/>
    </row>
    <row r="511" ht="12.75" customHeight="1">
      <c r="M511" s="316"/>
      <c r="N511" s="246"/>
      <c r="O511" s="315"/>
      <c r="Q511" s="316"/>
      <c r="R511" s="317"/>
      <c r="T511" s="329"/>
      <c r="U511" s="246"/>
      <c r="V511" s="317"/>
    </row>
    <row r="512" ht="12.75" customHeight="1">
      <c r="M512" s="316"/>
      <c r="N512" s="246"/>
      <c r="O512" s="315"/>
      <c r="Q512" s="316"/>
      <c r="R512" s="317"/>
      <c r="T512" s="329"/>
      <c r="U512" s="246"/>
      <c r="V512" s="317"/>
    </row>
    <row r="513" ht="12.75" customHeight="1">
      <c r="M513" s="316"/>
      <c r="N513" s="246"/>
      <c r="O513" s="315"/>
      <c r="Q513" s="316"/>
      <c r="R513" s="317"/>
      <c r="T513" s="329"/>
      <c r="U513" s="246"/>
      <c r="V513" s="317"/>
    </row>
    <row r="514" ht="12.75" customHeight="1">
      <c r="M514" s="316"/>
      <c r="N514" s="246"/>
      <c r="O514" s="315"/>
      <c r="Q514" s="316"/>
      <c r="R514" s="317"/>
      <c r="T514" s="329"/>
      <c r="U514" s="246"/>
      <c r="V514" s="317"/>
    </row>
    <row r="515" ht="12.75" customHeight="1">
      <c r="M515" s="316"/>
      <c r="N515" s="246"/>
      <c r="O515" s="315"/>
      <c r="Q515" s="316"/>
      <c r="R515" s="317"/>
      <c r="T515" s="329"/>
      <c r="U515" s="246"/>
      <c r="V515" s="317"/>
    </row>
    <row r="516" ht="12.75" customHeight="1">
      <c r="M516" s="316"/>
      <c r="N516" s="246"/>
      <c r="O516" s="315"/>
      <c r="Q516" s="316"/>
      <c r="R516" s="317"/>
      <c r="T516" s="329"/>
      <c r="U516" s="246"/>
      <c r="V516" s="317"/>
    </row>
    <row r="517" ht="12.75" customHeight="1">
      <c r="M517" s="316"/>
      <c r="N517" s="246"/>
      <c r="O517" s="315"/>
      <c r="Q517" s="316"/>
      <c r="R517" s="317"/>
      <c r="T517" s="329"/>
      <c r="U517" s="246"/>
      <c r="V517" s="317"/>
    </row>
    <row r="518" ht="12.75" customHeight="1">
      <c r="M518" s="316"/>
      <c r="N518" s="246"/>
      <c r="O518" s="315"/>
      <c r="Q518" s="316"/>
      <c r="R518" s="317"/>
      <c r="T518" s="329"/>
      <c r="U518" s="246"/>
      <c r="V518" s="317"/>
    </row>
    <row r="519" ht="12.75" customHeight="1">
      <c r="M519" s="316"/>
      <c r="N519" s="246"/>
      <c r="O519" s="315"/>
      <c r="Q519" s="316"/>
      <c r="R519" s="317"/>
      <c r="T519" s="329"/>
      <c r="U519" s="246"/>
      <c r="V519" s="317"/>
    </row>
    <row r="520" ht="12.75" customHeight="1">
      <c r="M520" s="316"/>
      <c r="N520" s="246"/>
      <c r="O520" s="315"/>
      <c r="Q520" s="316"/>
      <c r="R520" s="317"/>
      <c r="T520" s="329"/>
      <c r="U520" s="246"/>
      <c r="V520" s="317"/>
    </row>
    <row r="521" ht="12.75" customHeight="1">
      <c r="M521" s="316"/>
      <c r="N521" s="246"/>
      <c r="O521" s="315"/>
      <c r="Q521" s="316"/>
      <c r="R521" s="317"/>
      <c r="T521" s="329"/>
      <c r="U521" s="246"/>
      <c r="V521" s="317"/>
    </row>
    <row r="522" ht="12.75" customHeight="1">
      <c r="M522" s="316"/>
      <c r="N522" s="246"/>
      <c r="O522" s="315"/>
      <c r="Q522" s="316"/>
      <c r="R522" s="317"/>
      <c r="T522" s="329"/>
      <c r="U522" s="246"/>
      <c r="V522" s="317"/>
    </row>
    <row r="523" ht="12.75" customHeight="1">
      <c r="M523" s="316"/>
      <c r="N523" s="246"/>
      <c r="O523" s="315"/>
      <c r="Q523" s="316"/>
      <c r="R523" s="317"/>
      <c r="T523" s="329"/>
      <c r="U523" s="246"/>
      <c r="V523" s="317"/>
    </row>
    <row r="524" ht="12.75" customHeight="1">
      <c r="M524" s="316"/>
      <c r="N524" s="246"/>
      <c r="O524" s="315"/>
      <c r="Q524" s="316"/>
      <c r="R524" s="317"/>
      <c r="T524" s="329"/>
      <c r="U524" s="246"/>
      <c r="V524" s="317"/>
    </row>
    <row r="525" ht="12.75" customHeight="1">
      <c r="M525" s="316"/>
      <c r="N525" s="246"/>
      <c r="O525" s="315"/>
      <c r="Q525" s="316"/>
      <c r="R525" s="317"/>
      <c r="T525" s="329"/>
      <c r="U525" s="246"/>
      <c r="V525" s="317"/>
    </row>
    <row r="526" ht="12.75" customHeight="1">
      <c r="M526" s="316"/>
      <c r="N526" s="246"/>
      <c r="O526" s="315"/>
      <c r="Q526" s="316"/>
      <c r="R526" s="317"/>
      <c r="T526" s="329"/>
      <c r="U526" s="246"/>
      <c r="V526" s="317"/>
    </row>
    <row r="527" ht="12.75" customHeight="1">
      <c r="M527" s="316"/>
      <c r="N527" s="246"/>
      <c r="O527" s="315"/>
      <c r="Q527" s="316"/>
      <c r="R527" s="317"/>
      <c r="T527" s="329"/>
      <c r="U527" s="246"/>
      <c r="V527" s="317"/>
    </row>
    <row r="528" ht="12.75" customHeight="1">
      <c r="M528" s="316"/>
      <c r="N528" s="246"/>
      <c r="O528" s="315"/>
      <c r="Q528" s="316"/>
      <c r="R528" s="317"/>
      <c r="T528" s="329"/>
      <c r="U528" s="246"/>
      <c r="V528" s="317"/>
    </row>
    <row r="529" ht="12.75" customHeight="1">
      <c r="M529" s="316"/>
      <c r="N529" s="246"/>
      <c r="O529" s="315"/>
      <c r="Q529" s="316"/>
      <c r="R529" s="317"/>
      <c r="T529" s="329"/>
      <c r="U529" s="246"/>
      <c r="V529" s="317"/>
    </row>
    <row r="530" ht="12.75" customHeight="1">
      <c r="M530" s="316"/>
      <c r="N530" s="246"/>
      <c r="O530" s="315"/>
      <c r="Q530" s="316"/>
      <c r="R530" s="317"/>
      <c r="T530" s="329"/>
      <c r="U530" s="246"/>
      <c r="V530" s="317"/>
    </row>
    <row r="531" ht="12.75" customHeight="1">
      <c r="M531" s="316"/>
      <c r="N531" s="246"/>
      <c r="O531" s="315"/>
      <c r="Q531" s="316"/>
      <c r="R531" s="317"/>
      <c r="T531" s="329"/>
      <c r="U531" s="246"/>
      <c r="V531" s="317"/>
    </row>
    <row r="532" ht="12.75" customHeight="1">
      <c r="M532" s="316"/>
      <c r="N532" s="246"/>
      <c r="O532" s="315"/>
      <c r="Q532" s="316"/>
      <c r="R532" s="317"/>
      <c r="T532" s="329"/>
      <c r="U532" s="246"/>
      <c r="V532" s="317"/>
    </row>
    <row r="533" ht="12.75" customHeight="1">
      <c r="M533" s="316"/>
      <c r="N533" s="246"/>
      <c r="O533" s="315"/>
      <c r="Q533" s="316"/>
      <c r="R533" s="317"/>
      <c r="T533" s="329"/>
      <c r="U533" s="246"/>
      <c r="V533" s="317"/>
    </row>
    <row r="534" ht="12.75" customHeight="1">
      <c r="M534" s="316"/>
      <c r="N534" s="246"/>
      <c r="O534" s="315"/>
      <c r="Q534" s="316"/>
      <c r="R534" s="317"/>
      <c r="T534" s="329"/>
      <c r="U534" s="246"/>
      <c r="V534" s="317"/>
    </row>
    <row r="535" ht="12.75" customHeight="1">
      <c r="M535" s="316"/>
      <c r="N535" s="246"/>
      <c r="O535" s="315"/>
      <c r="Q535" s="316"/>
      <c r="R535" s="317"/>
      <c r="T535" s="329"/>
      <c r="U535" s="246"/>
      <c r="V535" s="317"/>
    </row>
    <row r="536" ht="12.75" customHeight="1">
      <c r="M536" s="316"/>
      <c r="N536" s="246"/>
      <c r="O536" s="315"/>
      <c r="Q536" s="316"/>
      <c r="R536" s="317"/>
      <c r="T536" s="329"/>
      <c r="U536" s="246"/>
      <c r="V536" s="317"/>
    </row>
    <row r="537" ht="12.75" customHeight="1">
      <c r="M537" s="316"/>
      <c r="N537" s="246"/>
      <c r="O537" s="315"/>
      <c r="Q537" s="316"/>
      <c r="R537" s="317"/>
      <c r="T537" s="329"/>
      <c r="U537" s="246"/>
      <c r="V537" s="317"/>
    </row>
    <row r="538" ht="12.75" customHeight="1">
      <c r="M538" s="316"/>
      <c r="N538" s="246"/>
      <c r="O538" s="315"/>
      <c r="Q538" s="316"/>
      <c r="R538" s="317"/>
      <c r="T538" s="329"/>
      <c r="U538" s="246"/>
      <c r="V538" s="317"/>
    </row>
    <row r="539" ht="12.75" customHeight="1">
      <c r="M539" s="316"/>
      <c r="N539" s="246"/>
      <c r="O539" s="315"/>
      <c r="Q539" s="316"/>
      <c r="R539" s="317"/>
      <c r="T539" s="329"/>
      <c r="U539" s="246"/>
      <c r="V539" s="317"/>
    </row>
    <row r="540" ht="12.75" customHeight="1">
      <c r="M540" s="316"/>
      <c r="N540" s="246"/>
      <c r="O540" s="315"/>
      <c r="Q540" s="316"/>
      <c r="R540" s="317"/>
      <c r="T540" s="329"/>
      <c r="U540" s="246"/>
      <c r="V540" s="317"/>
    </row>
    <row r="541" ht="12.75" customHeight="1">
      <c r="M541" s="316"/>
      <c r="N541" s="246"/>
      <c r="O541" s="315"/>
      <c r="Q541" s="316"/>
      <c r="R541" s="317"/>
      <c r="T541" s="329"/>
      <c r="U541" s="246"/>
      <c r="V541" s="317"/>
    </row>
    <row r="542" ht="12.75" customHeight="1">
      <c r="M542" s="316"/>
      <c r="N542" s="246"/>
      <c r="O542" s="315"/>
      <c r="Q542" s="316"/>
      <c r="R542" s="317"/>
      <c r="T542" s="329"/>
      <c r="U542" s="246"/>
      <c r="V542" s="317"/>
    </row>
    <row r="543" ht="12.75" customHeight="1">
      <c r="M543" s="316"/>
      <c r="N543" s="246"/>
      <c r="O543" s="315"/>
      <c r="Q543" s="316"/>
      <c r="R543" s="317"/>
      <c r="T543" s="329"/>
      <c r="U543" s="246"/>
      <c r="V543" s="317"/>
    </row>
    <row r="544" ht="12.75" customHeight="1">
      <c r="M544" s="316"/>
      <c r="N544" s="246"/>
      <c r="O544" s="315"/>
      <c r="Q544" s="316"/>
      <c r="R544" s="317"/>
      <c r="T544" s="329"/>
      <c r="U544" s="246"/>
      <c r="V544" s="317"/>
    </row>
    <row r="545" ht="12.75" customHeight="1">
      <c r="M545" s="316"/>
      <c r="N545" s="246"/>
      <c r="O545" s="315"/>
      <c r="Q545" s="316"/>
      <c r="R545" s="317"/>
      <c r="T545" s="329"/>
      <c r="U545" s="246"/>
      <c r="V545" s="317"/>
    </row>
    <row r="546" ht="12.75" customHeight="1">
      <c r="M546" s="316"/>
      <c r="N546" s="246"/>
      <c r="O546" s="315"/>
      <c r="Q546" s="316"/>
      <c r="R546" s="317"/>
      <c r="T546" s="329"/>
      <c r="U546" s="246"/>
      <c r="V546" s="317"/>
    </row>
    <row r="547" ht="12.75" customHeight="1">
      <c r="M547" s="316"/>
      <c r="N547" s="246"/>
      <c r="O547" s="315"/>
      <c r="Q547" s="316"/>
      <c r="R547" s="317"/>
      <c r="T547" s="329"/>
      <c r="U547" s="246"/>
      <c r="V547" s="317"/>
    </row>
    <row r="548" ht="12.75" customHeight="1">
      <c r="M548" s="316"/>
      <c r="N548" s="246"/>
      <c r="O548" s="315"/>
      <c r="Q548" s="316"/>
      <c r="R548" s="317"/>
      <c r="T548" s="329"/>
      <c r="U548" s="246"/>
      <c r="V548" s="317"/>
    </row>
    <row r="549" ht="12.75" customHeight="1">
      <c r="M549" s="316"/>
      <c r="N549" s="246"/>
      <c r="O549" s="315"/>
      <c r="Q549" s="316"/>
      <c r="R549" s="317"/>
      <c r="T549" s="329"/>
      <c r="U549" s="246"/>
      <c r="V549" s="317"/>
    </row>
    <row r="550" ht="12.75" customHeight="1">
      <c r="M550" s="316"/>
      <c r="N550" s="246"/>
      <c r="O550" s="315"/>
      <c r="Q550" s="316"/>
      <c r="R550" s="317"/>
      <c r="T550" s="329"/>
      <c r="U550" s="246"/>
      <c r="V550" s="317"/>
    </row>
    <row r="551" ht="12.75" customHeight="1">
      <c r="M551" s="316"/>
      <c r="N551" s="246"/>
      <c r="O551" s="315"/>
      <c r="Q551" s="316"/>
      <c r="R551" s="317"/>
      <c r="T551" s="329"/>
      <c r="U551" s="246"/>
      <c r="V551" s="317"/>
    </row>
    <row r="552" ht="12.75" customHeight="1">
      <c r="M552" s="316"/>
      <c r="N552" s="246"/>
      <c r="O552" s="315"/>
      <c r="Q552" s="316"/>
      <c r="R552" s="317"/>
      <c r="T552" s="329"/>
      <c r="U552" s="246"/>
      <c r="V552" s="317"/>
    </row>
    <row r="553" ht="12.75" customHeight="1">
      <c r="M553" s="316"/>
      <c r="N553" s="246"/>
      <c r="O553" s="315"/>
      <c r="Q553" s="316"/>
      <c r="R553" s="317"/>
      <c r="T553" s="329"/>
      <c r="U553" s="246"/>
      <c r="V553" s="317"/>
    </row>
    <row r="554" ht="12.75" customHeight="1">
      <c r="M554" s="316"/>
      <c r="N554" s="246"/>
      <c r="O554" s="315"/>
      <c r="Q554" s="316"/>
      <c r="R554" s="317"/>
      <c r="T554" s="329"/>
      <c r="U554" s="246"/>
      <c r="V554" s="317"/>
    </row>
    <row r="555" ht="12.75" customHeight="1">
      <c r="M555" s="316"/>
      <c r="N555" s="246"/>
      <c r="O555" s="315"/>
      <c r="Q555" s="316"/>
      <c r="R555" s="317"/>
      <c r="T555" s="329"/>
      <c r="U555" s="246"/>
      <c r="V555" s="317"/>
    </row>
    <row r="556" ht="12.75" customHeight="1">
      <c r="M556" s="316"/>
      <c r="N556" s="246"/>
      <c r="O556" s="315"/>
      <c r="Q556" s="316"/>
      <c r="R556" s="317"/>
      <c r="T556" s="329"/>
      <c r="U556" s="246"/>
      <c r="V556" s="317"/>
    </row>
    <row r="557" ht="12.75" customHeight="1">
      <c r="M557" s="316"/>
      <c r="N557" s="246"/>
      <c r="O557" s="315"/>
      <c r="Q557" s="316"/>
      <c r="R557" s="317"/>
      <c r="T557" s="329"/>
      <c r="U557" s="246"/>
      <c r="V557" s="317"/>
    </row>
    <row r="558" ht="12.75" customHeight="1">
      <c r="M558" s="316"/>
      <c r="N558" s="246"/>
      <c r="O558" s="315"/>
      <c r="Q558" s="316"/>
      <c r="R558" s="317"/>
      <c r="T558" s="329"/>
      <c r="U558" s="246"/>
      <c r="V558" s="317"/>
    </row>
    <row r="559" ht="12.75" customHeight="1">
      <c r="M559" s="316"/>
      <c r="N559" s="246"/>
      <c r="O559" s="315"/>
      <c r="Q559" s="316"/>
      <c r="R559" s="317"/>
      <c r="T559" s="329"/>
      <c r="U559" s="246"/>
      <c r="V559" s="317"/>
    </row>
    <row r="560" ht="12.75" customHeight="1">
      <c r="M560" s="316"/>
      <c r="N560" s="246"/>
      <c r="O560" s="315"/>
      <c r="Q560" s="316"/>
      <c r="R560" s="317"/>
      <c r="T560" s="329"/>
      <c r="U560" s="246"/>
      <c r="V560" s="317"/>
    </row>
    <row r="561" ht="12.75" customHeight="1">
      <c r="M561" s="316"/>
      <c r="N561" s="246"/>
      <c r="O561" s="315"/>
      <c r="Q561" s="316"/>
      <c r="R561" s="317"/>
      <c r="T561" s="329"/>
      <c r="U561" s="246"/>
      <c r="V561" s="317"/>
    </row>
    <row r="562" ht="12.75" customHeight="1">
      <c r="M562" s="316"/>
      <c r="N562" s="246"/>
      <c r="O562" s="315"/>
      <c r="Q562" s="316"/>
      <c r="R562" s="317"/>
      <c r="T562" s="329"/>
      <c r="U562" s="246"/>
      <c r="V562" s="317"/>
    </row>
    <row r="563" ht="12.75" customHeight="1">
      <c r="M563" s="316"/>
      <c r="N563" s="246"/>
      <c r="O563" s="315"/>
      <c r="Q563" s="316"/>
      <c r="R563" s="317"/>
      <c r="T563" s="329"/>
      <c r="U563" s="246"/>
      <c r="V563" s="317"/>
    </row>
    <row r="564" ht="12.75" customHeight="1">
      <c r="M564" s="316"/>
      <c r="N564" s="246"/>
      <c r="O564" s="315"/>
      <c r="Q564" s="316"/>
      <c r="R564" s="317"/>
      <c r="T564" s="329"/>
      <c r="U564" s="246"/>
      <c r="V564" s="317"/>
    </row>
    <row r="565" ht="12.75" customHeight="1">
      <c r="M565" s="316"/>
      <c r="N565" s="246"/>
      <c r="O565" s="315"/>
      <c r="Q565" s="316"/>
      <c r="R565" s="317"/>
      <c r="T565" s="329"/>
      <c r="U565" s="246"/>
      <c r="V565" s="317"/>
    </row>
    <row r="566" ht="12.75" customHeight="1">
      <c r="M566" s="316"/>
      <c r="N566" s="246"/>
      <c r="O566" s="315"/>
      <c r="Q566" s="316"/>
      <c r="R566" s="317"/>
      <c r="T566" s="329"/>
      <c r="U566" s="246"/>
      <c r="V566" s="317"/>
    </row>
    <row r="567" ht="12.75" customHeight="1">
      <c r="M567" s="316"/>
      <c r="N567" s="246"/>
      <c r="O567" s="315"/>
      <c r="Q567" s="316"/>
      <c r="R567" s="317"/>
      <c r="T567" s="329"/>
      <c r="U567" s="246"/>
      <c r="V567" s="317"/>
    </row>
    <row r="568" ht="12.75" customHeight="1">
      <c r="M568" s="316"/>
      <c r="N568" s="246"/>
      <c r="O568" s="315"/>
      <c r="Q568" s="316"/>
      <c r="R568" s="317"/>
      <c r="T568" s="329"/>
      <c r="U568" s="246"/>
      <c r="V568" s="317"/>
    </row>
    <row r="569" ht="12.75" customHeight="1">
      <c r="M569" s="316"/>
      <c r="N569" s="246"/>
      <c r="O569" s="315"/>
      <c r="Q569" s="316"/>
      <c r="R569" s="317"/>
      <c r="T569" s="329"/>
      <c r="U569" s="246"/>
      <c r="V569" s="317"/>
    </row>
    <row r="570" ht="12.75" customHeight="1">
      <c r="M570" s="316"/>
      <c r="N570" s="246"/>
      <c r="O570" s="315"/>
      <c r="Q570" s="316"/>
      <c r="R570" s="317"/>
      <c r="T570" s="329"/>
      <c r="U570" s="246"/>
      <c r="V570" s="317"/>
    </row>
    <row r="571" ht="12.75" customHeight="1">
      <c r="M571" s="316"/>
      <c r="N571" s="246"/>
      <c r="O571" s="315"/>
      <c r="Q571" s="316"/>
      <c r="R571" s="317"/>
      <c r="T571" s="329"/>
      <c r="U571" s="246"/>
      <c r="V571" s="317"/>
    </row>
    <row r="572" ht="12.75" customHeight="1">
      <c r="M572" s="316"/>
      <c r="N572" s="246"/>
      <c r="O572" s="315"/>
      <c r="Q572" s="316"/>
      <c r="R572" s="317"/>
      <c r="T572" s="329"/>
      <c r="U572" s="246"/>
      <c r="V572" s="317"/>
    </row>
    <row r="573" ht="12.75" customHeight="1">
      <c r="M573" s="316"/>
      <c r="N573" s="246"/>
      <c r="O573" s="315"/>
      <c r="Q573" s="316"/>
      <c r="R573" s="317"/>
      <c r="T573" s="329"/>
      <c r="U573" s="246"/>
      <c r="V573" s="317"/>
    </row>
    <row r="574" ht="12.75" customHeight="1">
      <c r="M574" s="316"/>
      <c r="N574" s="246"/>
      <c r="O574" s="315"/>
      <c r="Q574" s="316"/>
      <c r="R574" s="317"/>
      <c r="T574" s="329"/>
      <c r="U574" s="246"/>
      <c r="V574" s="317"/>
    </row>
    <row r="575" ht="12.75" customHeight="1">
      <c r="M575" s="316"/>
      <c r="N575" s="246"/>
      <c r="O575" s="315"/>
      <c r="Q575" s="316"/>
      <c r="R575" s="317"/>
      <c r="T575" s="329"/>
      <c r="U575" s="246"/>
      <c r="V575" s="317"/>
    </row>
    <row r="576" ht="12.75" customHeight="1">
      <c r="M576" s="316"/>
      <c r="N576" s="246"/>
      <c r="O576" s="315"/>
      <c r="Q576" s="316"/>
      <c r="R576" s="317"/>
      <c r="T576" s="329"/>
      <c r="U576" s="246"/>
      <c r="V576" s="317"/>
    </row>
    <row r="577" ht="12.75" customHeight="1">
      <c r="M577" s="316"/>
      <c r="N577" s="246"/>
      <c r="O577" s="315"/>
      <c r="Q577" s="316"/>
      <c r="R577" s="317"/>
      <c r="T577" s="329"/>
      <c r="U577" s="246"/>
      <c r="V577" s="317"/>
    </row>
    <row r="578" ht="12.75" customHeight="1">
      <c r="M578" s="316"/>
      <c r="N578" s="246"/>
      <c r="O578" s="315"/>
      <c r="Q578" s="316"/>
      <c r="R578" s="317"/>
      <c r="T578" s="329"/>
      <c r="U578" s="246"/>
      <c r="V578" s="317"/>
    </row>
    <row r="579" ht="12.75" customHeight="1">
      <c r="M579" s="316"/>
      <c r="N579" s="246"/>
      <c r="O579" s="315"/>
      <c r="Q579" s="316"/>
      <c r="R579" s="317"/>
      <c r="T579" s="329"/>
      <c r="U579" s="246"/>
      <c r="V579" s="317"/>
    </row>
    <row r="580" ht="12.75" customHeight="1">
      <c r="M580" s="316"/>
      <c r="N580" s="246"/>
      <c r="O580" s="315"/>
      <c r="Q580" s="316"/>
      <c r="R580" s="317"/>
      <c r="T580" s="329"/>
      <c r="U580" s="246"/>
      <c r="V580" s="317"/>
    </row>
    <row r="581" ht="12.75" customHeight="1">
      <c r="M581" s="316"/>
      <c r="N581" s="246"/>
      <c r="O581" s="315"/>
      <c r="Q581" s="316"/>
      <c r="R581" s="317"/>
      <c r="T581" s="329"/>
      <c r="U581" s="246"/>
      <c r="V581" s="317"/>
    </row>
    <row r="582" ht="12.75" customHeight="1">
      <c r="M582" s="316"/>
      <c r="N582" s="246"/>
      <c r="O582" s="315"/>
      <c r="Q582" s="316"/>
      <c r="R582" s="317"/>
      <c r="T582" s="329"/>
      <c r="U582" s="246"/>
      <c r="V582" s="317"/>
    </row>
    <row r="583" ht="12.75" customHeight="1">
      <c r="M583" s="316"/>
      <c r="N583" s="246"/>
      <c r="O583" s="315"/>
      <c r="Q583" s="316"/>
      <c r="R583" s="317"/>
      <c r="T583" s="329"/>
      <c r="U583" s="246"/>
      <c r="V583" s="317"/>
    </row>
    <row r="584" ht="12.75" customHeight="1">
      <c r="M584" s="316"/>
      <c r="N584" s="246"/>
      <c r="O584" s="315"/>
      <c r="Q584" s="316"/>
      <c r="R584" s="317"/>
      <c r="T584" s="329"/>
      <c r="U584" s="246"/>
      <c r="V584" s="317"/>
    </row>
    <row r="585" ht="12.75" customHeight="1">
      <c r="M585" s="316"/>
      <c r="N585" s="246"/>
      <c r="O585" s="315"/>
      <c r="Q585" s="316"/>
      <c r="R585" s="317"/>
      <c r="T585" s="329"/>
      <c r="U585" s="246"/>
      <c r="V585" s="317"/>
    </row>
    <row r="586" ht="12.75" customHeight="1">
      <c r="M586" s="316"/>
      <c r="N586" s="246"/>
      <c r="O586" s="315"/>
      <c r="Q586" s="316"/>
      <c r="R586" s="317"/>
      <c r="T586" s="329"/>
      <c r="U586" s="246"/>
      <c r="V586" s="317"/>
    </row>
    <row r="587" ht="12.75" customHeight="1">
      <c r="M587" s="316"/>
      <c r="N587" s="246"/>
      <c r="O587" s="315"/>
      <c r="Q587" s="316"/>
      <c r="R587" s="317"/>
      <c r="T587" s="329"/>
      <c r="U587" s="246"/>
      <c r="V587" s="317"/>
    </row>
    <row r="588" ht="12.75" customHeight="1">
      <c r="M588" s="316"/>
      <c r="N588" s="246"/>
      <c r="O588" s="315"/>
      <c r="Q588" s="316"/>
      <c r="R588" s="317"/>
      <c r="T588" s="329"/>
      <c r="U588" s="246"/>
      <c r="V588" s="317"/>
    </row>
    <row r="589" ht="12.75" customHeight="1">
      <c r="M589" s="316"/>
      <c r="N589" s="246"/>
      <c r="O589" s="315"/>
      <c r="Q589" s="316"/>
      <c r="R589" s="317"/>
      <c r="T589" s="329"/>
      <c r="U589" s="246"/>
      <c r="V589" s="317"/>
    </row>
    <row r="590" ht="12.75" customHeight="1">
      <c r="M590" s="316"/>
      <c r="N590" s="246"/>
      <c r="O590" s="315"/>
      <c r="Q590" s="316"/>
      <c r="R590" s="317"/>
      <c r="T590" s="329"/>
      <c r="U590" s="246"/>
      <c r="V590" s="317"/>
    </row>
    <row r="591" ht="12.75" customHeight="1">
      <c r="M591" s="316"/>
      <c r="N591" s="246"/>
      <c r="O591" s="315"/>
      <c r="Q591" s="316"/>
      <c r="R591" s="317"/>
      <c r="T591" s="329"/>
      <c r="U591" s="246"/>
      <c r="V591" s="317"/>
    </row>
    <row r="592" ht="12.75" customHeight="1">
      <c r="M592" s="316"/>
      <c r="N592" s="246"/>
      <c r="O592" s="315"/>
      <c r="Q592" s="316"/>
      <c r="R592" s="317"/>
      <c r="T592" s="329"/>
      <c r="U592" s="246"/>
      <c r="V592" s="317"/>
    </row>
    <row r="593" ht="12.75" customHeight="1">
      <c r="M593" s="316"/>
      <c r="N593" s="246"/>
      <c r="O593" s="315"/>
      <c r="Q593" s="316"/>
      <c r="R593" s="317"/>
      <c r="T593" s="329"/>
      <c r="U593" s="246"/>
      <c r="V593" s="317"/>
    </row>
    <row r="594" ht="12.75" customHeight="1">
      <c r="M594" s="316"/>
      <c r="N594" s="246"/>
      <c r="O594" s="315"/>
      <c r="Q594" s="316"/>
      <c r="R594" s="317"/>
      <c r="T594" s="329"/>
      <c r="U594" s="246"/>
      <c r="V594" s="317"/>
    </row>
    <row r="595" ht="12.75" customHeight="1">
      <c r="M595" s="316"/>
      <c r="N595" s="246"/>
      <c r="O595" s="315"/>
      <c r="Q595" s="316"/>
      <c r="R595" s="317"/>
      <c r="T595" s="329"/>
      <c r="U595" s="246"/>
      <c r="V595" s="317"/>
    </row>
    <row r="596" ht="12.75" customHeight="1">
      <c r="M596" s="316"/>
      <c r="N596" s="246"/>
      <c r="O596" s="315"/>
      <c r="Q596" s="316"/>
      <c r="R596" s="317"/>
      <c r="T596" s="329"/>
      <c r="U596" s="246"/>
      <c r="V596" s="317"/>
    </row>
    <row r="597" ht="12.75" customHeight="1">
      <c r="M597" s="316"/>
      <c r="N597" s="246"/>
      <c r="O597" s="315"/>
      <c r="Q597" s="316"/>
      <c r="R597" s="317"/>
      <c r="T597" s="329"/>
      <c r="U597" s="246"/>
      <c r="V597" s="317"/>
    </row>
    <row r="598" ht="12.75" customHeight="1">
      <c r="M598" s="316"/>
      <c r="N598" s="246"/>
      <c r="O598" s="315"/>
      <c r="Q598" s="316"/>
      <c r="R598" s="317"/>
      <c r="T598" s="329"/>
      <c r="U598" s="246"/>
      <c r="V598" s="317"/>
    </row>
    <row r="599" ht="12.75" customHeight="1">
      <c r="M599" s="316"/>
      <c r="N599" s="246"/>
      <c r="O599" s="315"/>
      <c r="Q599" s="316"/>
      <c r="R599" s="317"/>
      <c r="T599" s="329"/>
      <c r="U599" s="246"/>
      <c r="V599" s="317"/>
    </row>
    <row r="600" ht="12.75" customHeight="1">
      <c r="M600" s="316"/>
      <c r="N600" s="246"/>
      <c r="O600" s="315"/>
      <c r="Q600" s="316"/>
      <c r="R600" s="317"/>
      <c r="T600" s="329"/>
      <c r="U600" s="246"/>
      <c r="V600" s="317"/>
    </row>
    <row r="601" ht="12.75" customHeight="1">
      <c r="M601" s="316"/>
      <c r="N601" s="246"/>
      <c r="O601" s="315"/>
      <c r="Q601" s="316"/>
      <c r="R601" s="317"/>
      <c r="T601" s="329"/>
      <c r="U601" s="246"/>
      <c r="V601" s="317"/>
    </row>
    <row r="602" ht="12.75" customHeight="1">
      <c r="M602" s="316"/>
      <c r="N602" s="246"/>
      <c r="O602" s="315"/>
      <c r="Q602" s="316"/>
      <c r="R602" s="317"/>
      <c r="T602" s="329"/>
      <c r="U602" s="246"/>
      <c r="V602" s="317"/>
    </row>
    <row r="603" ht="12.75" customHeight="1">
      <c r="M603" s="316"/>
      <c r="N603" s="246"/>
      <c r="O603" s="315"/>
      <c r="Q603" s="316"/>
      <c r="R603" s="317"/>
      <c r="T603" s="329"/>
      <c r="U603" s="246"/>
      <c r="V603" s="317"/>
    </row>
    <row r="604" ht="12.75" customHeight="1">
      <c r="M604" s="316"/>
      <c r="N604" s="246"/>
      <c r="O604" s="315"/>
      <c r="Q604" s="316"/>
      <c r="R604" s="317"/>
      <c r="T604" s="329"/>
      <c r="U604" s="246"/>
      <c r="V604" s="317"/>
    </row>
    <row r="605" ht="12.75" customHeight="1">
      <c r="M605" s="316"/>
      <c r="N605" s="246"/>
      <c r="O605" s="315"/>
      <c r="Q605" s="316"/>
      <c r="R605" s="317"/>
      <c r="T605" s="329"/>
      <c r="U605" s="246"/>
      <c r="V605" s="317"/>
    </row>
    <row r="606" ht="12.75" customHeight="1">
      <c r="M606" s="316"/>
      <c r="N606" s="246"/>
      <c r="O606" s="315"/>
      <c r="Q606" s="316"/>
      <c r="R606" s="317"/>
      <c r="T606" s="329"/>
      <c r="U606" s="246"/>
      <c r="V606" s="317"/>
    </row>
    <row r="607" ht="12.75" customHeight="1">
      <c r="M607" s="316"/>
      <c r="N607" s="246"/>
      <c r="O607" s="315"/>
      <c r="Q607" s="316"/>
      <c r="R607" s="317"/>
      <c r="T607" s="329"/>
      <c r="U607" s="246"/>
      <c r="V607" s="317"/>
    </row>
    <row r="608" ht="12.75" customHeight="1">
      <c r="M608" s="316"/>
      <c r="N608" s="246"/>
      <c r="O608" s="315"/>
      <c r="Q608" s="316"/>
      <c r="R608" s="317"/>
      <c r="T608" s="329"/>
      <c r="U608" s="246"/>
      <c r="V608" s="317"/>
    </row>
    <row r="609" ht="12.75" customHeight="1">
      <c r="M609" s="316"/>
      <c r="N609" s="246"/>
      <c r="O609" s="315"/>
      <c r="Q609" s="316"/>
      <c r="R609" s="317"/>
      <c r="T609" s="329"/>
      <c r="U609" s="246"/>
      <c r="V609" s="317"/>
    </row>
    <row r="610" ht="12.75" customHeight="1">
      <c r="M610" s="316"/>
      <c r="N610" s="246"/>
      <c r="O610" s="315"/>
      <c r="Q610" s="316"/>
      <c r="R610" s="317"/>
      <c r="T610" s="329"/>
      <c r="U610" s="246"/>
      <c r="V610" s="317"/>
    </row>
    <row r="611" ht="12.75" customHeight="1">
      <c r="M611" s="316"/>
      <c r="N611" s="246"/>
      <c r="O611" s="315"/>
      <c r="Q611" s="316"/>
      <c r="R611" s="317"/>
      <c r="T611" s="329"/>
      <c r="U611" s="246"/>
      <c r="V611" s="317"/>
    </row>
    <row r="612" ht="12.75" customHeight="1">
      <c r="M612" s="316"/>
      <c r="N612" s="246"/>
      <c r="O612" s="315"/>
      <c r="Q612" s="316"/>
      <c r="R612" s="317"/>
      <c r="T612" s="329"/>
      <c r="U612" s="246"/>
      <c r="V612" s="317"/>
    </row>
    <row r="613" ht="12.75" customHeight="1">
      <c r="M613" s="316"/>
      <c r="N613" s="246"/>
      <c r="O613" s="315"/>
      <c r="Q613" s="316"/>
      <c r="R613" s="317"/>
      <c r="T613" s="329"/>
      <c r="U613" s="246"/>
      <c r="V613" s="317"/>
    </row>
    <row r="614" ht="12.75" customHeight="1">
      <c r="M614" s="316"/>
      <c r="N614" s="246"/>
      <c r="O614" s="315"/>
      <c r="Q614" s="316"/>
      <c r="R614" s="317"/>
      <c r="T614" s="329"/>
      <c r="U614" s="246"/>
      <c r="V614" s="317"/>
    </row>
    <row r="615" ht="12.75" customHeight="1">
      <c r="M615" s="316"/>
      <c r="N615" s="246"/>
      <c r="O615" s="315"/>
      <c r="Q615" s="316"/>
      <c r="R615" s="317"/>
      <c r="T615" s="329"/>
      <c r="U615" s="246"/>
      <c r="V615" s="317"/>
    </row>
    <row r="616" ht="12.75" customHeight="1">
      <c r="M616" s="316"/>
      <c r="N616" s="246"/>
      <c r="O616" s="315"/>
      <c r="Q616" s="316"/>
      <c r="R616" s="317"/>
      <c r="T616" s="329"/>
      <c r="U616" s="246"/>
      <c r="V616" s="317"/>
    </row>
    <row r="617" ht="12.75" customHeight="1">
      <c r="M617" s="316"/>
      <c r="N617" s="246"/>
      <c r="O617" s="315"/>
      <c r="Q617" s="316"/>
      <c r="R617" s="317"/>
      <c r="T617" s="329"/>
      <c r="U617" s="246"/>
      <c r="V617" s="317"/>
    </row>
    <row r="618" ht="12.75" customHeight="1">
      <c r="M618" s="316"/>
      <c r="N618" s="246"/>
      <c r="O618" s="315"/>
      <c r="Q618" s="316"/>
      <c r="R618" s="317"/>
      <c r="T618" s="329"/>
      <c r="U618" s="246"/>
      <c r="V618" s="317"/>
    </row>
    <row r="619" ht="12.75" customHeight="1">
      <c r="M619" s="316"/>
      <c r="N619" s="246"/>
      <c r="O619" s="315"/>
      <c r="Q619" s="316"/>
      <c r="R619" s="317"/>
      <c r="T619" s="329"/>
      <c r="U619" s="246"/>
      <c r="V619" s="317"/>
    </row>
    <row r="620" ht="12.75" customHeight="1">
      <c r="M620" s="316"/>
      <c r="N620" s="246"/>
      <c r="O620" s="315"/>
      <c r="Q620" s="316"/>
      <c r="R620" s="317"/>
      <c r="T620" s="329"/>
      <c r="U620" s="246"/>
      <c r="V620" s="317"/>
    </row>
    <row r="621" ht="12.75" customHeight="1">
      <c r="M621" s="316"/>
      <c r="N621" s="246"/>
      <c r="O621" s="315"/>
      <c r="Q621" s="316"/>
      <c r="R621" s="317"/>
      <c r="T621" s="329"/>
      <c r="U621" s="246"/>
      <c r="V621" s="317"/>
    </row>
    <row r="622" ht="12.75" customHeight="1">
      <c r="M622" s="316"/>
      <c r="N622" s="246"/>
      <c r="O622" s="315"/>
      <c r="Q622" s="316"/>
      <c r="R622" s="317"/>
      <c r="T622" s="329"/>
      <c r="U622" s="246"/>
      <c r="V622" s="317"/>
    </row>
    <row r="623" ht="12.75" customHeight="1">
      <c r="M623" s="316"/>
      <c r="N623" s="246"/>
      <c r="O623" s="315"/>
      <c r="Q623" s="316"/>
      <c r="R623" s="317"/>
      <c r="T623" s="329"/>
      <c r="U623" s="246"/>
      <c r="V623" s="317"/>
    </row>
    <row r="624" ht="12.75" customHeight="1">
      <c r="M624" s="316"/>
      <c r="N624" s="246"/>
      <c r="O624" s="315"/>
      <c r="Q624" s="316"/>
      <c r="R624" s="317"/>
      <c r="T624" s="329"/>
      <c r="U624" s="246"/>
      <c r="V624" s="317"/>
    </row>
    <row r="625" ht="12.75" customHeight="1">
      <c r="M625" s="316"/>
      <c r="N625" s="246"/>
      <c r="O625" s="315"/>
      <c r="Q625" s="316"/>
      <c r="R625" s="317"/>
      <c r="T625" s="329"/>
      <c r="U625" s="246"/>
      <c r="V625" s="317"/>
    </row>
    <row r="626" ht="12.75" customHeight="1">
      <c r="M626" s="316"/>
      <c r="N626" s="246"/>
      <c r="O626" s="315"/>
      <c r="Q626" s="316"/>
      <c r="R626" s="317"/>
      <c r="T626" s="329"/>
      <c r="U626" s="246"/>
      <c r="V626" s="317"/>
    </row>
    <row r="627" ht="12.75" customHeight="1">
      <c r="M627" s="316"/>
      <c r="N627" s="246"/>
      <c r="O627" s="315"/>
      <c r="Q627" s="316"/>
      <c r="R627" s="317"/>
      <c r="T627" s="329"/>
      <c r="U627" s="246"/>
      <c r="V627" s="317"/>
    </row>
    <row r="628" ht="12.75" customHeight="1">
      <c r="M628" s="316"/>
      <c r="N628" s="246"/>
      <c r="O628" s="315"/>
      <c r="Q628" s="316"/>
      <c r="R628" s="317"/>
      <c r="T628" s="329"/>
      <c r="U628" s="246"/>
      <c r="V628" s="317"/>
    </row>
    <row r="629" ht="12.75" customHeight="1">
      <c r="M629" s="316"/>
      <c r="N629" s="246"/>
      <c r="O629" s="315"/>
      <c r="Q629" s="316"/>
      <c r="R629" s="317"/>
      <c r="T629" s="329"/>
      <c r="U629" s="246"/>
      <c r="V629" s="317"/>
    </row>
    <row r="630" ht="12.75" customHeight="1">
      <c r="M630" s="316"/>
      <c r="N630" s="246"/>
      <c r="O630" s="315"/>
      <c r="Q630" s="316"/>
      <c r="R630" s="317"/>
      <c r="T630" s="329"/>
      <c r="U630" s="246"/>
      <c r="V630" s="317"/>
    </row>
    <row r="631" ht="12.75" customHeight="1">
      <c r="M631" s="316"/>
      <c r="N631" s="246"/>
      <c r="O631" s="315"/>
      <c r="Q631" s="316"/>
      <c r="R631" s="317"/>
      <c r="T631" s="329"/>
      <c r="U631" s="246"/>
      <c r="V631" s="317"/>
    </row>
    <row r="632" ht="12.75" customHeight="1">
      <c r="M632" s="316"/>
      <c r="N632" s="246"/>
      <c r="O632" s="315"/>
      <c r="Q632" s="316"/>
      <c r="R632" s="317"/>
      <c r="T632" s="329"/>
      <c r="U632" s="246"/>
      <c r="V632" s="317"/>
    </row>
    <row r="633" ht="12.75" customHeight="1">
      <c r="M633" s="316"/>
      <c r="N633" s="246"/>
      <c r="O633" s="315"/>
      <c r="Q633" s="316"/>
      <c r="R633" s="317"/>
      <c r="T633" s="329"/>
      <c r="U633" s="246"/>
      <c r="V633" s="317"/>
    </row>
    <row r="634" ht="12.75" customHeight="1">
      <c r="M634" s="316"/>
      <c r="N634" s="246"/>
      <c r="O634" s="315"/>
      <c r="Q634" s="316"/>
      <c r="R634" s="317"/>
      <c r="T634" s="329"/>
      <c r="U634" s="246"/>
      <c r="V634" s="317"/>
    </row>
    <row r="635" ht="12.75" customHeight="1">
      <c r="M635" s="316"/>
      <c r="N635" s="246"/>
      <c r="O635" s="315"/>
      <c r="Q635" s="316"/>
      <c r="R635" s="317"/>
      <c r="T635" s="329"/>
      <c r="U635" s="246"/>
      <c r="V635" s="317"/>
    </row>
    <row r="636" ht="12.75" customHeight="1">
      <c r="M636" s="316"/>
      <c r="N636" s="246"/>
      <c r="O636" s="315"/>
      <c r="Q636" s="316"/>
      <c r="R636" s="317"/>
      <c r="T636" s="329"/>
      <c r="U636" s="246"/>
      <c r="V636" s="317"/>
    </row>
    <row r="637" ht="12.75" customHeight="1">
      <c r="M637" s="316"/>
      <c r="N637" s="246"/>
      <c r="O637" s="315"/>
      <c r="Q637" s="316"/>
      <c r="R637" s="317"/>
      <c r="T637" s="329"/>
      <c r="U637" s="246"/>
      <c r="V637" s="317"/>
    </row>
    <row r="638" ht="12.75" customHeight="1">
      <c r="M638" s="316"/>
      <c r="N638" s="246"/>
      <c r="O638" s="315"/>
      <c r="Q638" s="316"/>
      <c r="R638" s="317"/>
      <c r="T638" s="329"/>
      <c r="U638" s="246"/>
      <c r="V638" s="317"/>
    </row>
    <row r="639" ht="12.75" customHeight="1">
      <c r="M639" s="316"/>
      <c r="N639" s="246"/>
      <c r="O639" s="315"/>
      <c r="Q639" s="316"/>
      <c r="R639" s="317"/>
      <c r="T639" s="329"/>
      <c r="U639" s="246"/>
      <c r="V639" s="317"/>
    </row>
    <row r="640" ht="12.75" customHeight="1">
      <c r="M640" s="316"/>
      <c r="N640" s="246"/>
      <c r="O640" s="315"/>
      <c r="Q640" s="316"/>
      <c r="R640" s="317"/>
      <c r="T640" s="329"/>
      <c r="U640" s="246"/>
      <c r="V640" s="317"/>
    </row>
    <row r="641" ht="12.75" customHeight="1">
      <c r="M641" s="316"/>
      <c r="N641" s="246"/>
      <c r="O641" s="315"/>
      <c r="Q641" s="316"/>
      <c r="R641" s="317"/>
      <c r="T641" s="329"/>
      <c r="U641" s="246"/>
      <c r="V641" s="317"/>
    </row>
    <row r="642" ht="12.75" customHeight="1">
      <c r="M642" s="316"/>
      <c r="N642" s="246"/>
      <c r="O642" s="315"/>
      <c r="Q642" s="316"/>
      <c r="R642" s="317"/>
      <c r="T642" s="329"/>
      <c r="U642" s="246"/>
      <c r="V642" s="317"/>
    </row>
    <row r="643" ht="12.75" customHeight="1">
      <c r="M643" s="316"/>
      <c r="N643" s="246"/>
      <c r="O643" s="315"/>
      <c r="Q643" s="316"/>
      <c r="R643" s="317"/>
      <c r="T643" s="329"/>
      <c r="U643" s="246"/>
      <c r="V643" s="317"/>
    </row>
    <row r="644" ht="12.75" customHeight="1">
      <c r="M644" s="316"/>
      <c r="N644" s="246"/>
      <c r="O644" s="315"/>
      <c r="Q644" s="316"/>
      <c r="R644" s="317"/>
      <c r="T644" s="329"/>
      <c r="U644" s="246"/>
      <c r="V644" s="317"/>
    </row>
    <row r="645" ht="12.75" customHeight="1">
      <c r="M645" s="316"/>
      <c r="N645" s="246"/>
      <c r="O645" s="315"/>
      <c r="Q645" s="316"/>
      <c r="R645" s="317"/>
      <c r="T645" s="329"/>
      <c r="U645" s="246"/>
      <c r="V645" s="317"/>
    </row>
    <row r="646" ht="12.75" customHeight="1">
      <c r="M646" s="316"/>
      <c r="N646" s="246"/>
      <c r="O646" s="315"/>
      <c r="Q646" s="316"/>
      <c r="R646" s="317"/>
      <c r="T646" s="329"/>
      <c r="U646" s="246"/>
      <c r="V646" s="317"/>
    </row>
    <row r="647" ht="12.75" customHeight="1">
      <c r="M647" s="316"/>
      <c r="N647" s="246"/>
      <c r="O647" s="315"/>
      <c r="Q647" s="316"/>
      <c r="R647" s="317"/>
      <c r="T647" s="329"/>
      <c r="U647" s="246"/>
      <c r="V647" s="317"/>
    </row>
    <row r="648" ht="12.75" customHeight="1">
      <c r="M648" s="316"/>
      <c r="N648" s="246"/>
      <c r="O648" s="315"/>
      <c r="Q648" s="316"/>
      <c r="R648" s="317"/>
      <c r="T648" s="329"/>
      <c r="U648" s="246"/>
      <c r="V648" s="317"/>
    </row>
    <row r="649" ht="12.75" customHeight="1">
      <c r="M649" s="316"/>
      <c r="N649" s="246"/>
      <c r="O649" s="315"/>
      <c r="Q649" s="316"/>
      <c r="R649" s="317"/>
      <c r="T649" s="329"/>
      <c r="U649" s="246"/>
      <c r="V649" s="317"/>
    </row>
    <row r="650" ht="12.75" customHeight="1">
      <c r="M650" s="316"/>
      <c r="N650" s="246"/>
      <c r="O650" s="315"/>
      <c r="Q650" s="316"/>
      <c r="R650" s="317"/>
      <c r="T650" s="329"/>
      <c r="U650" s="246"/>
      <c r="V650" s="317"/>
    </row>
    <row r="651" ht="12.75" customHeight="1">
      <c r="M651" s="316"/>
      <c r="N651" s="246"/>
      <c r="O651" s="315"/>
      <c r="Q651" s="316"/>
      <c r="R651" s="317"/>
      <c r="T651" s="329"/>
      <c r="U651" s="246"/>
      <c r="V651" s="317"/>
    </row>
    <row r="652" ht="12.75" customHeight="1">
      <c r="M652" s="316"/>
      <c r="N652" s="246"/>
      <c r="O652" s="315"/>
      <c r="Q652" s="316"/>
      <c r="R652" s="317"/>
      <c r="T652" s="329"/>
      <c r="U652" s="246"/>
      <c r="V652" s="317"/>
    </row>
    <row r="653" ht="12.75" customHeight="1">
      <c r="M653" s="316"/>
      <c r="N653" s="246"/>
      <c r="O653" s="315"/>
      <c r="Q653" s="316"/>
      <c r="R653" s="317"/>
      <c r="T653" s="329"/>
      <c r="U653" s="246"/>
      <c r="V653" s="317"/>
    </row>
    <row r="654" ht="12.75" customHeight="1">
      <c r="M654" s="316"/>
      <c r="N654" s="246"/>
      <c r="O654" s="315"/>
      <c r="Q654" s="316"/>
      <c r="R654" s="317"/>
      <c r="T654" s="329"/>
      <c r="U654" s="246"/>
      <c r="V654" s="317"/>
    </row>
    <row r="655" ht="12.75" customHeight="1">
      <c r="M655" s="316"/>
      <c r="N655" s="246"/>
      <c r="O655" s="315"/>
      <c r="Q655" s="316"/>
      <c r="R655" s="317"/>
      <c r="T655" s="329"/>
      <c r="U655" s="246"/>
      <c r="V655" s="317"/>
    </row>
    <row r="656" ht="12.75" customHeight="1">
      <c r="M656" s="316"/>
      <c r="N656" s="246"/>
      <c r="O656" s="315"/>
      <c r="Q656" s="316"/>
      <c r="R656" s="317"/>
      <c r="T656" s="329"/>
      <c r="U656" s="246"/>
      <c r="V656" s="317"/>
    </row>
    <row r="657" ht="12.75" customHeight="1">
      <c r="M657" s="316"/>
      <c r="N657" s="246"/>
      <c r="O657" s="315"/>
      <c r="Q657" s="316"/>
      <c r="R657" s="317"/>
      <c r="T657" s="329"/>
      <c r="U657" s="246"/>
      <c r="V657" s="317"/>
    </row>
    <row r="658" ht="12.75" customHeight="1">
      <c r="M658" s="316"/>
      <c r="N658" s="246"/>
      <c r="O658" s="315"/>
      <c r="Q658" s="316"/>
      <c r="R658" s="317"/>
      <c r="T658" s="329"/>
      <c r="U658" s="246"/>
      <c r="V658" s="317"/>
    </row>
    <row r="659" ht="12.75" customHeight="1">
      <c r="M659" s="316"/>
      <c r="N659" s="246"/>
      <c r="O659" s="315"/>
      <c r="Q659" s="316"/>
      <c r="R659" s="317"/>
      <c r="T659" s="329"/>
      <c r="U659" s="246"/>
      <c r="V659" s="317"/>
    </row>
    <row r="660" ht="12.75" customHeight="1">
      <c r="M660" s="316"/>
      <c r="N660" s="246"/>
      <c r="O660" s="315"/>
      <c r="Q660" s="316"/>
      <c r="R660" s="317"/>
      <c r="T660" s="329"/>
      <c r="U660" s="246"/>
      <c r="V660" s="317"/>
    </row>
    <row r="661" ht="12.75" customHeight="1">
      <c r="M661" s="316"/>
      <c r="N661" s="246"/>
      <c r="O661" s="315"/>
      <c r="Q661" s="316"/>
      <c r="R661" s="317"/>
      <c r="T661" s="329"/>
      <c r="U661" s="246"/>
      <c r="V661" s="317"/>
    </row>
    <row r="662" ht="12.75" customHeight="1">
      <c r="M662" s="316"/>
      <c r="N662" s="246"/>
      <c r="O662" s="315"/>
      <c r="Q662" s="316"/>
      <c r="R662" s="317"/>
      <c r="T662" s="329"/>
      <c r="U662" s="246"/>
      <c r="V662" s="317"/>
    </row>
    <row r="663" ht="12.75" customHeight="1">
      <c r="M663" s="316"/>
      <c r="N663" s="246"/>
      <c r="O663" s="315"/>
      <c r="Q663" s="316"/>
      <c r="R663" s="317"/>
      <c r="T663" s="329"/>
      <c r="U663" s="246"/>
      <c r="V663" s="317"/>
    </row>
    <row r="664" ht="12.75" customHeight="1">
      <c r="M664" s="316"/>
      <c r="N664" s="246"/>
      <c r="O664" s="315"/>
      <c r="Q664" s="316"/>
      <c r="R664" s="317"/>
      <c r="T664" s="329"/>
      <c r="U664" s="246"/>
      <c r="V664" s="317"/>
    </row>
    <row r="665" ht="12.75" customHeight="1">
      <c r="M665" s="316"/>
      <c r="N665" s="246"/>
      <c r="O665" s="315"/>
      <c r="Q665" s="316"/>
      <c r="R665" s="317"/>
      <c r="T665" s="329"/>
      <c r="U665" s="246"/>
      <c r="V665" s="317"/>
    </row>
    <row r="666" ht="12.75" customHeight="1">
      <c r="M666" s="316"/>
      <c r="N666" s="246"/>
      <c r="O666" s="315"/>
      <c r="Q666" s="316"/>
      <c r="R666" s="317"/>
      <c r="T666" s="329"/>
      <c r="U666" s="246"/>
      <c r="V666" s="317"/>
    </row>
    <row r="667" ht="12.75" customHeight="1">
      <c r="M667" s="316"/>
      <c r="N667" s="246"/>
      <c r="O667" s="315"/>
      <c r="Q667" s="316"/>
      <c r="R667" s="317"/>
      <c r="T667" s="329"/>
      <c r="U667" s="246"/>
      <c r="V667" s="317"/>
    </row>
    <row r="668" ht="12.75" customHeight="1">
      <c r="M668" s="316"/>
      <c r="N668" s="246"/>
      <c r="O668" s="315"/>
      <c r="Q668" s="316"/>
      <c r="R668" s="317"/>
      <c r="T668" s="329"/>
      <c r="U668" s="246"/>
      <c r="V668" s="317"/>
    </row>
    <row r="669" ht="12.75" customHeight="1">
      <c r="M669" s="316"/>
      <c r="N669" s="246"/>
      <c r="O669" s="315"/>
      <c r="Q669" s="316"/>
      <c r="R669" s="317"/>
      <c r="T669" s="329"/>
      <c r="U669" s="246"/>
      <c r="V669" s="317"/>
    </row>
    <row r="670" ht="12.75" customHeight="1">
      <c r="M670" s="316"/>
      <c r="N670" s="246"/>
      <c r="O670" s="315"/>
      <c r="Q670" s="316"/>
      <c r="R670" s="317"/>
      <c r="T670" s="329"/>
      <c r="U670" s="246"/>
      <c r="V670" s="317"/>
    </row>
    <row r="671" ht="12.75" customHeight="1">
      <c r="M671" s="316"/>
      <c r="N671" s="246"/>
      <c r="O671" s="315"/>
      <c r="Q671" s="316"/>
      <c r="R671" s="317"/>
      <c r="T671" s="329"/>
      <c r="U671" s="246"/>
      <c r="V671" s="317"/>
    </row>
    <row r="672" ht="12.75" customHeight="1">
      <c r="M672" s="316"/>
      <c r="N672" s="246"/>
      <c r="O672" s="315"/>
      <c r="Q672" s="316"/>
      <c r="R672" s="317"/>
      <c r="T672" s="329"/>
      <c r="U672" s="246"/>
      <c r="V672" s="317"/>
    </row>
    <row r="673" ht="12.75" customHeight="1">
      <c r="M673" s="316"/>
      <c r="N673" s="246"/>
      <c r="O673" s="315"/>
      <c r="Q673" s="316"/>
      <c r="R673" s="317"/>
      <c r="T673" s="329"/>
      <c r="U673" s="246"/>
      <c r="V673" s="317"/>
    </row>
    <row r="674" ht="12.75" customHeight="1">
      <c r="M674" s="316"/>
      <c r="N674" s="246"/>
      <c r="O674" s="315"/>
      <c r="Q674" s="316"/>
      <c r="R674" s="317"/>
      <c r="T674" s="329"/>
      <c r="U674" s="246"/>
      <c r="V674" s="317"/>
    </row>
    <row r="675" ht="12.75" customHeight="1">
      <c r="M675" s="316"/>
      <c r="N675" s="246"/>
      <c r="O675" s="315"/>
      <c r="Q675" s="316"/>
      <c r="R675" s="317"/>
      <c r="T675" s="329"/>
      <c r="U675" s="246"/>
      <c r="V675" s="317"/>
    </row>
    <row r="676" ht="12.75" customHeight="1">
      <c r="M676" s="316"/>
      <c r="N676" s="246"/>
      <c r="O676" s="315"/>
      <c r="Q676" s="316"/>
      <c r="R676" s="317"/>
      <c r="T676" s="329"/>
      <c r="U676" s="246"/>
      <c r="V676" s="317"/>
    </row>
    <row r="677" ht="12.75" customHeight="1">
      <c r="M677" s="316"/>
      <c r="N677" s="246"/>
      <c r="O677" s="315"/>
      <c r="Q677" s="316"/>
      <c r="R677" s="317"/>
      <c r="T677" s="329"/>
      <c r="U677" s="246"/>
      <c r="V677" s="317"/>
    </row>
    <row r="678" ht="12.75" customHeight="1">
      <c r="M678" s="316"/>
      <c r="N678" s="246"/>
      <c r="O678" s="315"/>
      <c r="Q678" s="316"/>
      <c r="R678" s="317"/>
      <c r="T678" s="329"/>
      <c r="U678" s="246"/>
      <c r="V678" s="317"/>
    </row>
    <row r="679" ht="12.75" customHeight="1">
      <c r="M679" s="316"/>
      <c r="N679" s="246"/>
      <c r="O679" s="315"/>
      <c r="Q679" s="316"/>
      <c r="R679" s="317"/>
      <c r="T679" s="329"/>
      <c r="U679" s="246"/>
      <c r="V679" s="317"/>
    </row>
    <row r="680" ht="12.75" customHeight="1">
      <c r="M680" s="316"/>
      <c r="N680" s="246"/>
      <c r="O680" s="315"/>
      <c r="Q680" s="316"/>
      <c r="R680" s="317"/>
      <c r="T680" s="329"/>
      <c r="U680" s="246"/>
      <c r="V680" s="317"/>
    </row>
    <row r="681" ht="12.75" customHeight="1">
      <c r="M681" s="316"/>
      <c r="N681" s="246"/>
      <c r="O681" s="315"/>
      <c r="Q681" s="316"/>
      <c r="R681" s="317"/>
      <c r="T681" s="329"/>
      <c r="U681" s="246"/>
      <c r="V681" s="317"/>
    </row>
    <row r="682" ht="12.75" customHeight="1">
      <c r="M682" s="316"/>
      <c r="N682" s="246"/>
      <c r="O682" s="315"/>
      <c r="Q682" s="316"/>
      <c r="R682" s="317"/>
      <c r="T682" s="329"/>
      <c r="U682" s="246"/>
      <c r="V682" s="317"/>
    </row>
    <row r="683" ht="12.75" customHeight="1">
      <c r="M683" s="316"/>
      <c r="N683" s="246"/>
      <c r="O683" s="315"/>
      <c r="Q683" s="316"/>
      <c r="R683" s="317"/>
      <c r="T683" s="329"/>
      <c r="U683" s="246"/>
      <c r="V683" s="317"/>
    </row>
    <row r="684" ht="12.75" customHeight="1">
      <c r="M684" s="316"/>
      <c r="N684" s="246"/>
      <c r="O684" s="315"/>
      <c r="Q684" s="316"/>
      <c r="R684" s="317"/>
      <c r="T684" s="329"/>
      <c r="U684" s="246"/>
      <c r="V684" s="317"/>
    </row>
    <row r="685" ht="12.75" customHeight="1">
      <c r="M685" s="316"/>
      <c r="N685" s="246"/>
      <c r="O685" s="315"/>
      <c r="Q685" s="316"/>
      <c r="R685" s="317"/>
      <c r="T685" s="329"/>
      <c r="U685" s="246"/>
      <c r="V685" s="317"/>
    </row>
    <row r="686" ht="12.75" customHeight="1">
      <c r="M686" s="316"/>
      <c r="N686" s="246"/>
      <c r="O686" s="315"/>
      <c r="Q686" s="316"/>
      <c r="R686" s="317"/>
      <c r="T686" s="329"/>
      <c r="U686" s="246"/>
      <c r="V686" s="317"/>
    </row>
    <row r="687" ht="12.75" customHeight="1">
      <c r="M687" s="316"/>
      <c r="N687" s="246"/>
      <c r="O687" s="315"/>
      <c r="Q687" s="316"/>
      <c r="R687" s="317"/>
      <c r="T687" s="329"/>
      <c r="U687" s="246"/>
      <c r="V687" s="317"/>
    </row>
    <row r="688" ht="12.75" customHeight="1">
      <c r="M688" s="316"/>
      <c r="N688" s="246"/>
      <c r="O688" s="315"/>
      <c r="Q688" s="316"/>
      <c r="R688" s="317"/>
      <c r="T688" s="329"/>
      <c r="U688" s="246"/>
      <c r="V688" s="317"/>
    </row>
    <row r="689" ht="12.75" customHeight="1">
      <c r="M689" s="316"/>
      <c r="N689" s="246"/>
      <c r="O689" s="315"/>
      <c r="Q689" s="316"/>
      <c r="R689" s="317"/>
      <c r="T689" s="329"/>
      <c r="U689" s="246"/>
      <c r="V689" s="317"/>
    </row>
    <row r="690" ht="12.75" customHeight="1">
      <c r="M690" s="316"/>
      <c r="N690" s="246"/>
      <c r="O690" s="315"/>
      <c r="Q690" s="316"/>
      <c r="R690" s="317"/>
      <c r="T690" s="329"/>
      <c r="U690" s="246"/>
      <c r="V690" s="317"/>
    </row>
    <row r="691" ht="12.75" customHeight="1">
      <c r="M691" s="316"/>
      <c r="N691" s="246"/>
      <c r="O691" s="315"/>
      <c r="Q691" s="316"/>
      <c r="R691" s="317"/>
      <c r="T691" s="329"/>
      <c r="U691" s="246"/>
      <c r="V691" s="317"/>
    </row>
    <row r="692" ht="12.75" customHeight="1">
      <c r="M692" s="316"/>
      <c r="N692" s="246"/>
      <c r="O692" s="315"/>
      <c r="Q692" s="316"/>
      <c r="R692" s="317"/>
      <c r="T692" s="329"/>
      <c r="U692" s="246"/>
      <c r="V692" s="317"/>
    </row>
    <row r="693" ht="12.75" customHeight="1">
      <c r="M693" s="316"/>
      <c r="N693" s="246"/>
      <c r="O693" s="315"/>
      <c r="Q693" s="316"/>
      <c r="R693" s="317"/>
      <c r="T693" s="329"/>
      <c r="U693" s="246"/>
      <c r="V693" s="317"/>
    </row>
    <row r="694" ht="12.75" customHeight="1">
      <c r="M694" s="316"/>
      <c r="N694" s="246"/>
      <c r="O694" s="315"/>
      <c r="Q694" s="316"/>
      <c r="R694" s="317"/>
      <c r="T694" s="329"/>
      <c r="U694" s="246"/>
      <c r="V694" s="317"/>
    </row>
    <row r="695" ht="12.75" customHeight="1">
      <c r="M695" s="316"/>
      <c r="N695" s="246"/>
      <c r="O695" s="315"/>
      <c r="Q695" s="316"/>
      <c r="R695" s="317"/>
      <c r="T695" s="329"/>
      <c r="U695" s="246"/>
      <c r="V695" s="317"/>
    </row>
    <row r="696" ht="12.75" customHeight="1">
      <c r="M696" s="316"/>
      <c r="N696" s="246"/>
      <c r="O696" s="315"/>
      <c r="Q696" s="316"/>
      <c r="R696" s="317"/>
      <c r="T696" s="329"/>
      <c r="U696" s="246"/>
      <c r="V696" s="317"/>
    </row>
    <row r="697" ht="12.75" customHeight="1">
      <c r="M697" s="316"/>
      <c r="N697" s="246"/>
      <c r="O697" s="315"/>
      <c r="Q697" s="316"/>
      <c r="R697" s="317"/>
      <c r="T697" s="329"/>
      <c r="U697" s="246"/>
      <c r="V697" s="317"/>
    </row>
    <row r="698" ht="12.75" customHeight="1">
      <c r="M698" s="316"/>
      <c r="N698" s="246"/>
      <c r="O698" s="315"/>
      <c r="Q698" s="316"/>
      <c r="R698" s="317"/>
      <c r="T698" s="329"/>
      <c r="U698" s="246"/>
      <c r="V698" s="317"/>
    </row>
    <row r="699" ht="12.75" customHeight="1">
      <c r="M699" s="316"/>
      <c r="N699" s="246"/>
      <c r="O699" s="315"/>
      <c r="Q699" s="316"/>
      <c r="R699" s="317"/>
      <c r="T699" s="329"/>
      <c r="U699" s="246"/>
      <c r="V699" s="317"/>
    </row>
    <row r="700" ht="12.75" customHeight="1">
      <c r="M700" s="316"/>
      <c r="N700" s="246"/>
      <c r="O700" s="315"/>
      <c r="Q700" s="316"/>
      <c r="R700" s="317"/>
      <c r="T700" s="329"/>
      <c r="U700" s="246"/>
      <c r="V700" s="317"/>
    </row>
    <row r="701" ht="12.75" customHeight="1">
      <c r="M701" s="316"/>
      <c r="N701" s="246"/>
      <c r="O701" s="315"/>
      <c r="Q701" s="316"/>
      <c r="R701" s="317"/>
      <c r="T701" s="329"/>
      <c r="U701" s="246"/>
      <c r="V701" s="317"/>
    </row>
    <row r="702" ht="12.75" customHeight="1">
      <c r="M702" s="316"/>
      <c r="N702" s="246"/>
      <c r="O702" s="315"/>
      <c r="Q702" s="316"/>
      <c r="R702" s="317"/>
      <c r="T702" s="329"/>
      <c r="U702" s="246"/>
      <c r="V702" s="317"/>
    </row>
    <row r="703" ht="12.75" customHeight="1">
      <c r="M703" s="316"/>
      <c r="N703" s="246"/>
      <c r="O703" s="315"/>
      <c r="Q703" s="316"/>
      <c r="R703" s="317"/>
      <c r="T703" s="329"/>
      <c r="U703" s="246"/>
      <c r="V703" s="317"/>
    </row>
    <row r="704" ht="12.75" customHeight="1">
      <c r="M704" s="316"/>
      <c r="N704" s="246"/>
      <c r="O704" s="315"/>
      <c r="Q704" s="316"/>
      <c r="R704" s="317"/>
      <c r="T704" s="329"/>
      <c r="U704" s="246"/>
      <c r="V704" s="317"/>
    </row>
    <row r="705" ht="12.75" customHeight="1">
      <c r="M705" s="316"/>
      <c r="N705" s="246"/>
      <c r="O705" s="315"/>
      <c r="Q705" s="316"/>
      <c r="R705" s="317"/>
      <c r="T705" s="329"/>
      <c r="U705" s="246"/>
      <c r="V705" s="317"/>
    </row>
    <row r="706" ht="12.75" customHeight="1">
      <c r="M706" s="316"/>
      <c r="N706" s="246"/>
      <c r="O706" s="315"/>
      <c r="Q706" s="316"/>
      <c r="R706" s="317"/>
      <c r="T706" s="329"/>
      <c r="U706" s="246"/>
      <c r="V706" s="317"/>
    </row>
    <row r="707" ht="12.75" customHeight="1">
      <c r="M707" s="316"/>
      <c r="N707" s="246"/>
      <c r="O707" s="315"/>
      <c r="Q707" s="316"/>
      <c r="R707" s="317"/>
      <c r="T707" s="329"/>
      <c r="U707" s="246"/>
      <c r="V707" s="317"/>
    </row>
    <row r="708" ht="12.75" customHeight="1">
      <c r="M708" s="316"/>
      <c r="N708" s="246"/>
      <c r="O708" s="315"/>
      <c r="Q708" s="316"/>
      <c r="R708" s="317"/>
      <c r="T708" s="329"/>
      <c r="U708" s="246"/>
      <c r="V708" s="317"/>
    </row>
    <row r="709" ht="12.75" customHeight="1">
      <c r="M709" s="316"/>
      <c r="N709" s="246"/>
      <c r="O709" s="315"/>
      <c r="Q709" s="316"/>
      <c r="R709" s="317"/>
      <c r="T709" s="329"/>
      <c r="U709" s="246"/>
      <c r="V709" s="317"/>
    </row>
    <row r="710" ht="12.75" customHeight="1">
      <c r="M710" s="316"/>
      <c r="N710" s="246"/>
      <c r="O710" s="315"/>
      <c r="Q710" s="316"/>
      <c r="R710" s="317"/>
      <c r="T710" s="329"/>
      <c r="U710" s="246"/>
      <c r="V710" s="317"/>
    </row>
    <row r="711" ht="12.75" customHeight="1">
      <c r="M711" s="316"/>
      <c r="N711" s="246"/>
      <c r="O711" s="315"/>
      <c r="Q711" s="316"/>
      <c r="R711" s="317"/>
      <c r="T711" s="329"/>
      <c r="U711" s="246"/>
      <c r="V711" s="317"/>
    </row>
    <row r="712" ht="12.75" customHeight="1">
      <c r="M712" s="316"/>
      <c r="N712" s="246"/>
      <c r="O712" s="315"/>
      <c r="Q712" s="316"/>
      <c r="R712" s="317"/>
      <c r="T712" s="329"/>
      <c r="U712" s="246"/>
      <c r="V712" s="317"/>
    </row>
    <row r="713" ht="12.75" customHeight="1">
      <c r="M713" s="316"/>
      <c r="N713" s="246"/>
      <c r="O713" s="315"/>
      <c r="Q713" s="316"/>
      <c r="R713" s="317"/>
      <c r="T713" s="329"/>
      <c r="U713" s="246"/>
      <c r="V713" s="317"/>
    </row>
    <row r="714" ht="12.75" customHeight="1">
      <c r="M714" s="316"/>
      <c r="N714" s="246"/>
      <c r="O714" s="315"/>
      <c r="Q714" s="316"/>
      <c r="R714" s="317"/>
      <c r="T714" s="329"/>
      <c r="U714" s="246"/>
      <c r="V714" s="317"/>
    </row>
    <row r="715" ht="12.75" customHeight="1">
      <c r="M715" s="316"/>
      <c r="N715" s="246"/>
      <c r="O715" s="315"/>
      <c r="Q715" s="316"/>
      <c r="R715" s="317"/>
      <c r="T715" s="329"/>
      <c r="U715" s="246"/>
      <c r="V715" s="317"/>
    </row>
    <row r="716" ht="12.75" customHeight="1">
      <c r="M716" s="316"/>
      <c r="N716" s="246"/>
      <c r="O716" s="315"/>
      <c r="Q716" s="316"/>
      <c r="R716" s="317"/>
      <c r="T716" s="329"/>
      <c r="U716" s="246"/>
      <c r="V716" s="317"/>
    </row>
    <row r="717" ht="12.75" customHeight="1">
      <c r="M717" s="316"/>
      <c r="N717" s="246"/>
      <c r="O717" s="315"/>
      <c r="Q717" s="316"/>
      <c r="R717" s="317"/>
      <c r="T717" s="329"/>
      <c r="U717" s="246"/>
      <c r="V717" s="317"/>
    </row>
    <row r="718" ht="12.75" customHeight="1">
      <c r="M718" s="316"/>
      <c r="N718" s="246"/>
      <c r="O718" s="315"/>
      <c r="Q718" s="316"/>
      <c r="R718" s="317"/>
      <c r="T718" s="329"/>
      <c r="U718" s="246"/>
      <c r="V718" s="317"/>
    </row>
    <row r="719" ht="12.75" customHeight="1">
      <c r="M719" s="316"/>
      <c r="N719" s="246"/>
      <c r="O719" s="315"/>
      <c r="Q719" s="316"/>
      <c r="R719" s="317"/>
      <c r="T719" s="329"/>
      <c r="U719" s="246"/>
      <c r="V719" s="317"/>
    </row>
    <row r="720" ht="12.75" customHeight="1">
      <c r="M720" s="316"/>
      <c r="N720" s="246"/>
      <c r="O720" s="315"/>
      <c r="Q720" s="316"/>
      <c r="R720" s="317"/>
      <c r="T720" s="329"/>
      <c r="U720" s="246"/>
      <c r="V720" s="317"/>
    </row>
    <row r="721" ht="12.75" customHeight="1">
      <c r="M721" s="316"/>
      <c r="N721" s="246"/>
      <c r="O721" s="315"/>
      <c r="Q721" s="316"/>
      <c r="R721" s="317"/>
      <c r="T721" s="329"/>
      <c r="U721" s="246"/>
      <c r="V721" s="317"/>
    </row>
    <row r="722" ht="12.75" customHeight="1">
      <c r="M722" s="316"/>
      <c r="N722" s="246"/>
      <c r="O722" s="315"/>
      <c r="Q722" s="316"/>
      <c r="R722" s="317"/>
      <c r="T722" s="329"/>
      <c r="U722" s="246"/>
      <c r="V722" s="317"/>
    </row>
    <row r="723" ht="12.75" customHeight="1">
      <c r="M723" s="316"/>
      <c r="N723" s="246"/>
      <c r="O723" s="315"/>
      <c r="Q723" s="316"/>
      <c r="R723" s="317"/>
      <c r="T723" s="329"/>
      <c r="U723" s="246"/>
      <c r="V723" s="317"/>
    </row>
    <row r="724" ht="12.75" customHeight="1">
      <c r="M724" s="316"/>
      <c r="N724" s="246"/>
      <c r="O724" s="315"/>
      <c r="Q724" s="316"/>
      <c r="R724" s="317"/>
      <c r="T724" s="329"/>
      <c r="U724" s="246"/>
      <c r="V724" s="317"/>
    </row>
    <row r="725" ht="12.75" customHeight="1">
      <c r="M725" s="316"/>
      <c r="N725" s="246"/>
      <c r="O725" s="315"/>
      <c r="Q725" s="316"/>
      <c r="R725" s="317"/>
      <c r="T725" s="329"/>
      <c r="U725" s="246"/>
      <c r="V725" s="317"/>
    </row>
    <row r="726" ht="12.75" customHeight="1">
      <c r="M726" s="316"/>
      <c r="N726" s="246"/>
      <c r="O726" s="315"/>
      <c r="Q726" s="316"/>
      <c r="R726" s="317"/>
      <c r="T726" s="329"/>
      <c r="U726" s="246"/>
      <c r="V726" s="317"/>
    </row>
    <row r="727" ht="12.75" customHeight="1">
      <c r="M727" s="316"/>
      <c r="N727" s="246"/>
      <c r="O727" s="315"/>
      <c r="Q727" s="316"/>
      <c r="R727" s="317"/>
      <c r="T727" s="329"/>
      <c r="U727" s="246"/>
      <c r="V727" s="317"/>
    </row>
    <row r="728" ht="12.75" customHeight="1">
      <c r="M728" s="316"/>
      <c r="N728" s="246"/>
      <c r="O728" s="315"/>
      <c r="Q728" s="316"/>
      <c r="R728" s="317"/>
      <c r="T728" s="329"/>
      <c r="U728" s="246"/>
      <c r="V728" s="317"/>
    </row>
    <row r="729" ht="12.75" customHeight="1">
      <c r="M729" s="316"/>
      <c r="N729" s="246"/>
      <c r="O729" s="315"/>
      <c r="Q729" s="316"/>
      <c r="R729" s="317"/>
      <c r="T729" s="329"/>
      <c r="U729" s="246"/>
      <c r="V729" s="317"/>
    </row>
    <row r="730" ht="12.75" customHeight="1">
      <c r="M730" s="316"/>
      <c r="N730" s="246"/>
      <c r="O730" s="315"/>
      <c r="Q730" s="316"/>
      <c r="R730" s="317"/>
      <c r="T730" s="329"/>
      <c r="U730" s="246"/>
      <c r="V730" s="317"/>
    </row>
    <row r="731" ht="12.75" customHeight="1">
      <c r="M731" s="316"/>
      <c r="N731" s="246"/>
      <c r="O731" s="315"/>
      <c r="Q731" s="316"/>
      <c r="R731" s="317"/>
      <c r="T731" s="329"/>
      <c r="U731" s="246"/>
      <c r="V731" s="317"/>
    </row>
    <row r="732" ht="12.75" customHeight="1">
      <c r="M732" s="316"/>
      <c r="N732" s="246"/>
      <c r="O732" s="315"/>
      <c r="Q732" s="316"/>
      <c r="R732" s="317"/>
      <c r="T732" s="329"/>
      <c r="U732" s="246"/>
      <c r="V732" s="317"/>
    </row>
    <row r="733" ht="12.75" customHeight="1">
      <c r="M733" s="316"/>
      <c r="N733" s="246"/>
      <c r="O733" s="315"/>
      <c r="Q733" s="316"/>
      <c r="R733" s="317"/>
      <c r="T733" s="329"/>
      <c r="U733" s="246"/>
      <c r="V733" s="317"/>
    </row>
    <row r="734" ht="12.75" customHeight="1">
      <c r="M734" s="316"/>
      <c r="N734" s="246"/>
      <c r="O734" s="315"/>
      <c r="Q734" s="316"/>
      <c r="R734" s="317"/>
      <c r="T734" s="329"/>
      <c r="U734" s="246"/>
      <c r="V734" s="317"/>
    </row>
    <row r="735" ht="12.75" customHeight="1">
      <c r="M735" s="316"/>
      <c r="N735" s="246"/>
      <c r="O735" s="315"/>
      <c r="Q735" s="316"/>
      <c r="R735" s="317"/>
      <c r="T735" s="329"/>
      <c r="U735" s="246"/>
      <c r="V735" s="317"/>
    </row>
    <row r="736" ht="12.75" customHeight="1">
      <c r="M736" s="316"/>
      <c r="N736" s="246"/>
      <c r="O736" s="315"/>
      <c r="Q736" s="316"/>
      <c r="R736" s="317"/>
      <c r="T736" s="329"/>
      <c r="U736" s="246"/>
      <c r="V736" s="317"/>
    </row>
    <row r="737" ht="12.75" customHeight="1">
      <c r="M737" s="316"/>
      <c r="N737" s="246"/>
      <c r="O737" s="315"/>
      <c r="Q737" s="316"/>
      <c r="R737" s="317"/>
      <c r="T737" s="329"/>
      <c r="U737" s="246"/>
      <c r="V737" s="317"/>
    </row>
    <row r="738" ht="12.75" customHeight="1">
      <c r="M738" s="316"/>
      <c r="N738" s="246"/>
      <c r="O738" s="315"/>
      <c r="Q738" s="316"/>
      <c r="R738" s="317"/>
      <c r="T738" s="329"/>
      <c r="U738" s="246"/>
      <c r="V738" s="317"/>
    </row>
    <row r="739" ht="12.75" customHeight="1">
      <c r="M739" s="316"/>
      <c r="N739" s="246"/>
      <c r="O739" s="315"/>
      <c r="Q739" s="316"/>
      <c r="R739" s="317"/>
      <c r="T739" s="329"/>
      <c r="U739" s="246"/>
      <c r="V739" s="317"/>
    </row>
    <row r="740" ht="12.75" customHeight="1">
      <c r="M740" s="316"/>
      <c r="N740" s="246"/>
      <c r="O740" s="315"/>
      <c r="Q740" s="316"/>
      <c r="R740" s="317"/>
      <c r="T740" s="329"/>
      <c r="U740" s="246"/>
      <c r="V740" s="317"/>
    </row>
    <row r="741" ht="12.75" customHeight="1">
      <c r="M741" s="316"/>
      <c r="N741" s="246"/>
      <c r="O741" s="315"/>
      <c r="Q741" s="316"/>
      <c r="R741" s="317"/>
      <c r="T741" s="329"/>
      <c r="U741" s="246"/>
      <c r="V741" s="317"/>
    </row>
    <row r="742" ht="12.75" customHeight="1">
      <c r="M742" s="316"/>
      <c r="N742" s="246"/>
      <c r="O742" s="315"/>
      <c r="Q742" s="316"/>
      <c r="R742" s="317"/>
      <c r="T742" s="329"/>
      <c r="U742" s="246"/>
      <c r="V742" s="317"/>
    </row>
    <row r="743" ht="12.75" customHeight="1">
      <c r="M743" s="316"/>
      <c r="N743" s="246"/>
      <c r="O743" s="315"/>
      <c r="Q743" s="316"/>
      <c r="R743" s="317"/>
      <c r="T743" s="329"/>
      <c r="U743" s="246"/>
      <c r="V743" s="317"/>
    </row>
    <row r="744" ht="12.75" customHeight="1">
      <c r="M744" s="316"/>
      <c r="N744" s="246"/>
      <c r="O744" s="315"/>
      <c r="Q744" s="316"/>
      <c r="R744" s="317"/>
      <c r="T744" s="329"/>
      <c r="U744" s="246"/>
      <c r="V744" s="317"/>
    </row>
    <row r="745" ht="12.75" customHeight="1">
      <c r="M745" s="316"/>
      <c r="N745" s="246"/>
      <c r="O745" s="315"/>
      <c r="Q745" s="316"/>
      <c r="R745" s="317"/>
      <c r="T745" s="329"/>
      <c r="U745" s="246"/>
      <c r="V745" s="317"/>
    </row>
    <row r="746" ht="12.75" customHeight="1">
      <c r="M746" s="316"/>
      <c r="N746" s="246"/>
      <c r="O746" s="315"/>
      <c r="Q746" s="316"/>
      <c r="R746" s="317"/>
      <c r="T746" s="329"/>
      <c r="U746" s="246"/>
      <c r="V746" s="317"/>
    </row>
    <row r="747" ht="12.75" customHeight="1">
      <c r="M747" s="316"/>
      <c r="N747" s="246"/>
      <c r="O747" s="315"/>
      <c r="Q747" s="316"/>
      <c r="R747" s="317"/>
      <c r="T747" s="329"/>
      <c r="U747" s="246"/>
      <c r="V747" s="317"/>
    </row>
    <row r="748" ht="12.75" customHeight="1">
      <c r="M748" s="316"/>
      <c r="N748" s="246"/>
      <c r="O748" s="315"/>
      <c r="Q748" s="316"/>
      <c r="R748" s="317"/>
      <c r="T748" s="329"/>
      <c r="U748" s="246"/>
      <c r="V748" s="317"/>
    </row>
    <row r="749" ht="12.75" customHeight="1">
      <c r="M749" s="316"/>
      <c r="N749" s="246"/>
      <c r="O749" s="315"/>
      <c r="Q749" s="316"/>
      <c r="R749" s="317"/>
      <c r="T749" s="329"/>
      <c r="U749" s="246"/>
      <c r="V749" s="317"/>
    </row>
    <row r="750" ht="12.75" customHeight="1">
      <c r="M750" s="316"/>
      <c r="N750" s="246"/>
      <c r="O750" s="315"/>
      <c r="Q750" s="316"/>
      <c r="R750" s="317"/>
      <c r="T750" s="329"/>
      <c r="U750" s="246"/>
      <c r="V750" s="317"/>
    </row>
    <row r="751" ht="12.75" customHeight="1">
      <c r="M751" s="316"/>
      <c r="N751" s="246"/>
      <c r="O751" s="315"/>
      <c r="Q751" s="316"/>
      <c r="R751" s="317"/>
      <c r="T751" s="329"/>
      <c r="U751" s="246"/>
      <c r="V751" s="317"/>
    </row>
    <row r="752" ht="12.75" customHeight="1">
      <c r="M752" s="316"/>
      <c r="N752" s="246"/>
      <c r="O752" s="315"/>
      <c r="Q752" s="316"/>
      <c r="R752" s="317"/>
      <c r="T752" s="329"/>
      <c r="U752" s="246"/>
      <c r="V752" s="317"/>
    </row>
    <row r="753" ht="12.75" customHeight="1">
      <c r="M753" s="316"/>
      <c r="N753" s="246"/>
      <c r="O753" s="315"/>
      <c r="Q753" s="316"/>
      <c r="R753" s="317"/>
      <c r="T753" s="329"/>
      <c r="U753" s="246"/>
      <c r="V753" s="317"/>
    </row>
    <row r="754" ht="12.75" customHeight="1">
      <c r="M754" s="316"/>
      <c r="N754" s="246"/>
      <c r="O754" s="315"/>
      <c r="Q754" s="316"/>
      <c r="R754" s="317"/>
      <c r="T754" s="329"/>
      <c r="U754" s="246"/>
      <c r="V754" s="317"/>
    </row>
    <row r="755" ht="12.75" customHeight="1">
      <c r="M755" s="316"/>
      <c r="N755" s="246"/>
      <c r="O755" s="315"/>
      <c r="Q755" s="316"/>
      <c r="R755" s="317"/>
      <c r="T755" s="329"/>
      <c r="U755" s="246"/>
      <c r="V755" s="317"/>
    </row>
    <row r="756" ht="12.75" customHeight="1">
      <c r="M756" s="316"/>
      <c r="N756" s="246"/>
      <c r="O756" s="315"/>
      <c r="Q756" s="316"/>
      <c r="R756" s="317"/>
      <c r="T756" s="329"/>
      <c r="U756" s="246"/>
      <c r="V756" s="317"/>
    </row>
    <row r="757" ht="12.75" customHeight="1">
      <c r="M757" s="316"/>
      <c r="N757" s="246"/>
      <c r="O757" s="315"/>
      <c r="Q757" s="316"/>
      <c r="R757" s="317"/>
      <c r="T757" s="329"/>
      <c r="U757" s="246"/>
      <c r="V757" s="317"/>
    </row>
    <row r="758" ht="12.75" customHeight="1">
      <c r="M758" s="316"/>
      <c r="N758" s="246"/>
      <c r="O758" s="315"/>
      <c r="Q758" s="316"/>
      <c r="R758" s="317"/>
      <c r="T758" s="329"/>
      <c r="U758" s="246"/>
      <c r="V758" s="317"/>
    </row>
    <row r="759" ht="12.75" customHeight="1">
      <c r="M759" s="316"/>
      <c r="N759" s="246"/>
      <c r="O759" s="315"/>
      <c r="Q759" s="316"/>
      <c r="R759" s="317"/>
      <c r="T759" s="329"/>
      <c r="U759" s="246"/>
      <c r="V759" s="317"/>
    </row>
    <row r="760" ht="12.75" customHeight="1">
      <c r="M760" s="316"/>
      <c r="N760" s="246"/>
      <c r="O760" s="315"/>
      <c r="Q760" s="316"/>
      <c r="R760" s="317"/>
      <c r="T760" s="329"/>
      <c r="U760" s="246"/>
      <c r="V760" s="317"/>
    </row>
    <row r="761" ht="12.75" customHeight="1">
      <c r="M761" s="316"/>
      <c r="N761" s="246"/>
      <c r="O761" s="315"/>
      <c r="Q761" s="316"/>
      <c r="R761" s="317"/>
      <c r="T761" s="329"/>
      <c r="U761" s="246"/>
      <c r="V761" s="317"/>
    </row>
    <row r="762" ht="12.75" customHeight="1">
      <c r="M762" s="316"/>
      <c r="N762" s="246"/>
      <c r="O762" s="315"/>
      <c r="Q762" s="316"/>
      <c r="R762" s="317"/>
      <c r="T762" s="329"/>
      <c r="U762" s="246"/>
      <c r="V762" s="317"/>
    </row>
    <row r="763" ht="12.75" customHeight="1">
      <c r="M763" s="316"/>
      <c r="N763" s="246"/>
      <c r="O763" s="315"/>
      <c r="Q763" s="316"/>
      <c r="R763" s="317"/>
      <c r="T763" s="329"/>
      <c r="U763" s="246"/>
      <c r="V763" s="317"/>
    </row>
    <row r="764" ht="12.75" customHeight="1">
      <c r="M764" s="316"/>
      <c r="N764" s="246"/>
      <c r="O764" s="315"/>
      <c r="Q764" s="316"/>
      <c r="R764" s="317"/>
      <c r="T764" s="329"/>
      <c r="U764" s="246"/>
      <c r="V764" s="317"/>
    </row>
    <row r="765" ht="12.75" customHeight="1">
      <c r="M765" s="316"/>
      <c r="N765" s="246"/>
      <c r="O765" s="315"/>
      <c r="Q765" s="316"/>
      <c r="R765" s="317"/>
      <c r="T765" s="329"/>
      <c r="U765" s="246"/>
      <c r="V765" s="317"/>
    </row>
    <row r="766" ht="12.75" customHeight="1">
      <c r="M766" s="316"/>
      <c r="N766" s="246"/>
      <c r="O766" s="315"/>
      <c r="Q766" s="316"/>
      <c r="R766" s="317"/>
      <c r="T766" s="329"/>
      <c r="U766" s="246"/>
      <c r="V766" s="317"/>
    </row>
    <row r="767" ht="12.75" customHeight="1">
      <c r="M767" s="316"/>
      <c r="N767" s="246"/>
      <c r="O767" s="315"/>
      <c r="Q767" s="316"/>
      <c r="R767" s="317"/>
      <c r="T767" s="329"/>
      <c r="U767" s="246"/>
      <c r="V767" s="317"/>
    </row>
    <row r="768" ht="12.75" customHeight="1">
      <c r="M768" s="316"/>
      <c r="N768" s="246"/>
      <c r="O768" s="315"/>
      <c r="Q768" s="316"/>
      <c r="R768" s="317"/>
      <c r="T768" s="329"/>
      <c r="U768" s="246"/>
      <c r="V768" s="317"/>
    </row>
    <row r="769" ht="12.75" customHeight="1">
      <c r="M769" s="316"/>
      <c r="N769" s="246"/>
      <c r="O769" s="315"/>
      <c r="Q769" s="316"/>
      <c r="R769" s="317"/>
      <c r="T769" s="329"/>
      <c r="U769" s="246"/>
      <c r="V769" s="317"/>
    </row>
    <row r="770" ht="12.75" customHeight="1">
      <c r="M770" s="316"/>
      <c r="N770" s="246"/>
      <c r="O770" s="315"/>
      <c r="Q770" s="316"/>
      <c r="R770" s="317"/>
      <c r="T770" s="329"/>
      <c r="U770" s="246"/>
      <c r="V770" s="317"/>
    </row>
    <row r="771" ht="12.75" customHeight="1">
      <c r="M771" s="316"/>
      <c r="N771" s="246"/>
      <c r="O771" s="315"/>
      <c r="Q771" s="316"/>
      <c r="R771" s="317"/>
      <c r="T771" s="329"/>
      <c r="U771" s="246"/>
      <c r="V771" s="317"/>
    </row>
    <row r="772" ht="12.75" customHeight="1">
      <c r="M772" s="316"/>
      <c r="N772" s="246"/>
      <c r="O772" s="315"/>
      <c r="Q772" s="316"/>
      <c r="R772" s="317"/>
      <c r="T772" s="329"/>
      <c r="U772" s="246"/>
      <c r="V772" s="317"/>
    </row>
    <row r="773" ht="12.75" customHeight="1">
      <c r="M773" s="316"/>
      <c r="N773" s="246"/>
      <c r="O773" s="315"/>
      <c r="Q773" s="316"/>
      <c r="R773" s="317"/>
      <c r="T773" s="329"/>
      <c r="U773" s="246"/>
      <c r="V773" s="317"/>
    </row>
    <row r="774" ht="12.75" customHeight="1">
      <c r="M774" s="316"/>
      <c r="N774" s="246"/>
      <c r="O774" s="315"/>
      <c r="Q774" s="316"/>
      <c r="R774" s="317"/>
      <c r="T774" s="329"/>
      <c r="U774" s="246"/>
      <c r="V774" s="317"/>
    </row>
    <row r="775" ht="12.75" customHeight="1">
      <c r="M775" s="316"/>
      <c r="N775" s="246"/>
      <c r="O775" s="315"/>
      <c r="Q775" s="316"/>
      <c r="R775" s="317"/>
      <c r="T775" s="329"/>
      <c r="U775" s="246"/>
      <c r="V775" s="317"/>
    </row>
    <row r="776" ht="12.75" customHeight="1">
      <c r="M776" s="316"/>
      <c r="N776" s="246"/>
      <c r="O776" s="315"/>
      <c r="Q776" s="316"/>
      <c r="R776" s="317"/>
      <c r="T776" s="329"/>
      <c r="U776" s="246"/>
      <c r="V776" s="317"/>
    </row>
    <row r="777" ht="12.75" customHeight="1">
      <c r="M777" s="316"/>
      <c r="N777" s="246"/>
      <c r="O777" s="315"/>
      <c r="Q777" s="316"/>
      <c r="R777" s="317"/>
      <c r="T777" s="329"/>
      <c r="U777" s="246"/>
      <c r="V777" s="317"/>
    </row>
    <row r="778" ht="12.75" customHeight="1">
      <c r="M778" s="316"/>
      <c r="N778" s="246"/>
      <c r="O778" s="315"/>
      <c r="Q778" s="316"/>
      <c r="R778" s="317"/>
      <c r="T778" s="329"/>
      <c r="U778" s="246"/>
      <c r="V778" s="317"/>
    </row>
    <row r="779" ht="12.75" customHeight="1">
      <c r="M779" s="316"/>
      <c r="N779" s="246"/>
      <c r="O779" s="315"/>
      <c r="Q779" s="316"/>
      <c r="R779" s="317"/>
      <c r="T779" s="329"/>
      <c r="U779" s="246"/>
      <c r="V779" s="317"/>
    </row>
    <row r="780" ht="12.75" customHeight="1">
      <c r="M780" s="316"/>
      <c r="N780" s="246"/>
      <c r="O780" s="315"/>
      <c r="Q780" s="316"/>
      <c r="R780" s="317"/>
      <c r="T780" s="329"/>
      <c r="U780" s="246"/>
      <c r="V780" s="317"/>
    </row>
    <row r="781" ht="12.75" customHeight="1">
      <c r="M781" s="316"/>
      <c r="N781" s="246"/>
      <c r="O781" s="315"/>
      <c r="Q781" s="316"/>
      <c r="R781" s="317"/>
      <c r="T781" s="329"/>
      <c r="U781" s="246"/>
      <c r="V781" s="317"/>
    </row>
    <row r="782" ht="12.75" customHeight="1">
      <c r="M782" s="316"/>
      <c r="N782" s="246"/>
      <c r="O782" s="315"/>
      <c r="Q782" s="316"/>
      <c r="R782" s="317"/>
      <c r="T782" s="329"/>
      <c r="U782" s="246"/>
      <c r="V782" s="317"/>
    </row>
    <row r="783" ht="12.75" customHeight="1">
      <c r="M783" s="316"/>
      <c r="N783" s="246"/>
      <c r="O783" s="315"/>
      <c r="Q783" s="316"/>
      <c r="R783" s="317"/>
      <c r="T783" s="329"/>
      <c r="U783" s="246"/>
      <c r="V783" s="317"/>
    </row>
    <row r="784" ht="12.75" customHeight="1">
      <c r="M784" s="316"/>
      <c r="N784" s="246"/>
      <c r="O784" s="315"/>
      <c r="Q784" s="316"/>
      <c r="R784" s="317"/>
      <c r="T784" s="329"/>
      <c r="U784" s="246"/>
      <c r="V784" s="317"/>
    </row>
    <row r="785" ht="12.75" customHeight="1">
      <c r="M785" s="316"/>
      <c r="N785" s="246"/>
      <c r="O785" s="315"/>
      <c r="Q785" s="316"/>
      <c r="R785" s="317"/>
      <c r="T785" s="329"/>
      <c r="U785" s="246"/>
      <c r="V785" s="317"/>
    </row>
    <row r="786" ht="12.75" customHeight="1">
      <c r="M786" s="316"/>
      <c r="N786" s="246"/>
      <c r="O786" s="315"/>
      <c r="Q786" s="316"/>
      <c r="R786" s="317"/>
      <c r="T786" s="329"/>
      <c r="U786" s="246"/>
      <c r="V786" s="317"/>
    </row>
    <row r="787" ht="12.75" customHeight="1">
      <c r="M787" s="316"/>
      <c r="N787" s="246"/>
      <c r="O787" s="315"/>
      <c r="Q787" s="316"/>
      <c r="R787" s="317"/>
      <c r="T787" s="329"/>
      <c r="U787" s="246"/>
      <c r="V787" s="317"/>
    </row>
    <row r="788" ht="12.75" customHeight="1">
      <c r="M788" s="316"/>
      <c r="N788" s="246"/>
      <c r="O788" s="315"/>
      <c r="Q788" s="316"/>
      <c r="R788" s="317"/>
      <c r="T788" s="329"/>
      <c r="U788" s="246"/>
      <c r="V788" s="317"/>
    </row>
    <row r="789" ht="12.75" customHeight="1">
      <c r="M789" s="316"/>
      <c r="N789" s="246"/>
      <c r="O789" s="315"/>
      <c r="Q789" s="316"/>
      <c r="R789" s="317"/>
      <c r="T789" s="329"/>
      <c r="U789" s="246"/>
      <c r="V789" s="317"/>
    </row>
    <row r="790" ht="12.75" customHeight="1">
      <c r="M790" s="316"/>
      <c r="N790" s="246"/>
      <c r="O790" s="315"/>
      <c r="Q790" s="316"/>
      <c r="R790" s="317"/>
      <c r="T790" s="329"/>
      <c r="U790" s="246"/>
      <c r="V790" s="317"/>
    </row>
    <row r="791" ht="12.75" customHeight="1">
      <c r="M791" s="316"/>
      <c r="N791" s="246"/>
      <c r="O791" s="315"/>
      <c r="Q791" s="316"/>
      <c r="R791" s="317"/>
      <c r="T791" s="329"/>
      <c r="U791" s="246"/>
      <c r="V791" s="317"/>
    </row>
    <row r="792" ht="12.75" customHeight="1">
      <c r="M792" s="316"/>
      <c r="N792" s="246"/>
      <c r="O792" s="315"/>
      <c r="Q792" s="316"/>
      <c r="R792" s="317"/>
      <c r="T792" s="329"/>
      <c r="U792" s="246"/>
      <c r="V792" s="317"/>
    </row>
    <row r="793" ht="12.75" customHeight="1">
      <c r="M793" s="316"/>
      <c r="N793" s="246"/>
      <c r="O793" s="315"/>
      <c r="Q793" s="316"/>
      <c r="R793" s="317"/>
      <c r="T793" s="329"/>
      <c r="U793" s="246"/>
      <c r="V793" s="317"/>
    </row>
    <row r="794" ht="12.75" customHeight="1">
      <c r="M794" s="316"/>
      <c r="N794" s="246"/>
      <c r="O794" s="315"/>
      <c r="Q794" s="316"/>
      <c r="R794" s="317"/>
      <c r="T794" s="329"/>
      <c r="U794" s="246"/>
      <c r="V794" s="317"/>
    </row>
    <row r="795" ht="12.75" customHeight="1">
      <c r="M795" s="316"/>
      <c r="N795" s="246"/>
      <c r="O795" s="315"/>
      <c r="Q795" s="316"/>
      <c r="R795" s="317"/>
      <c r="T795" s="329"/>
      <c r="U795" s="246"/>
      <c r="V795" s="317"/>
    </row>
    <row r="796" ht="12.75" customHeight="1">
      <c r="M796" s="316"/>
      <c r="N796" s="246"/>
      <c r="O796" s="315"/>
      <c r="Q796" s="316"/>
      <c r="R796" s="317"/>
      <c r="T796" s="329"/>
      <c r="U796" s="246"/>
      <c r="V796" s="317"/>
    </row>
    <row r="797" ht="12.75" customHeight="1">
      <c r="M797" s="316"/>
      <c r="N797" s="246"/>
      <c r="O797" s="315"/>
      <c r="Q797" s="316"/>
      <c r="R797" s="317"/>
      <c r="T797" s="329"/>
      <c r="U797" s="246"/>
      <c r="V797" s="317"/>
    </row>
    <row r="798" ht="12.75" customHeight="1">
      <c r="M798" s="316"/>
      <c r="N798" s="246"/>
      <c r="O798" s="315"/>
      <c r="Q798" s="316"/>
      <c r="R798" s="317"/>
      <c r="T798" s="329"/>
      <c r="U798" s="246"/>
      <c r="V798" s="317"/>
    </row>
    <row r="799" ht="12.75" customHeight="1">
      <c r="M799" s="316"/>
      <c r="N799" s="246"/>
      <c r="O799" s="315"/>
      <c r="Q799" s="316"/>
      <c r="R799" s="317"/>
      <c r="T799" s="329"/>
      <c r="U799" s="246"/>
      <c r="V799" s="317"/>
    </row>
    <row r="800" ht="12.75" customHeight="1">
      <c r="M800" s="316"/>
      <c r="N800" s="246"/>
      <c r="O800" s="315"/>
      <c r="Q800" s="316"/>
      <c r="R800" s="317"/>
      <c r="T800" s="329"/>
      <c r="U800" s="246"/>
      <c r="V800" s="317"/>
    </row>
    <row r="801" ht="12.75" customHeight="1">
      <c r="M801" s="316"/>
      <c r="N801" s="246"/>
      <c r="O801" s="315"/>
      <c r="Q801" s="316"/>
      <c r="R801" s="317"/>
      <c r="T801" s="329"/>
      <c r="U801" s="246"/>
      <c r="V801" s="317"/>
    </row>
    <row r="802" ht="12.75" customHeight="1">
      <c r="M802" s="316"/>
      <c r="N802" s="246"/>
      <c r="O802" s="315"/>
      <c r="Q802" s="316"/>
      <c r="R802" s="317"/>
      <c r="T802" s="329"/>
      <c r="U802" s="246"/>
      <c r="V802" s="317"/>
    </row>
    <row r="803" ht="12.75" customHeight="1">
      <c r="M803" s="316"/>
      <c r="N803" s="246"/>
      <c r="O803" s="315"/>
      <c r="Q803" s="316"/>
      <c r="R803" s="317"/>
      <c r="T803" s="329"/>
      <c r="U803" s="246"/>
      <c r="V803" s="317"/>
    </row>
    <row r="804" ht="12.75" customHeight="1">
      <c r="M804" s="316"/>
      <c r="N804" s="246"/>
      <c r="O804" s="315"/>
      <c r="Q804" s="316"/>
      <c r="R804" s="317"/>
      <c r="T804" s="329"/>
      <c r="U804" s="246"/>
      <c r="V804" s="317"/>
    </row>
    <row r="805" ht="12.75" customHeight="1">
      <c r="M805" s="316"/>
      <c r="N805" s="246"/>
      <c r="O805" s="315"/>
      <c r="Q805" s="316"/>
      <c r="R805" s="317"/>
      <c r="T805" s="329"/>
      <c r="U805" s="246"/>
      <c r="V805" s="317"/>
    </row>
    <row r="806" ht="12.75" customHeight="1">
      <c r="M806" s="316"/>
      <c r="N806" s="246"/>
      <c r="O806" s="315"/>
      <c r="Q806" s="316"/>
      <c r="R806" s="317"/>
      <c r="T806" s="329"/>
      <c r="U806" s="246"/>
      <c r="V806" s="317"/>
    </row>
    <row r="807" ht="12.75" customHeight="1">
      <c r="M807" s="316"/>
      <c r="N807" s="246"/>
      <c r="O807" s="315"/>
      <c r="Q807" s="316"/>
      <c r="R807" s="317"/>
      <c r="T807" s="329"/>
      <c r="U807" s="246"/>
      <c r="V807" s="317"/>
    </row>
    <row r="808" ht="12.75" customHeight="1">
      <c r="M808" s="316"/>
      <c r="N808" s="246"/>
      <c r="O808" s="315"/>
      <c r="Q808" s="316"/>
      <c r="R808" s="317"/>
      <c r="T808" s="329"/>
      <c r="U808" s="246"/>
      <c r="V808" s="317"/>
    </row>
    <row r="809" ht="12.75" customHeight="1">
      <c r="M809" s="316"/>
      <c r="N809" s="246"/>
      <c r="O809" s="315"/>
      <c r="Q809" s="316"/>
      <c r="R809" s="317"/>
      <c r="T809" s="329"/>
      <c r="U809" s="246"/>
      <c r="V809" s="317"/>
    </row>
    <row r="810" ht="12.75" customHeight="1">
      <c r="M810" s="316"/>
      <c r="N810" s="246"/>
      <c r="O810" s="315"/>
      <c r="Q810" s="316"/>
      <c r="R810" s="317"/>
      <c r="T810" s="329"/>
      <c r="U810" s="246"/>
      <c r="V810" s="317"/>
    </row>
    <row r="811" ht="12.75" customHeight="1">
      <c r="M811" s="316"/>
      <c r="N811" s="246"/>
      <c r="O811" s="315"/>
      <c r="Q811" s="316"/>
      <c r="R811" s="317"/>
      <c r="T811" s="329"/>
      <c r="U811" s="246"/>
      <c r="V811" s="317"/>
    </row>
    <row r="812" ht="12.75" customHeight="1">
      <c r="M812" s="316"/>
      <c r="N812" s="246"/>
      <c r="O812" s="315"/>
      <c r="Q812" s="316"/>
      <c r="R812" s="317"/>
      <c r="T812" s="329"/>
      <c r="U812" s="246"/>
      <c r="V812" s="317"/>
    </row>
    <row r="813" ht="12.75" customHeight="1">
      <c r="M813" s="316"/>
      <c r="N813" s="246"/>
      <c r="O813" s="315"/>
      <c r="Q813" s="316"/>
      <c r="R813" s="317"/>
      <c r="T813" s="329"/>
      <c r="U813" s="246"/>
      <c r="V813" s="317"/>
    </row>
    <row r="814" ht="12.75" customHeight="1">
      <c r="M814" s="316"/>
      <c r="N814" s="246"/>
      <c r="O814" s="315"/>
      <c r="Q814" s="316"/>
      <c r="R814" s="317"/>
      <c r="T814" s="329"/>
      <c r="U814" s="246"/>
      <c r="V814" s="317"/>
    </row>
    <row r="815" ht="12.75" customHeight="1">
      <c r="M815" s="316"/>
      <c r="N815" s="246"/>
      <c r="O815" s="315"/>
      <c r="Q815" s="316"/>
      <c r="R815" s="317"/>
      <c r="T815" s="329"/>
      <c r="U815" s="246"/>
      <c r="V815" s="317"/>
    </row>
    <row r="816" ht="12.75" customHeight="1">
      <c r="M816" s="316"/>
      <c r="N816" s="246"/>
      <c r="O816" s="315"/>
      <c r="Q816" s="316"/>
      <c r="R816" s="317"/>
      <c r="T816" s="329"/>
      <c r="U816" s="246"/>
      <c r="V816" s="317"/>
    </row>
    <row r="817" ht="12.75" customHeight="1">
      <c r="M817" s="316"/>
      <c r="N817" s="246"/>
      <c r="O817" s="315"/>
      <c r="Q817" s="316"/>
      <c r="R817" s="317"/>
      <c r="T817" s="329"/>
      <c r="U817" s="246"/>
      <c r="V817" s="317"/>
    </row>
    <row r="818" ht="12.75" customHeight="1">
      <c r="M818" s="316"/>
      <c r="N818" s="246"/>
      <c r="O818" s="315"/>
      <c r="Q818" s="316"/>
      <c r="R818" s="317"/>
      <c r="T818" s="329"/>
      <c r="U818" s="246"/>
      <c r="V818" s="317"/>
    </row>
    <row r="819" ht="12.75" customHeight="1">
      <c r="M819" s="316"/>
      <c r="N819" s="246"/>
      <c r="O819" s="315"/>
      <c r="Q819" s="316"/>
      <c r="R819" s="317"/>
      <c r="T819" s="329"/>
      <c r="U819" s="246"/>
      <c r="V819" s="317"/>
    </row>
    <row r="820" ht="12.75" customHeight="1">
      <c r="M820" s="316"/>
      <c r="N820" s="246"/>
      <c r="O820" s="315"/>
      <c r="Q820" s="316"/>
      <c r="R820" s="317"/>
      <c r="T820" s="329"/>
      <c r="U820" s="246"/>
      <c r="V820" s="317"/>
    </row>
    <row r="821" ht="12.75" customHeight="1">
      <c r="M821" s="316"/>
      <c r="N821" s="246"/>
      <c r="O821" s="315"/>
      <c r="Q821" s="316"/>
      <c r="R821" s="317"/>
      <c r="T821" s="329"/>
      <c r="U821" s="246"/>
      <c r="V821" s="317"/>
    </row>
    <row r="822" ht="12.75" customHeight="1">
      <c r="M822" s="316"/>
      <c r="N822" s="246"/>
      <c r="O822" s="315"/>
      <c r="Q822" s="316"/>
      <c r="R822" s="317"/>
      <c r="T822" s="329"/>
      <c r="U822" s="246"/>
      <c r="V822" s="317"/>
    </row>
    <row r="823" ht="12.75" customHeight="1">
      <c r="M823" s="316"/>
      <c r="N823" s="246"/>
      <c r="O823" s="315"/>
      <c r="Q823" s="316"/>
      <c r="R823" s="317"/>
      <c r="T823" s="329"/>
      <c r="U823" s="246"/>
      <c r="V823" s="317"/>
    </row>
    <row r="824" ht="12.75" customHeight="1">
      <c r="M824" s="316"/>
      <c r="N824" s="246"/>
      <c r="O824" s="315"/>
      <c r="Q824" s="316"/>
      <c r="R824" s="317"/>
      <c r="T824" s="329"/>
      <c r="U824" s="246"/>
      <c r="V824" s="317"/>
    </row>
    <row r="825" ht="12.75" customHeight="1">
      <c r="M825" s="316"/>
      <c r="N825" s="246"/>
      <c r="O825" s="315"/>
      <c r="Q825" s="316"/>
      <c r="R825" s="317"/>
      <c r="T825" s="329"/>
      <c r="U825" s="246"/>
      <c r="V825" s="317"/>
    </row>
    <row r="826" ht="12.75" customHeight="1">
      <c r="M826" s="316"/>
      <c r="N826" s="246"/>
      <c r="O826" s="315"/>
      <c r="Q826" s="316"/>
      <c r="R826" s="317"/>
      <c r="T826" s="329"/>
      <c r="U826" s="246"/>
      <c r="V826" s="317"/>
    </row>
    <row r="827" ht="12.75" customHeight="1">
      <c r="M827" s="316"/>
      <c r="N827" s="246"/>
      <c r="O827" s="315"/>
      <c r="Q827" s="316"/>
      <c r="R827" s="317"/>
      <c r="T827" s="329"/>
      <c r="U827" s="246"/>
      <c r="V827" s="317"/>
    </row>
    <row r="828" ht="12.75" customHeight="1">
      <c r="M828" s="316"/>
      <c r="N828" s="246"/>
      <c r="O828" s="315"/>
      <c r="Q828" s="316"/>
      <c r="R828" s="317"/>
      <c r="T828" s="329"/>
      <c r="U828" s="246"/>
      <c r="V828" s="317"/>
    </row>
    <row r="829" ht="12.75" customHeight="1">
      <c r="M829" s="316"/>
      <c r="N829" s="246"/>
      <c r="O829" s="315"/>
      <c r="Q829" s="316"/>
      <c r="R829" s="317"/>
      <c r="T829" s="329"/>
      <c r="U829" s="246"/>
      <c r="V829" s="317"/>
    </row>
    <row r="830" ht="12.75" customHeight="1">
      <c r="M830" s="316"/>
      <c r="N830" s="246"/>
      <c r="O830" s="315"/>
      <c r="Q830" s="316"/>
      <c r="R830" s="317"/>
      <c r="T830" s="329"/>
      <c r="U830" s="246"/>
      <c r="V830" s="317"/>
    </row>
    <row r="831" ht="12.75" customHeight="1">
      <c r="M831" s="316"/>
      <c r="N831" s="246"/>
      <c r="O831" s="315"/>
      <c r="Q831" s="316"/>
      <c r="R831" s="317"/>
      <c r="T831" s="329"/>
      <c r="U831" s="246"/>
      <c r="V831" s="317"/>
    </row>
    <row r="832" ht="12.75" customHeight="1">
      <c r="M832" s="316"/>
      <c r="N832" s="246"/>
      <c r="O832" s="315"/>
      <c r="Q832" s="316"/>
      <c r="R832" s="317"/>
      <c r="T832" s="329"/>
      <c r="U832" s="246"/>
      <c r="V832" s="317"/>
    </row>
    <row r="833" ht="12.75" customHeight="1">
      <c r="M833" s="316"/>
      <c r="N833" s="246"/>
      <c r="O833" s="315"/>
      <c r="Q833" s="316"/>
      <c r="R833" s="317"/>
      <c r="T833" s="329"/>
      <c r="U833" s="246"/>
      <c r="V833" s="317"/>
    </row>
    <row r="834" ht="12.75" customHeight="1">
      <c r="M834" s="316"/>
      <c r="N834" s="246"/>
      <c r="O834" s="315"/>
      <c r="Q834" s="316"/>
      <c r="R834" s="317"/>
      <c r="T834" s="329"/>
      <c r="U834" s="246"/>
      <c r="V834" s="317"/>
    </row>
    <row r="835" ht="12.75" customHeight="1">
      <c r="M835" s="316"/>
      <c r="N835" s="246"/>
      <c r="O835" s="315"/>
      <c r="Q835" s="316"/>
      <c r="R835" s="317"/>
      <c r="T835" s="329"/>
      <c r="U835" s="246"/>
      <c r="V835" s="317"/>
    </row>
    <row r="836" ht="12.75" customHeight="1">
      <c r="M836" s="316"/>
      <c r="N836" s="246"/>
      <c r="O836" s="315"/>
      <c r="Q836" s="316"/>
      <c r="R836" s="317"/>
      <c r="T836" s="329"/>
      <c r="U836" s="246"/>
      <c r="V836" s="317"/>
    </row>
    <row r="837" ht="12.75" customHeight="1">
      <c r="M837" s="316"/>
      <c r="N837" s="246"/>
      <c r="O837" s="315"/>
      <c r="Q837" s="316"/>
      <c r="R837" s="317"/>
      <c r="T837" s="329"/>
      <c r="U837" s="246"/>
      <c r="V837" s="317"/>
    </row>
    <row r="838" ht="12.75" customHeight="1">
      <c r="M838" s="316"/>
      <c r="N838" s="246"/>
      <c r="O838" s="315"/>
      <c r="Q838" s="316"/>
      <c r="R838" s="317"/>
      <c r="T838" s="329"/>
      <c r="U838" s="246"/>
      <c r="V838" s="317"/>
    </row>
    <row r="839" ht="12.75" customHeight="1">
      <c r="M839" s="316"/>
      <c r="N839" s="246"/>
      <c r="O839" s="315"/>
      <c r="Q839" s="316"/>
      <c r="R839" s="317"/>
      <c r="T839" s="329"/>
      <c r="U839" s="246"/>
      <c r="V839" s="317"/>
    </row>
    <row r="840" ht="12.75" customHeight="1">
      <c r="M840" s="316"/>
      <c r="N840" s="246"/>
      <c r="O840" s="315"/>
      <c r="Q840" s="316"/>
      <c r="R840" s="317"/>
      <c r="T840" s="329"/>
      <c r="U840" s="246"/>
      <c r="V840" s="317"/>
    </row>
    <row r="841" ht="12.75" customHeight="1">
      <c r="M841" s="316"/>
      <c r="N841" s="246"/>
      <c r="O841" s="315"/>
      <c r="Q841" s="316"/>
      <c r="R841" s="317"/>
      <c r="T841" s="329"/>
      <c r="U841" s="246"/>
      <c r="V841" s="317"/>
    </row>
    <row r="842" ht="12.75" customHeight="1">
      <c r="M842" s="316"/>
      <c r="N842" s="246"/>
      <c r="O842" s="315"/>
      <c r="Q842" s="316"/>
      <c r="R842" s="317"/>
      <c r="T842" s="329"/>
      <c r="U842" s="246"/>
      <c r="V842" s="317"/>
    </row>
    <row r="843" ht="12.75" customHeight="1">
      <c r="M843" s="316"/>
      <c r="N843" s="246"/>
      <c r="O843" s="315"/>
      <c r="Q843" s="316"/>
      <c r="R843" s="317"/>
      <c r="T843" s="329"/>
      <c r="U843" s="246"/>
      <c r="V843" s="317"/>
    </row>
    <row r="844" ht="12.75" customHeight="1">
      <c r="M844" s="316"/>
      <c r="N844" s="246"/>
      <c r="O844" s="315"/>
      <c r="Q844" s="316"/>
      <c r="R844" s="317"/>
      <c r="T844" s="329"/>
      <c r="U844" s="246"/>
      <c r="V844" s="317"/>
    </row>
    <row r="845" ht="12.75" customHeight="1">
      <c r="M845" s="316"/>
      <c r="N845" s="246"/>
      <c r="O845" s="315"/>
      <c r="Q845" s="316"/>
      <c r="R845" s="317"/>
      <c r="T845" s="329"/>
      <c r="U845" s="246"/>
      <c r="V845" s="317"/>
    </row>
    <row r="846" ht="12.75" customHeight="1">
      <c r="M846" s="316"/>
      <c r="N846" s="246"/>
      <c r="O846" s="315"/>
      <c r="Q846" s="316"/>
      <c r="R846" s="317"/>
      <c r="T846" s="329"/>
      <c r="U846" s="246"/>
      <c r="V846" s="317"/>
    </row>
    <row r="847" ht="12.75" customHeight="1">
      <c r="M847" s="316"/>
      <c r="N847" s="246"/>
      <c r="O847" s="315"/>
      <c r="Q847" s="316"/>
      <c r="R847" s="317"/>
      <c r="T847" s="329"/>
      <c r="U847" s="246"/>
      <c r="V847" s="317"/>
    </row>
    <row r="848" ht="12.75" customHeight="1">
      <c r="M848" s="316"/>
      <c r="N848" s="246"/>
      <c r="O848" s="315"/>
      <c r="Q848" s="316"/>
      <c r="R848" s="317"/>
      <c r="T848" s="329"/>
      <c r="U848" s="246"/>
      <c r="V848" s="317"/>
    </row>
    <row r="849" ht="12.75" customHeight="1">
      <c r="M849" s="316"/>
      <c r="N849" s="246"/>
      <c r="O849" s="315"/>
      <c r="Q849" s="316"/>
      <c r="R849" s="317"/>
      <c r="T849" s="329"/>
      <c r="U849" s="246"/>
      <c r="V849" s="317"/>
    </row>
    <row r="850" ht="12.75" customHeight="1">
      <c r="M850" s="316"/>
      <c r="N850" s="246"/>
      <c r="O850" s="315"/>
      <c r="Q850" s="316"/>
      <c r="R850" s="317"/>
      <c r="T850" s="329"/>
      <c r="U850" s="246"/>
      <c r="V850" s="317"/>
    </row>
    <row r="851" ht="12.75" customHeight="1">
      <c r="M851" s="316"/>
      <c r="N851" s="246"/>
      <c r="O851" s="315"/>
      <c r="Q851" s="316"/>
      <c r="R851" s="317"/>
      <c r="T851" s="329"/>
      <c r="U851" s="246"/>
      <c r="V851" s="317"/>
    </row>
    <row r="852" ht="12.75" customHeight="1">
      <c r="M852" s="316"/>
      <c r="N852" s="246"/>
      <c r="O852" s="315"/>
      <c r="Q852" s="316"/>
      <c r="R852" s="317"/>
      <c r="T852" s="329"/>
      <c r="U852" s="246"/>
      <c r="V852" s="317"/>
    </row>
    <row r="853" ht="12.75" customHeight="1">
      <c r="M853" s="316"/>
      <c r="N853" s="246"/>
      <c r="O853" s="315"/>
      <c r="Q853" s="316"/>
      <c r="R853" s="317"/>
      <c r="T853" s="329"/>
      <c r="U853" s="246"/>
      <c r="V853" s="317"/>
    </row>
    <row r="854" ht="12.75" customHeight="1">
      <c r="M854" s="316"/>
      <c r="N854" s="246"/>
      <c r="O854" s="315"/>
      <c r="Q854" s="316"/>
      <c r="R854" s="317"/>
      <c r="T854" s="329"/>
      <c r="U854" s="246"/>
      <c r="V854" s="317"/>
    </row>
    <row r="855" ht="12.75" customHeight="1">
      <c r="M855" s="316"/>
      <c r="N855" s="246"/>
      <c r="O855" s="315"/>
      <c r="Q855" s="316"/>
      <c r="R855" s="317"/>
      <c r="T855" s="329"/>
      <c r="U855" s="246"/>
      <c r="V855" s="317"/>
    </row>
    <row r="856" ht="12.75" customHeight="1">
      <c r="M856" s="316"/>
      <c r="N856" s="246"/>
      <c r="O856" s="315"/>
      <c r="Q856" s="316"/>
      <c r="R856" s="317"/>
      <c r="T856" s="329"/>
      <c r="U856" s="246"/>
      <c r="V856" s="317"/>
    </row>
    <row r="857" ht="12.75" customHeight="1">
      <c r="M857" s="316"/>
      <c r="N857" s="246"/>
      <c r="O857" s="315"/>
      <c r="Q857" s="316"/>
      <c r="R857" s="317"/>
      <c r="T857" s="329"/>
      <c r="U857" s="246"/>
      <c r="V857" s="317"/>
    </row>
    <row r="858" ht="12.75" customHeight="1">
      <c r="M858" s="316"/>
      <c r="N858" s="246"/>
      <c r="O858" s="315"/>
      <c r="Q858" s="316"/>
      <c r="R858" s="317"/>
      <c r="T858" s="329"/>
      <c r="U858" s="246"/>
      <c r="V858" s="317"/>
    </row>
    <row r="859" ht="12.75" customHeight="1">
      <c r="M859" s="316"/>
      <c r="N859" s="246"/>
      <c r="O859" s="315"/>
      <c r="Q859" s="316"/>
      <c r="R859" s="317"/>
      <c r="T859" s="329"/>
      <c r="U859" s="246"/>
      <c r="V859" s="317"/>
    </row>
    <row r="860" ht="12.75" customHeight="1">
      <c r="M860" s="316"/>
      <c r="N860" s="246"/>
      <c r="O860" s="315"/>
      <c r="Q860" s="316"/>
      <c r="R860" s="317"/>
      <c r="T860" s="329"/>
      <c r="U860" s="246"/>
      <c r="V860" s="317"/>
    </row>
    <row r="861" ht="12.75" customHeight="1">
      <c r="M861" s="316"/>
      <c r="N861" s="246"/>
      <c r="O861" s="315"/>
      <c r="Q861" s="316"/>
      <c r="R861" s="317"/>
      <c r="T861" s="329"/>
      <c r="U861" s="246"/>
      <c r="V861" s="317"/>
    </row>
    <row r="862" ht="12.75" customHeight="1">
      <c r="M862" s="316"/>
      <c r="N862" s="246"/>
      <c r="O862" s="315"/>
      <c r="Q862" s="316"/>
      <c r="R862" s="317"/>
      <c r="T862" s="329"/>
      <c r="U862" s="246"/>
      <c r="V862" s="317"/>
    </row>
    <row r="863" ht="12.75" customHeight="1">
      <c r="M863" s="316"/>
      <c r="N863" s="246"/>
      <c r="O863" s="315"/>
      <c r="Q863" s="316"/>
      <c r="R863" s="317"/>
      <c r="T863" s="329"/>
      <c r="U863" s="246"/>
      <c r="V863" s="317"/>
    </row>
    <row r="864" ht="12.75" customHeight="1">
      <c r="M864" s="316"/>
      <c r="N864" s="246"/>
      <c r="O864" s="315"/>
      <c r="Q864" s="316"/>
      <c r="R864" s="317"/>
      <c r="T864" s="329"/>
      <c r="U864" s="246"/>
      <c r="V864" s="317"/>
    </row>
    <row r="865" ht="12.75" customHeight="1">
      <c r="M865" s="316"/>
      <c r="N865" s="246"/>
      <c r="O865" s="315"/>
      <c r="Q865" s="316"/>
      <c r="R865" s="317"/>
      <c r="T865" s="329"/>
      <c r="U865" s="246"/>
      <c r="V865" s="317"/>
    </row>
    <row r="866" ht="12.75" customHeight="1">
      <c r="M866" s="316"/>
      <c r="N866" s="246"/>
      <c r="O866" s="315"/>
      <c r="Q866" s="316"/>
      <c r="R866" s="317"/>
      <c r="T866" s="329"/>
      <c r="U866" s="246"/>
      <c r="V866" s="317"/>
    </row>
    <row r="867" ht="12.75" customHeight="1">
      <c r="M867" s="316"/>
      <c r="N867" s="246"/>
      <c r="O867" s="315"/>
      <c r="Q867" s="316"/>
      <c r="R867" s="317"/>
      <c r="T867" s="329"/>
      <c r="U867" s="246"/>
      <c r="V867" s="317"/>
    </row>
    <row r="868" ht="12.75" customHeight="1">
      <c r="M868" s="316"/>
      <c r="N868" s="246"/>
      <c r="O868" s="315"/>
      <c r="Q868" s="316"/>
      <c r="R868" s="317"/>
      <c r="T868" s="329"/>
      <c r="U868" s="246"/>
      <c r="V868" s="317"/>
    </row>
    <row r="869" ht="12.75" customHeight="1">
      <c r="M869" s="316"/>
      <c r="N869" s="246"/>
      <c r="O869" s="315"/>
      <c r="Q869" s="316"/>
      <c r="R869" s="317"/>
      <c r="T869" s="329"/>
      <c r="U869" s="246"/>
      <c r="V869" s="317"/>
    </row>
    <row r="870" ht="12.75" customHeight="1">
      <c r="M870" s="316"/>
      <c r="N870" s="246"/>
      <c r="O870" s="315"/>
      <c r="Q870" s="316"/>
      <c r="R870" s="317"/>
      <c r="T870" s="329"/>
      <c r="U870" s="246"/>
      <c r="V870" s="317"/>
    </row>
    <row r="871" ht="12.75" customHeight="1">
      <c r="M871" s="316"/>
      <c r="N871" s="246"/>
      <c r="O871" s="315"/>
      <c r="Q871" s="316"/>
      <c r="R871" s="317"/>
      <c r="T871" s="329"/>
      <c r="U871" s="246"/>
      <c r="V871" s="317"/>
    </row>
    <row r="872" ht="12.75" customHeight="1">
      <c r="M872" s="316"/>
      <c r="N872" s="246"/>
      <c r="O872" s="315"/>
      <c r="Q872" s="316"/>
      <c r="R872" s="317"/>
      <c r="T872" s="329"/>
      <c r="U872" s="246"/>
      <c r="V872" s="317"/>
    </row>
    <row r="873" ht="12.75" customHeight="1">
      <c r="M873" s="316"/>
      <c r="N873" s="246"/>
      <c r="O873" s="315"/>
      <c r="Q873" s="316"/>
      <c r="R873" s="317"/>
      <c r="T873" s="329"/>
      <c r="U873" s="246"/>
      <c r="V873" s="317"/>
    </row>
    <row r="874" ht="12.75" customHeight="1">
      <c r="M874" s="316"/>
      <c r="N874" s="246"/>
      <c r="O874" s="315"/>
      <c r="Q874" s="316"/>
      <c r="R874" s="317"/>
      <c r="T874" s="329"/>
      <c r="U874" s="246"/>
      <c r="V874" s="317"/>
    </row>
    <row r="875" ht="12.75" customHeight="1">
      <c r="M875" s="316"/>
      <c r="N875" s="246"/>
      <c r="O875" s="315"/>
      <c r="Q875" s="316"/>
      <c r="R875" s="317"/>
      <c r="T875" s="329"/>
      <c r="U875" s="246"/>
      <c r="V875" s="317"/>
    </row>
    <row r="876" ht="12.75" customHeight="1">
      <c r="M876" s="316"/>
      <c r="N876" s="246"/>
      <c r="O876" s="315"/>
      <c r="Q876" s="316"/>
      <c r="R876" s="317"/>
      <c r="T876" s="329"/>
      <c r="U876" s="246"/>
      <c r="V876" s="317"/>
    </row>
    <row r="877" ht="12.75" customHeight="1">
      <c r="M877" s="316"/>
      <c r="N877" s="246"/>
      <c r="O877" s="315"/>
      <c r="Q877" s="316"/>
      <c r="R877" s="317"/>
      <c r="T877" s="329"/>
      <c r="U877" s="246"/>
      <c r="V877" s="317"/>
    </row>
    <row r="878" ht="12.75" customHeight="1">
      <c r="M878" s="316"/>
      <c r="N878" s="246"/>
      <c r="O878" s="315"/>
      <c r="Q878" s="316"/>
      <c r="R878" s="317"/>
      <c r="T878" s="329"/>
      <c r="U878" s="246"/>
      <c r="V878" s="317"/>
    </row>
    <row r="879" ht="12.75" customHeight="1">
      <c r="M879" s="316"/>
      <c r="N879" s="246"/>
      <c r="O879" s="315"/>
      <c r="Q879" s="316"/>
      <c r="R879" s="317"/>
      <c r="T879" s="329"/>
      <c r="U879" s="246"/>
      <c r="V879" s="317"/>
    </row>
    <row r="880" ht="12.75" customHeight="1">
      <c r="M880" s="316"/>
      <c r="N880" s="246"/>
      <c r="O880" s="315"/>
      <c r="Q880" s="316"/>
      <c r="R880" s="317"/>
      <c r="T880" s="329"/>
      <c r="U880" s="246"/>
      <c r="V880" s="317"/>
    </row>
    <row r="881" ht="12.75" customHeight="1">
      <c r="M881" s="316"/>
      <c r="N881" s="246"/>
      <c r="O881" s="315"/>
      <c r="Q881" s="316"/>
      <c r="R881" s="317"/>
      <c r="T881" s="329"/>
      <c r="U881" s="246"/>
      <c r="V881" s="317"/>
    </row>
    <row r="882" ht="12.75" customHeight="1">
      <c r="M882" s="316"/>
      <c r="N882" s="246"/>
      <c r="O882" s="315"/>
      <c r="Q882" s="316"/>
      <c r="R882" s="317"/>
      <c r="T882" s="329"/>
      <c r="U882" s="246"/>
      <c r="V882" s="317"/>
    </row>
    <row r="883" ht="12.75" customHeight="1">
      <c r="M883" s="316"/>
      <c r="N883" s="246"/>
      <c r="O883" s="315"/>
      <c r="Q883" s="316"/>
      <c r="R883" s="317"/>
      <c r="T883" s="329"/>
      <c r="U883" s="246"/>
      <c r="V883" s="317"/>
    </row>
    <row r="884" ht="12.75" customHeight="1">
      <c r="M884" s="316"/>
      <c r="N884" s="246"/>
      <c r="O884" s="315"/>
      <c r="Q884" s="316"/>
      <c r="R884" s="317"/>
      <c r="T884" s="329"/>
      <c r="U884" s="246"/>
      <c r="V884" s="317"/>
    </row>
    <row r="885" ht="12.75" customHeight="1">
      <c r="M885" s="316"/>
      <c r="N885" s="246"/>
      <c r="O885" s="315"/>
      <c r="Q885" s="316"/>
      <c r="R885" s="317"/>
      <c r="T885" s="329"/>
      <c r="U885" s="246"/>
      <c r="V885" s="317"/>
    </row>
    <row r="886" ht="12.75" customHeight="1">
      <c r="M886" s="316"/>
      <c r="N886" s="246"/>
      <c r="O886" s="315"/>
      <c r="Q886" s="316"/>
      <c r="R886" s="317"/>
      <c r="T886" s="329"/>
      <c r="U886" s="246"/>
      <c r="V886" s="317"/>
    </row>
    <row r="887" ht="12.75" customHeight="1">
      <c r="M887" s="316"/>
      <c r="N887" s="246"/>
      <c r="O887" s="315"/>
      <c r="Q887" s="316"/>
      <c r="R887" s="317"/>
      <c r="T887" s="329"/>
      <c r="U887" s="246"/>
      <c r="V887" s="317"/>
    </row>
    <row r="888" ht="12.75" customHeight="1">
      <c r="M888" s="316"/>
      <c r="N888" s="246"/>
      <c r="O888" s="315"/>
      <c r="Q888" s="316"/>
      <c r="R888" s="317"/>
      <c r="T888" s="329"/>
      <c r="U888" s="246"/>
      <c r="V888" s="317"/>
    </row>
    <row r="889" ht="12.75" customHeight="1">
      <c r="M889" s="316"/>
      <c r="N889" s="246"/>
      <c r="O889" s="315"/>
      <c r="Q889" s="316"/>
      <c r="R889" s="317"/>
      <c r="T889" s="329"/>
      <c r="U889" s="246"/>
      <c r="V889" s="317"/>
    </row>
    <row r="890" ht="12.75" customHeight="1">
      <c r="M890" s="316"/>
      <c r="N890" s="246"/>
      <c r="O890" s="315"/>
      <c r="Q890" s="316"/>
      <c r="R890" s="317"/>
      <c r="T890" s="329"/>
      <c r="U890" s="246"/>
      <c r="V890" s="317"/>
    </row>
    <row r="891" ht="12.75" customHeight="1">
      <c r="M891" s="316"/>
      <c r="N891" s="246"/>
      <c r="O891" s="315"/>
      <c r="Q891" s="316"/>
      <c r="R891" s="317"/>
      <c r="T891" s="329"/>
      <c r="U891" s="246"/>
      <c r="V891" s="317"/>
    </row>
    <row r="892" ht="12.75" customHeight="1">
      <c r="M892" s="316"/>
      <c r="N892" s="246"/>
      <c r="O892" s="315"/>
      <c r="Q892" s="316"/>
      <c r="R892" s="317"/>
      <c r="T892" s="329"/>
      <c r="U892" s="246"/>
      <c r="V892" s="317"/>
    </row>
    <row r="893" ht="12.75" customHeight="1">
      <c r="M893" s="316"/>
      <c r="N893" s="246"/>
      <c r="O893" s="315"/>
      <c r="Q893" s="316"/>
      <c r="R893" s="317"/>
      <c r="T893" s="329"/>
      <c r="U893" s="246"/>
      <c r="V893" s="317"/>
    </row>
    <row r="894" ht="12.75" customHeight="1">
      <c r="M894" s="316"/>
      <c r="N894" s="246"/>
      <c r="O894" s="315"/>
      <c r="Q894" s="316"/>
      <c r="R894" s="317"/>
      <c r="T894" s="329"/>
      <c r="U894" s="246"/>
      <c r="V894" s="317"/>
    </row>
    <row r="895" ht="12.75" customHeight="1">
      <c r="M895" s="316"/>
      <c r="N895" s="246"/>
      <c r="O895" s="315"/>
      <c r="Q895" s="316"/>
      <c r="R895" s="317"/>
      <c r="T895" s="329"/>
      <c r="U895" s="246"/>
      <c r="V895" s="317"/>
    </row>
    <row r="896" ht="12.75" customHeight="1">
      <c r="M896" s="316"/>
      <c r="N896" s="246"/>
      <c r="O896" s="315"/>
      <c r="Q896" s="316"/>
      <c r="R896" s="317"/>
      <c r="T896" s="329"/>
      <c r="U896" s="246"/>
      <c r="V896" s="317"/>
    </row>
    <row r="897" ht="12.75" customHeight="1">
      <c r="M897" s="316"/>
      <c r="N897" s="246"/>
      <c r="O897" s="315"/>
      <c r="Q897" s="316"/>
      <c r="R897" s="317"/>
      <c r="T897" s="329"/>
      <c r="U897" s="246"/>
      <c r="V897" s="317"/>
    </row>
    <row r="898" ht="12.75" customHeight="1">
      <c r="M898" s="316"/>
      <c r="N898" s="246"/>
      <c r="O898" s="315"/>
      <c r="Q898" s="316"/>
      <c r="R898" s="317"/>
      <c r="T898" s="329"/>
      <c r="U898" s="246"/>
      <c r="V898" s="317"/>
    </row>
    <row r="899" ht="12.75" customHeight="1">
      <c r="M899" s="316"/>
      <c r="N899" s="246"/>
      <c r="O899" s="315"/>
      <c r="Q899" s="316"/>
      <c r="R899" s="317"/>
      <c r="T899" s="329"/>
      <c r="U899" s="246"/>
      <c r="V899" s="317"/>
    </row>
    <row r="900" ht="12.75" customHeight="1">
      <c r="M900" s="316"/>
      <c r="N900" s="246"/>
      <c r="O900" s="315"/>
      <c r="Q900" s="316"/>
      <c r="R900" s="317"/>
      <c r="T900" s="329"/>
      <c r="U900" s="246"/>
      <c r="V900" s="317"/>
    </row>
    <row r="901" ht="12.75" customHeight="1">
      <c r="M901" s="316"/>
      <c r="N901" s="246"/>
      <c r="O901" s="315"/>
      <c r="Q901" s="316"/>
      <c r="R901" s="317"/>
      <c r="T901" s="329"/>
      <c r="U901" s="246"/>
      <c r="V901" s="317"/>
    </row>
    <row r="902" ht="12.75" customHeight="1">
      <c r="M902" s="316"/>
      <c r="N902" s="246"/>
      <c r="O902" s="315"/>
      <c r="Q902" s="316"/>
      <c r="R902" s="317"/>
      <c r="T902" s="329"/>
      <c r="U902" s="246"/>
      <c r="V902" s="317"/>
    </row>
    <row r="903" ht="12.75" customHeight="1">
      <c r="M903" s="316"/>
      <c r="N903" s="246"/>
      <c r="O903" s="315"/>
      <c r="Q903" s="316"/>
      <c r="R903" s="317"/>
      <c r="T903" s="329"/>
      <c r="U903" s="246"/>
      <c r="V903" s="317"/>
    </row>
    <row r="904" ht="12.75" customHeight="1">
      <c r="M904" s="316"/>
      <c r="N904" s="246"/>
      <c r="O904" s="315"/>
      <c r="Q904" s="316"/>
      <c r="R904" s="317"/>
      <c r="T904" s="329"/>
      <c r="U904" s="246"/>
      <c r="V904" s="317"/>
    </row>
    <row r="905" ht="12.75" customHeight="1">
      <c r="M905" s="316"/>
      <c r="N905" s="246"/>
      <c r="O905" s="315"/>
      <c r="Q905" s="316"/>
      <c r="R905" s="317"/>
      <c r="T905" s="329"/>
      <c r="U905" s="246"/>
      <c r="V905" s="317"/>
    </row>
    <row r="906" ht="12.75" customHeight="1">
      <c r="M906" s="316"/>
      <c r="N906" s="246"/>
      <c r="O906" s="315"/>
      <c r="Q906" s="316"/>
      <c r="R906" s="317"/>
      <c r="T906" s="329"/>
      <c r="U906" s="246"/>
      <c r="V906" s="317"/>
    </row>
    <row r="907" ht="12.75" customHeight="1">
      <c r="M907" s="316"/>
      <c r="N907" s="246"/>
      <c r="O907" s="315"/>
      <c r="Q907" s="316"/>
      <c r="R907" s="317"/>
      <c r="T907" s="329"/>
      <c r="U907" s="246"/>
      <c r="V907" s="317"/>
    </row>
    <row r="908" ht="12.75" customHeight="1">
      <c r="M908" s="316"/>
      <c r="N908" s="246"/>
      <c r="O908" s="315"/>
      <c r="Q908" s="316"/>
      <c r="R908" s="317"/>
      <c r="T908" s="329"/>
      <c r="U908" s="246"/>
      <c r="V908" s="317"/>
    </row>
    <row r="909" ht="12.75" customHeight="1">
      <c r="M909" s="316"/>
      <c r="N909" s="246"/>
      <c r="O909" s="315"/>
      <c r="Q909" s="316"/>
      <c r="R909" s="317"/>
      <c r="T909" s="329"/>
      <c r="U909" s="246"/>
      <c r="V909" s="317"/>
    </row>
    <row r="910" ht="12.75" customHeight="1">
      <c r="M910" s="316"/>
      <c r="N910" s="246"/>
      <c r="O910" s="315"/>
      <c r="Q910" s="316"/>
      <c r="R910" s="317"/>
      <c r="T910" s="329"/>
      <c r="U910" s="246"/>
      <c r="V910" s="317"/>
    </row>
    <row r="911" ht="12.75" customHeight="1">
      <c r="M911" s="316"/>
      <c r="N911" s="246"/>
      <c r="O911" s="315"/>
      <c r="Q911" s="316"/>
      <c r="R911" s="317"/>
      <c r="T911" s="329"/>
      <c r="U911" s="246"/>
      <c r="V911" s="317"/>
    </row>
    <row r="912" ht="12.75" customHeight="1">
      <c r="M912" s="316"/>
      <c r="N912" s="246"/>
      <c r="O912" s="315"/>
      <c r="Q912" s="316"/>
      <c r="R912" s="317"/>
      <c r="T912" s="329"/>
      <c r="U912" s="246"/>
      <c r="V912" s="317"/>
    </row>
    <row r="913" ht="12.75" customHeight="1">
      <c r="M913" s="316"/>
      <c r="N913" s="246"/>
      <c r="O913" s="315"/>
      <c r="Q913" s="316"/>
      <c r="R913" s="317"/>
      <c r="T913" s="329"/>
      <c r="U913" s="246"/>
      <c r="V913" s="317"/>
    </row>
    <row r="914" ht="12.75" customHeight="1">
      <c r="M914" s="316"/>
      <c r="N914" s="246"/>
      <c r="O914" s="315"/>
      <c r="Q914" s="316"/>
      <c r="R914" s="317"/>
      <c r="T914" s="329"/>
      <c r="U914" s="246"/>
      <c r="V914" s="317"/>
    </row>
    <row r="915" ht="12.75" customHeight="1">
      <c r="M915" s="316"/>
      <c r="N915" s="246"/>
      <c r="O915" s="315"/>
      <c r="Q915" s="316"/>
      <c r="R915" s="317"/>
      <c r="T915" s="329"/>
      <c r="U915" s="246"/>
      <c r="V915" s="317"/>
    </row>
    <row r="916" ht="12.75" customHeight="1">
      <c r="M916" s="316"/>
      <c r="N916" s="246"/>
      <c r="O916" s="315"/>
      <c r="Q916" s="316"/>
      <c r="R916" s="317"/>
      <c r="T916" s="329"/>
      <c r="U916" s="246"/>
      <c r="V916" s="317"/>
    </row>
    <row r="917" ht="12.75" customHeight="1">
      <c r="M917" s="316"/>
      <c r="N917" s="246"/>
      <c r="O917" s="315"/>
      <c r="Q917" s="316"/>
      <c r="R917" s="317"/>
      <c r="T917" s="329"/>
      <c r="U917" s="246"/>
      <c r="V917" s="317"/>
    </row>
    <row r="918" ht="12.75" customHeight="1">
      <c r="M918" s="316"/>
      <c r="N918" s="246"/>
      <c r="O918" s="315"/>
      <c r="Q918" s="316"/>
      <c r="R918" s="317"/>
      <c r="T918" s="329"/>
      <c r="U918" s="246"/>
      <c r="V918" s="317"/>
    </row>
    <row r="919" ht="12.75" customHeight="1">
      <c r="M919" s="316"/>
      <c r="N919" s="246"/>
      <c r="O919" s="315"/>
      <c r="Q919" s="316"/>
      <c r="R919" s="317"/>
      <c r="T919" s="329"/>
      <c r="U919" s="246"/>
      <c r="V919" s="317"/>
    </row>
    <row r="920" ht="12.75" customHeight="1">
      <c r="M920" s="316"/>
      <c r="N920" s="246"/>
      <c r="O920" s="315"/>
      <c r="Q920" s="316"/>
      <c r="R920" s="317"/>
      <c r="T920" s="329"/>
      <c r="U920" s="246"/>
      <c r="V920" s="317"/>
    </row>
    <row r="921" ht="12.75" customHeight="1">
      <c r="M921" s="316"/>
      <c r="N921" s="246"/>
      <c r="O921" s="315"/>
      <c r="Q921" s="316"/>
      <c r="R921" s="317"/>
      <c r="T921" s="329"/>
      <c r="U921" s="246"/>
      <c r="V921" s="317"/>
    </row>
    <row r="922" ht="12.75" customHeight="1">
      <c r="M922" s="316"/>
      <c r="N922" s="246"/>
      <c r="O922" s="315"/>
      <c r="Q922" s="316"/>
      <c r="R922" s="317"/>
      <c r="T922" s="329"/>
      <c r="U922" s="246"/>
      <c r="V922" s="317"/>
    </row>
    <row r="923" ht="12.75" customHeight="1">
      <c r="M923" s="316"/>
      <c r="N923" s="246"/>
      <c r="O923" s="315"/>
      <c r="Q923" s="316"/>
      <c r="R923" s="317"/>
      <c r="T923" s="329"/>
      <c r="U923" s="246"/>
      <c r="V923" s="317"/>
    </row>
    <row r="924" ht="12.75" customHeight="1">
      <c r="M924" s="316"/>
      <c r="N924" s="246"/>
      <c r="O924" s="315"/>
      <c r="Q924" s="316"/>
      <c r="R924" s="317"/>
      <c r="T924" s="329"/>
      <c r="U924" s="246"/>
      <c r="V924" s="317"/>
    </row>
    <row r="925" ht="12.75" customHeight="1">
      <c r="M925" s="316"/>
      <c r="N925" s="246"/>
      <c r="O925" s="315"/>
      <c r="Q925" s="316"/>
      <c r="R925" s="317"/>
      <c r="T925" s="329"/>
      <c r="U925" s="246"/>
      <c r="V925" s="317"/>
    </row>
    <row r="926" ht="12.75" customHeight="1">
      <c r="M926" s="316"/>
      <c r="N926" s="246"/>
      <c r="O926" s="315"/>
      <c r="Q926" s="316"/>
      <c r="R926" s="317"/>
      <c r="T926" s="329"/>
      <c r="U926" s="246"/>
      <c r="V926" s="317"/>
    </row>
    <row r="927" ht="12.75" customHeight="1">
      <c r="M927" s="316"/>
      <c r="N927" s="246"/>
      <c r="O927" s="315"/>
      <c r="Q927" s="316"/>
      <c r="R927" s="317"/>
      <c r="T927" s="329"/>
      <c r="U927" s="246"/>
      <c r="V927" s="317"/>
    </row>
    <row r="928" ht="12.75" customHeight="1">
      <c r="M928" s="316"/>
      <c r="N928" s="246"/>
      <c r="O928" s="315"/>
      <c r="Q928" s="316"/>
      <c r="R928" s="317"/>
      <c r="T928" s="329"/>
      <c r="U928" s="246"/>
      <c r="V928" s="317"/>
    </row>
    <row r="929" ht="12.75" customHeight="1">
      <c r="M929" s="316"/>
      <c r="N929" s="246"/>
      <c r="O929" s="315"/>
      <c r="Q929" s="316"/>
      <c r="R929" s="317"/>
      <c r="T929" s="329"/>
      <c r="U929" s="246"/>
      <c r="V929" s="317"/>
    </row>
    <row r="930" ht="12.75" customHeight="1">
      <c r="M930" s="316"/>
      <c r="N930" s="246"/>
      <c r="O930" s="315"/>
      <c r="Q930" s="316"/>
      <c r="R930" s="317"/>
      <c r="T930" s="329"/>
      <c r="U930" s="246"/>
      <c r="V930" s="317"/>
    </row>
    <row r="931" ht="12.75" customHeight="1">
      <c r="M931" s="316"/>
      <c r="N931" s="246"/>
      <c r="O931" s="315"/>
      <c r="Q931" s="316"/>
      <c r="R931" s="317"/>
      <c r="T931" s="329"/>
      <c r="U931" s="246"/>
      <c r="V931" s="317"/>
    </row>
    <row r="932" ht="12.75" customHeight="1">
      <c r="M932" s="316"/>
      <c r="N932" s="246"/>
      <c r="O932" s="315"/>
      <c r="Q932" s="316"/>
      <c r="R932" s="317"/>
      <c r="T932" s="329"/>
      <c r="U932" s="246"/>
      <c r="V932" s="317"/>
    </row>
    <row r="933" ht="12.75" customHeight="1">
      <c r="M933" s="316"/>
      <c r="N933" s="246"/>
      <c r="O933" s="315"/>
      <c r="Q933" s="316"/>
      <c r="R933" s="317"/>
      <c r="T933" s="329"/>
      <c r="U933" s="246"/>
      <c r="V933" s="317"/>
    </row>
    <row r="934" ht="12.75" customHeight="1">
      <c r="M934" s="316"/>
      <c r="N934" s="246"/>
      <c r="O934" s="315"/>
      <c r="Q934" s="316"/>
      <c r="R934" s="317"/>
      <c r="T934" s="329"/>
      <c r="U934" s="246"/>
      <c r="V934" s="317"/>
    </row>
    <row r="935" ht="12.75" customHeight="1">
      <c r="M935" s="316"/>
      <c r="N935" s="246"/>
      <c r="O935" s="315"/>
      <c r="Q935" s="316"/>
      <c r="R935" s="317"/>
      <c r="T935" s="329"/>
      <c r="U935" s="246"/>
      <c r="V935" s="317"/>
    </row>
    <row r="936" ht="12.75" customHeight="1">
      <c r="M936" s="316"/>
      <c r="N936" s="246"/>
      <c r="O936" s="315"/>
      <c r="Q936" s="316"/>
      <c r="R936" s="317"/>
      <c r="T936" s="329"/>
      <c r="U936" s="246"/>
      <c r="V936" s="317"/>
    </row>
    <row r="937" ht="12.75" customHeight="1">
      <c r="M937" s="316"/>
      <c r="N937" s="246"/>
      <c r="O937" s="315"/>
      <c r="Q937" s="316"/>
      <c r="R937" s="317"/>
      <c r="T937" s="329"/>
      <c r="U937" s="246"/>
      <c r="V937" s="317"/>
    </row>
    <row r="938" ht="12.75" customHeight="1">
      <c r="M938" s="316"/>
      <c r="N938" s="246"/>
      <c r="O938" s="315"/>
      <c r="Q938" s="316"/>
      <c r="R938" s="317"/>
      <c r="T938" s="329"/>
      <c r="U938" s="246"/>
      <c r="V938" s="317"/>
    </row>
    <row r="939" ht="12.75" customHeight="1">
      <c r="M939" s="316"/>
      <c r="N939" s="246"/>
      <c r="O939" s="315"/>
      <c r="Q939" s="316"/>
      <c r="R939" s="317"/>
      <c r="T939" s="329"/>
      <c r="U939" s="246"/>
      <c r="V939" s="317"/>
    </row>
    <row r="940" ht="12.75" customHeight="1">
      <c r="M940" s="316"/>
      <c r="N940" s="246"/>
      <c r="O940" s="315"/>
      <c r="Q940" s="316"/>
      <c r="R940" s="317"/>
      <c r="T940" s="329"/>
      <c r="U940" s="246"/>
      <c r="V940" s="317"/>
    </row>
    <row r="941" ht="12.75" customHeight="1">
      <c r="M941" s="316"/>
      <c r="N941" s="246"/>
      <c r="O941" s="315"/>
      <c r="Q941" s="316"/>
      <c r="R941" s="317"/>
      <c r="T941" s="329"/>
      <c r="U941" s="246"/>
      <c r="V941" s="317"/>
    </row>
    <row r="942" ht="12.75" customHeight="1">
      <c r="M942" s="316"/>
      <c r="N942" s="246"/>
      <c r="O942" s="315"/>
      <c r="Q942" s="316"/>
      <c r="R942" s="317"/>
      <c r="T942" s="329"/>
      <c r="U942" s="246"/>
      <c r="V942" s="317"/>
    </row>
    <row r="943" ht="12.75" customHeight="1">
      <c r="M943" s="316"/>
      <c r="N943" s="246"/>
      <c r="O943" s="315"/>
      <c r="Q943" s="316"/>
      <c r="R943" s="317"/>
      <c r="T943" s="329"/>
      <c r="U943" s="246"/>
      <c r="V943" s="317"/>
    </row>
    <row r="944" ht="12.75" customHeight="1">
      <c r="M944" s="316"/>
      <c r="N944" s="246"/>
      <c r="O944" s="315"/>
      <c r="Q944" s="316"/>
      <c r="R944" s="317"/>
      <c r="T944" s="329"/>
      <c r="U944" s="246"/>
      <c r="V944" s="317"/>
    </row>
    <row r="945" ht="12.75" customHeight="1">
      <c r="M945" s="316"/>
      <c r="N945" s="246"/>
      <c r="O945" s="315"/>
      <c r="Q945" s="316"/>
      <c r="R945" s="317"/>
      <c r="T945" s="329"/>
      <c r="U945" s="246"/>
      <c r="V945" s="317"/>
    </row>
    <row r="946" ht="12.75" customHeight="1">
      <c r="M946" s="316"/>
      <c r="N946" s="246"/>
      <c r="O946" s="315"/>
      <c r="Q946" s="316"/>
      <c r="R946" s="317"/>
      <c r="T946" s="329"/>
      <c r="U946" s="246"/>
      <c r="V946" s="317"/>
    </row>
    <row r="947" ht="12.75" customHeight="1">
      <c r="M947" s="316"/>
      <c r="N947" s="246"/>
      <c r="O947" s="315"/>
      <c r="Q947" s="316"/>
      <c r="R947" s="317"/>
      <c r="T947" s="329"/>
      <c r="U947" s="246"/>
      <c r="V947" s="317"/>
    </row>
    <row r="948" ht="12.75" customHeight="1">
      <c r="M948" s="316"/>
      <c r="N948" s="246"/>
      <c r="O948" s="315"/>
      <c r="Q948" s="316"/>
      <c r="R948" s="317"/>
      <c r="T948" s="329"/>
      <c r="U948" s="246"/>
      <c r="V948" s="317"/>
    </row>
    <row r="949" ht="12.75" customHeight="1">
      <c r="M949" s="316"/>
      <c r="N949" s="246"/>
      <c r="O949" s="315"/>
      <c r="Q949" s="316"/>
      <c r="R949" s="317"/>
      <c r="T949" s="329"/>
      <c r="U949" s="246"/>
      <c r="V949" s="317"/>
    </row>
    <row r="950" ht="12.75" customHeight="1">
      <c r="M950" s="316"/>
      <c r="N950" s="246"/>
      <c r="O950" s="315"/>
      <c r="Q950" s="316"/>
      <c r="R950" s="317"/>
      <c r="T950" s="329"/>
      <c r="U950" s="246"/>
      <c r="V950" s="317"/>
    </row>
    <row r="951" ht="12.75" customHeight="1">
      <c r="M951" s="316"/>
      <c r="N951" s="246"/>
      <c r="O951" s="315"/>
      <c r="Q951" s="316"/>
      <c r="R951" s="317"/>
      <c r="T951" s="329"/>
      <c r="U951" s="246"/>
      <c r="V951" s="317"/>
    </row>
    <row r="952" ht="12.75" customHeight="1">
      <c r="M952" s="316"/>
      <c r="N952" s="246"/>
      <c r="O952" s="315"/>
      <c r="Q952" s="316"/>
      <c r="R952" s="317"/>
      <c r="T952" s="329"/>
      <c r="U952" s="246"/>
      <c r="V952" s="317"/>
    </row>
    <row r="953" ht="12.75" customHeight="1">
      <c r="M953" s="316"/>
      <c r="N953" s="246"/>
      <c r="O953" s="315"/>
      <c r="Q953" s="316"/>
      <c r="R953" s="317"/>
      <c r="T953" s="329"/>
      <c r="U953" s="246"/>
      <c r="V953" s="317"/>
    </row>
    <row r="954" ht="12.75" customHeight="1">
      <c r="M954" s="316"/>
      <c r="N954" s="246"/>
      <c r="O954" s="315"/>
      <c r="Q954" s="316"/>
      <c r="R954" s="317"/>
      <c r="T954" s="329"/>
      <c r="U954" s="246"/>
      <c r="V954" s="317"/>
    </row>
    <row r="955" ht="12.75" customHeight="1">
      <c r="M955" s="316"/>
      <c r="N955" s="246"/>
      <c r="O955" s="315"/>
      <c r="Q955" s="316"/>
      <c r="R955" s="317"/>
      <c r="T955" s="329"/>
      <c r="U955" s="246"/>
      <c r="V955" s="317"/>
    </row>
    <row r="956" ht="12.75" customHeight="1">
      <c r="M956" s="316"/>
      <c r="N956" s="246"/>
      <c r="O956" s="315"/>
      <c r="Q956" s="316"/>
      <c r="R956" s="317"/>
      <c r="T956" s="329"/>
      <c r="U956" s="246"/>
      <c r="V956" s="317"/>
    </row>
    <row r="957" ht="12.75" customHeight="1">
      <c r="M957" s="316"/>
      <c r="N957" s="246"/>
      <c r="O957" s="315"/>
      <c r="Q957" s="316"/>
      <c r="R957" s="317"/>
      <c r="T957" s="329"/>
      <c r="U957" s="246"/>
      <c r="V957" s="317"/>
    </row>
    <row r="958" ht="12.75" customHeight="1">
      <c r="M958" s="316"/>
      <c r="N958" s="246"/>
      <c r="O958" s="315"/>
      <c r="Q958" s="316"/>
      <c r="R958" s="317"/>
      <c r="T958" s="329"/>
      <c r="U958" s="246"/>
      <c r="V958" s="317"/>
    </row>
    <row r="959" ht="12.75" customHeight="1">
      <c r="M959" s="316"/>
      <c r="N959" s="246"/>
      <c r="O959" s="315"/>
      <c r="Q959" s="316"/>
      <c r="R959" s="317"/>
      <c r="T959" s="329"/>
      <c r="U959" s="246"/>
      <c r="V959" s="317"/>
    </row>
    <row r="960" ht="12.75" customHeight="1">
      <c r="M960" s="316"/>
      <c r="N960" s="246"/>
      <c r="O960" s="315"/>
      <c r="Q960" s="316"/>
      <c r="R960" s="317"/>
      <c r="T960" s="329"/>
      <c r="U960" s="246"/>
      <c r="V960" s="317"/>
    </row>
    <row r="961" ht="12.75" customHeight="1">
      <c r="M961" s="316"/>
      <c r="N961" s="246"/>
      <c r="O961" s="315"/>
      <c r="Q961" s="316"/>
      <c r="R961" s="317"/>
      <c r="T961" s="329"/>
      <c r="U961" s="246"/>
      <c r="V961" s="317"/>
    </row>
    <row r="962" ht="12.75" customHeight="1">
      <c r="M962" s="316"/>
      <c r="N962" s="246"/>
      <c r="O962" s="315"/>
      <c r="Q962" s="316"/>
      <c r="R962" s="317"/>
      <c r="T962" s="329"/>
      <c r="U962" s="246"/>
      <c r="V962" s="317"/>
    </row>
    <row r="963" ht="12.75" customHeight="1">
      <c r="M963" s="316"/>
      <c r="N963" s="246"/>
      <c r="O963" s="315"/>
      <c r="Q963" s="316"/>
      <c r="R963" s="317"/>
      <c r="T963" s="329"/>
      <c r="U963" s="246"/>
      <c r="V963" s="317"/>
    </row>
    <row r="964" ht="12.75" customHeight="1">
      <c r="M964" s="316"/>
      <c r="N964" s="246"/>
      <c r="O964" s="315"/>
      <c r="Q964" s="316"/>
      <c r="R964" s="317"/>
      <c r="T964" s="329"/>
      <c r="U964" s="246"/>
      <c r="V964" s="317"/>
    </row>
    <row r="965" ht="12.75" customHeight="1">
      <c r="M965" s="316"/>
      <c r="N965" s="246"/>
      <c r="O965" s="315"/>
      <c r="Q965" s="316"/>
      <c r="R965" s="317"/>
      <c r="T965" s="329"/>
      <c r="U965" s="246"/>
      <c r="V965" s="317"/>
    </row>
    <row r="966" ht="12.75" customHeight="1">
      <c r="M966" s="316"/>
      <c r="N966" s="246"/>
      <c r="O966" s="315"/>
      <c r="Q966" s="316"/>
      <c r="R966" s="317"/>
      <c r="T966" s="329"/>
      <c r="U966" s="246"/>
      <c r="V966" s="317"/>
    </row>
    <row r="967" ht="12.75" customHeight="1">
      <c r="M967" s="316"/>
      <c r="N967" s="246"/>
      <c r="O967" s="315"/>
      <c r="Q967" s="316"/>
      <c r="R967" s="317"/>
      <c r="T967" s="329"/>
      <c r="U967" s="246"/>
      <c r="V967" s="317"/>
    </row>
    <row r="968" ht="12.75" customHeight="1">
      <c r="M968" s="316"/>
      <c r="N968" s="246"/>
      <c r="O968" s="315"/>
      <c r="Q968" s="316"/>
      <c r="R968" s="317"/>
      <c r="T968" s="329"/>
      <c r="U968" s="246"/>
      <c r="V968" s="317"/>
    </row>
    <row r="969" ht="12.75" customHeight="1">
      <c r="M969" s="316"/>
      <c r="N969" s="246"/>
      <c r="O969" s="315"/>
      <c r="Q969" s="316"/>
      <c r="R969" s="317"/>
      <c r="T969" s="329"/>
      <c r="U969" s="246"/>
      <c r="V969" s="317"/>
    </row>
    <row r="970" ht="12.75" customHeight="1">
      <c r="M970" s="316"/>
      <c r="N970" s="246"/>
      <c r="O970" s="315"/>
      <c r="Q970" s="316"/>
      <c r="R970" s="317"/>
      <c r="T970" s="329"/>
      <c r="U970" s="246"/>
      <c r="V970" s="317"/>
    </row>
    <row r="971" ht="12.75" customHeight="1">
      <c r="M971" s="316"/>
      <c r="N971" s="246"/>
      <c r="O971" s="315"/>
      <c r="Q971" s="316"/>
      <c r="R971" s="317"/>
      <c r="T971" s="329"/>
      <c r="U971" s="246"/>
      <c r="V971" s="317"/>
    </row>
    <row r="972" ht="12.75" customHeight="1">
      <c r="M972" s="316"/>
      <c r="N972" s="246"/>
      <c r="O972" s="315"/>
      <c r="Q972" s="316"/>
      <c r="R972" s="317"/>
      <c r="T972" s="329"/>
      <c r="U972" s="246"/>
      <c r="V972" s="317"/>
    </row>
    <row r="973" ht="12.75" customHeight="1">
      <c r="M973" s="316"/>
      <c r="N973" s="246"/>
      <c r="O973" s="315"/>
      <c r="Q973" s="316"/>
      <c r="R973" s="317"/>
      <c r="T973" s="329"/>
      <c r="U973" s="246"/>
      <c r="V973" s="317"/>
    </row>
    <row r="974" ht="12.75" customHeight="1">
      <c r="M974" s="316"/>
      <c r="N974" s="246"/>
      <c r="O974" s="315"/>
      <c r="Q974" s="316"/>
      <c r="R974" s="317"/>
      <c r="T974" s="329"/>
      <c r="U974" s="246"/>
      <c r="V974" s="317"/>
    </row>
    <row r="975" ht="12.75" customHeight="1">
      <c r="M975" s="316"/>
      <c r="N975" s="246"/>
      <c r="O975" s="315"/>
      <c r="Q975" s="316"/>
      <c r="R975" s="317"/>
      <c r="T975" s="329"/>
      <c r="U975" s="246"/>
      <c r="V975" s="317"/>
    </row>
    <row r="976" ht="12.75" customHeight="1">
      <c r="M976" s="316"/>
      <c r="N976" s="246"/>
      <c r="O976" s="315"/>
      <c r="Q976" s="316"/>
      <c r="R976" s="317"/>
      <c r="T976" s="329"/>
      <c r="U976" s="246"/>
      <c r="V976" s="317"/>
    </row>
    <row r="977" ht="12.75" customHeight="1">
      <c r="M977" s="316"/>
      <c r="N977" s="246"/>
      <c r="O977" s="315"/>
      <c r="Q977" s="316"/>
      <c r="R977" s="317"/>
      <c r="T977" s="329"/>
      <c r="U977" s="246"/>
      <c r="V977" s="317"/>
    </row>
    <row r="978" ht="12.75" customHeight="1">
      <c r="M978" s="316"/>
      <c r="N978" s="246"/>
      <c r="O978" s="315"/>
      <c r="Q978" s="316"/>
      <c r="R978" s="317"/>
      <c r="T978" s="329"/>
      <c r="U978" s="246"/>
      <c r="V978" s="317"/>
    </row>
    <row r="979" ht="12.75" customHeight="1">
      <c r="M979" s="316"/>
      <c r="N979" s="246"/>
      <c r="O979" s="315"/>
      <c r="Q979" s="316"/>
      <c r="R979" s="317"/>
      <c r="T979" s="329"/>
      <c r="U979" s="246"/>
      <c r="V979" s="317"/>
    </row>
    <row r="980" ht="12.75" customHeight="1">
      <c r="M980" s="316"/>
      <c r="N980" s="246"/>
      <c r="O980" s="315"/>
      <c r="Q980" s="316"/>
      <c r="R980" s="317"/>
      <c r="T980" s="329"/>
      <c r="U980" s="246"/>
      <c r="V980" s="317"/>
    </row>
    <row r="981" ht="12.75" customHeight="1">
      <c r="M981" s="316"/>
      <c r="N981" s="246"/>
      <c r="O981" s="315"/>
      <c r="Q981" s="316"/>
      <c r="R981" s="317"/>
      <c r="T981" s="329"/>
      <c r="U981" s="246"/>
      <c r="V981" s="317"/>
    </row>
    <row r="982" ht="12.75" customHeight="1">
      <c r="M982" s="316"/>
      <c r="N982" s="246"/>
      <c r="O982" s="315"/>
      <c r="Q982" s="316"/>
      <c r="R982" s="317"/>
      <c r="T982" s="329"/>
      <c r="U982" s="246"/>
      <c r="V982" s="317"/>
    </row>
    <row r="983" ht="12.75" customHeight="1">
      <c r="M983" s="316"/>
      <c r="N983" s="246"/>
      <c r="O983" s="315"/>
      <c r="Q983" s="316"/>
      <c r="R983" s="317"/>
      <c r="T983" s="329"/>
      <c r="U983" s="246"/>
      <c r="V983" s="317"/>
    </row>
    <row r="984" ht="12.75" customHeight="1">
      <c r="M984" s="316"/>
      <c r="N984" s="246"/>
      <c r="O984" s="315"/>
      <c r="Q984" s="316"/>
      <c r="R984" s="317"/>
      <c r="T984" s="329"/>
      <c r="U984" s="246"/>
      <c r="V984" s="317"/>
    </row>
    <row r="985" ht="12.75" customHeight="1">
      <c r="M985" s="316"/>
      <c r="N985" s="246"/>
      <c r="O985" s="315"/>
      <c r="Q985" s="316"/>
      <c r="R985" s="317"/>
      <c r="T985" s="329"/>
      <c r="U985" s="246"/>
      <c r="V985" s="317"/>
    </row>
    <row r="986" ht="12.75" customHeight="1">
      <c r="M986" s="316"/>
      <c r="N986" s="246"/>
      <c r="O986" s="315"/>
      <c r="Q986" s="316"/>
      <c r="R986" s="317"/>
      <c r="T986" s="329"/>
      <c r="U986" s="246"/>
      <c r="V986" s="317"/>
    </row>
    <row r="987" ht="12.75" customHeight="1">
      <c r="M987" s="316"/>
      <c r="N987" s="246"/>
      <c r="O987" s="315"/>
      <c r="Q987" s="316"/>
      <c r="R987" s="317"/>
      <c r="T987" s="329"/>
      <c r="U987" s="246"/>
      <c r="V987" s="317"/>
    </row>
    <row r="988" ht="12.75" customHeight="1">
      <c r="M988" s="316"/>
      <c r="N988" s="246"/>
      <c r="O988" s="315"/>
      <c r="Q988" s="316"/>
      <c r="R988" s="317"/>
      <c r="T988" s="329"/>
      <c r="U988" s="246"/>
      <c r="V988" s="317"/>
    </row>
    <row r="989" ht="12.75" customHeight="1">
      <c r="M989" s="316"/>
      <c r="N989" s="246"/>
      <c r="O989" s="315"/>
      <c r="Q989" s="316"/>
      <c r="R989" s="317"/>
      <c r="T989" s="329"/>
      <c r="U989" s="246"/>
      <c r="V989" s="317"/>
    </row>
    <row r="990" ht="12.75" customHeight="1">
      <c r="M990" s="316"/>
      <c r="N990" s="246"/>
      <c r="O990" s="315"/>
      <c r="Q990" s="316"/>
      <c r="R990" s="317"/>
      <c r="T990" s="329"/>
      <c r="U990" s="246"/>
      <c r="V990" s="317"/>
    </row>
    <row r="991" ht="12.75" customHeight="1">
      <c r="M991" s="316"/>
      <c r="N991" s="246"/>
      <c r="O991" s="315"/>
      <c r="Q991" s="316"/>
      <c r="R991" s="317"/>
      <c r="T991" s="329"/>
      <c r="U991" s="246"/>
      <c r="V991" s="317"/>
    </row>
    <row r="992" ht="12.75" customHeight="1">
      <c r="M992" s="316"/>
      <c r="N992" s="246"/>
      <c r="O992" s="315"/>
      <c r="Q992" s="316"/>
      <c r="R992" s="317"/>
      <c r="T992" s="329"/>
      <c r="U992" s="246"/>
      <c r="V992" s="317"/>
    </row>
    <row r="993" ht="12.75" customHeight="1">
      <c r="M993" s="316"/>
      <c r="N993" s="246"/>
      <c r="O993" s="315"/>
      <c r="Q993" s="316"/>
      <c r="R993" s="317"/>
      <c r="T993" s="329"/>
      <c r="U993" s="246"/>
      <c r="V993" s="317"/>
    </row>
    <row r="994" ht="12.75" customHeight="1">
      <c r="M994" s="316"/>
      <c r="N994" s="246"/>
      <c r="O994" s="315"/>
      <c r="Q994" s="316"/>
      <c r="R994" s="317"/>
      <c r="T994" s="329"/>
      <c r="U994" s="246"/>
      <c r="V994" s="317"/>
    </row>
    <row r="995" ht="12.75" customHeight="1">
      <c r="M995" s="316"/>
      <c r="N995" s="246"/>
      <c r="O995" s="315"/>
      <c r="Q995" s="316"/>
      <c r="R995" s="317"/>
      <c r="T995" s="329"/>
      <c r="U995" s="246"/>
      <c r="V995" s="317"/>
    </row>
    <row r="996" ht="12.75" customHeight="1">
      <c r="M996" s="316"/>
      <c r="N996" s="246"/>
      <c r="O996" s="315"/>
      <c r="Q996" s="316"/>
      <c r="R996" s="317"/>
      <c r="T996" s="329"/>
      <c r="U996" s="246"/>
      <c r="V996" s="317"/>
    </row>
    <row r="997" ht="12.75" customHeight="1">
      <c r="M997" s="316"/>
      <c r="N997" s="246"/>
      <c r="O997" s="315"/>
      <c r="Q997" s="316"/>
      <c r="R997" s="317"/>
      <c r="T997" s="329"/>
      <c r="U997" s="246"/>
      <c r="V997" s="317"/>
    </row>
    <row r="998" ht="12.75" customHeight="1">
      <c r="M998" s="316"/>
      <c r="N998" s="246"/>
      <c r="O998" s="315"/>
      <c r="Q998" s="316"/>
      <c r="R998" s="317"/>
      <c r="T998" s="329"/>
      <c r="U998" s="246"/>
      <c r="V998" s="317"/>
    </row>
    <row r="999" ht="12.75" customHeight="1">
      <c r="M999" s="316"/>
      <c r="N999" s="246"/>
      <c r="O999" s="315"/>
      <c r="Q999" s="316"/>
      <c r="R999" s="317"/>
      <c r="T999" s="329"/>
      <c r="U999" s="246"/>
      <c r="V999" s="317"/>
    </row>
  </sheetData>
  <conditionalFormatting sqref="B187:N194 P187:P194 B198:N205 P198:P205 B209:N216 P209:P216">
    <cfRule type="cellIs" dxfId="8" priority="1" operator="greaterThan">
      <formula>0</formula>
    </cfRule>
  </conditionalFormatting>
  <conditionalFormatting sqref="B220:N222 P220:P222">
    <cfRule type="cellIs" dxfId="8" priority="2" operator="greaterThan">
      <formula>0</formula>
    </cfRule>
  </conditionalFormatting>
  <conditionalFormatting sqref="B176:H183">
    <cfRule type="cellIs" dxfId="9" priority="3" operator="lessThan">
      <formula>1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309" t="s">
        <v>760</v>
      </c>
      <c r="G1" s="313"/>
      <c r="H1" s="246"/>
      <c r="I1" s="338"/>
      <c r="K1" s="246"/>
      <c r="L1" s="322"/>
      <c r="O1" s="313"/>
      <c r="P1" s="246"/>
    </row>
    <row r="2" ht="12.75" customHeight="1">
      <c r="A2" s="339" t="s">
        <v>499</v>
      </c>
      <c r="B2" s="339" t="s">
        <v>523</v>
      </c>
      <c r="C2" s="339" t="s">
        <v>761</v>
      </c>
      <c r="D2" s="339" t="s">
        <v>500</v>
      </c>
      <c r="E2" s="339" t="s">
        <v>762</v>
      </c>
      <c r="G2" s="313"/>
      <c r="H2" s="246"/>
      <c r="I2" s="338"/>
      <c r="K2" s="246"/>
      <c r="L2" s="322"/>
      <c r="O2" s="313"/>
      <c r="P2" s="246"/>
    </row>
    <row r="3" ht="12.75" customHeight="1">
      <c r="A3" s="340" t="s">
        <v>469</v>
      </c>
      <c r="B3" s="323">
        <v>50.0</v>
      </c>
      <c r="C3" s="341">
        <f>IFERROR(__xludf.DUMMYFUNCTION("COUNTIF(ARRAYFORMULA(RIGHT(SPLIT($A$16:$A$87, ""★""), 1)), ""1"")"),21.0)</f>
        <v>21</v>
      </c>
      <c r="D3" s="342">
        <v>281.0</v>
      </c>
      <c r="E3" s="343">
        <f t="shared" ref="E3:E7" si="1">B3*D3 / SUMPRODUCT($B$3:$B$7, $D$3:$D$7)</f>
        <v>0.6863032435</v>
      </c>
      <c r="G3" s="313"/>
      <c r="H3" s="269" t="s">
        <v>763</v>
      </c>
      <c r="I3" s="338"/>
      <c r="K3" s="246"/>
      <c r="L3" s="322"/>
      <c r="O3" s="313"/>
      <c r="P3" s="246"/>
    </row>
    <row r="4" ht="12.75" customHeight="1">
      <c r="A4" s="21" t="s">
        <v>470</v>
      </c>
      <c r="B4" s="323">
        <v>20.0</v>
      </c>
      <c r="C4" s="341">
        <f>IFERROR(__xludf.DUMMYFUNCTION("COUNTIF(ARRAYFORMULA(RIGHT(SPLIT($A$16:$A$87, ""★""), 1)), ""2"")"),17.0)</f>
        <v>17</v>
      </c>
      <c r="D4" s="342">
        <v>215.0</v>
      </c>
      <c r="E4" s="343">
        <f t="shared" si="1"/>
        <v>0.2100429855</v>
      </c>
      <c r="G4" s="313"/>
      <c r="H4" s="269" t="s">
        <v>764</v>
      </c>
      <c r="I4" s="338"/>
      <c r="K4" s="246"/>
      <c r="L4" s="322"/>
      <c r="O4" s="313"/>
      <c r="P4" s="246"/>
    </row>
    <row r="5" ht="12.75" customHeight="1">
      <c r="A5" s="21" t="s">
        <v>471</v>
      </c>
      <c r="B5" s="323">
        <v>10.0</v>
      </c>
      <c r="C5" s="341">
        <f>IFERROR(__xludf.DUMMYFUNCTION("COUNTIF(ARRAYFORMULA(RIGHT(SPLIT($A$16:$A$87, ""★""), 1)), ""3"")"),11.0)</f>
        <v>11</v>
      </c>
      <c r="D5" s="342">
        <v>143.0</v>
      </c>
      <c r="E5" s="343">
        <f t="shared" si="1"/>
        <v>0.06985150449</v>
      </c>
      <c r="G5" s="313"/>
      <c r="H5" s="269" t="s">
        <v>765</v>
      </c>
      <c r="I5" s="344"/>
      <c r="K5" s="246"/>
      <c r="L5" s="322"/>
      <c r="O5" s="313"/>
      <c r="P5" s="246"/>
    </row>
    <row r="6" ht="12.75" customHeight="1">
      <c r="A6" s="21" t="s">
        <v>472</v>
      </c>
      <c r="B6" s="323">
        <v>5.0</v>
      </c>
      <c r="C6" s="341">
        <f>IFERROR(__xludf.DUMMYFUNCTION("COUNTIF(ARRAYFORMULA(RIGHT(SPLIT($A$16:$A$87, ""★""), 1)), ""4"")"),10.0)</f>
        <v>10</v>
      </c>
      <c r="D6" s="342">
        <v>112.0</v>
      </c>
      <c r="E6" s="343">
        <f t="shared" si="1"/>
        <v>0.02735443533</v>
      </c>
      <c r="G6" s="313"/>
      <c r="H6" s="269"/>
      <c r="I6" s="313"/>
      <c r="K6" s="246"/>
      <c r="L6" s="322"/>
      <c r="O6" s="313"/>
      <c r="P6" s="246"/>
    </row>
    <row r="7" ht="12.75" customHeight="1">
      <c r="A7" s="21" t="s">
        <v>473</v>
      </c>
      <c r="B7" s="323">
        <v>2.0</v>
      </c>
      <c r="C7" s="341">
        <f>IFERROR(__xludf.DUMMYFUNCTION("COUNTIF(ARRAYFORMULA(RIGHT(SPLIT($A$16:$A$87, ""★""), 1)), ""5"")"),13.0)</f>
        <v>13</v>
      </c>
      <c r="D7" s="342">
        <v>66.0</v>
      </c>
      <c r="E7" s="343">
        <f t="shared" si="1"/>
        <v>0.006447831184</v>
      </c>
      <c r="G7" s="313"/>
      <c r="H7" s="269"/>
      <c r="I7" s="344"/>
      <c r="K7" s="246"/>
      <c r="L7" s="322"/>
      <c r="O7" s="313"/>
      <c r="P7" s="246"/>
    </row>
    <row r="8" ht="12.75" customHeight="1">
      <c r="A8" s="313"/>
      <c r="C8" s="246"/>
      <c r="G8" s="313"/>
      <c r="H8" s="269"/>
      <c r="I8" s="338"/>
      <c r="K8" s="246"/>
      <c r="L8" s="322"/>
      <c r="O8" s="313"/>
      <c r="P8" s="246"/>
    </row>
    <row r="9" ht="12.75" customHeight="1">
      <c r="A9" s="313"/>
      <c r="G9" s="313"/>
      <c r="H9" s="246"/>
      <c r="I9" s="338"/>
      <c r="K9" s="246"/>
      <c r="L9" s="322"/>
      <c r="O9" s="313"/>
      <c r="P9" s="246"/>
    </row>
    <row r="10" ht="12.75" customHeight="1">
      <c r="A10" s="313"/>
      <c r="G10" s="313"/>
      <c r="H10" s="246"/>
      <c r="I10" s="338"/>
      <c r="K10" s="246"/>
      <c r="L10" s="322"/>
      <c r="O10" s="313"/>
      <c r="P10" s="246"/>
    </row>
    <row r="11" ht="12.75" customHeight="1">
      <c r="A11" s="313"/>
      <c r="G11" s="313"/>
      <c r="H11" s="246"/>
      <c r="I11" s="338"/>
      <c r="K11" s="313" t="s">
        <v>766</v>
      </c>
      <c r="O11" s="313"/>
      <c r="P11" s="246"/>
    </row>
    <row r="12" ht="12.75" customHeight="1">
      <c r="A12" s="313"/>
      <c r="G12" s="313"/>
      <c r="H12" s="246"/>
      <c r="I12" s="338"/>
      <c r="K12" s="269" t="s">
        <v>767</v>
      </c>
      <c r="L12" s="323">
        <v>55.0</v>
      </c>
      <c r="O12" s="313"/>
      <c r="P12" s="246"/>
    </row>
    <row r="13" ht="12.75" customHeight="1">
      <c r="A13" s="313"/>
      <c r="G13" s="313"/>
      <c r="H13" s="246"/>
      <c r="I13" s="338"/>
      <c r="K13" s="246"/>
      <c r="L13" s="322"/>
      <c r="O13" s="313"/>
      <c r="P13" s="246"/>
    </row>
    <row r="14" ht="12.75" customHeight="1">
      <c r="A14" s="313" t="s">
        <v>517</v>
      </c>
      <c r="G14" s="314" t="s">
        <v>768</v>
      </c>
      <c r="H14" s="246"/>
      <c r="I14" s="322"/>
      <c r="K14" s="246"/>
      <c r="L14" s="322"/>
      <c r="O14" s="314" t="s">
        <v>519</v>
      </c>
      <c r="P14" s="246"/>
      <c r="Q14" s="317"/>
    </row>
    <row r="15" ht="12.75" customHeight="1">
      <c r="A15" s="339" t="s">
        <v>522</v>
      </c>
      <c r="B15" s="339" t="s">
        <v>523</v>
      </c>
      <c r="C15" s="339" t="s">
        <v>524</v>
      </c>
      <c r="D15" s="246"/>
      <c r="E15" s="246"/>
      <c r="F15" s="246"/>
      <c r="G15" s="345" t="s">
        <v>522</v>
      </c>
      <c r="H15" s="339" t="s">
        <v>523</v>
      </c>
      <c r="I15" s="346" t="s">
        <v>525</v>
      </c>
      <c r="J15" s="313"/>
      <c r="K15" s="345" t="s">
        <v>641</v>
      </c>
      <c r="L15" s="345" t="s">
        <v>769</v>
      </c>
      <c r="M15" s="347"/>
      <c r="O15" s="345" t="s">
        <v>522</v>
      </c>
      <c r="P15" s="339" t="s">
        <v>523</v>
      </c>
      <c r="Q15" s="348" t="s">
        <v>525</v>
      </c>
    </row>
    <row r="16" ht="12.75" customHeight="1">
      <c r="A16" s="322" t="str">
        <f>AlbumConfig!B3&amp;" "&amp;AlbumConfig!E3</f>
        <v>Skull Isle - Compass 1★</v>
      </c>
      <c r="B16" s="341">
        <f>IFERROR(__xludf.DUMMYFUNCTION("index($B$3:$B$7, right(index(split(A16, ""★""),0,1)), 0)"),50.0)</f>
        <v>50</v>
      </c>
      <c r="C16" s="341">
        <f>IFERROR(__xludf.DUMMYFUNCTION("LET(
  ct, COUNTIF(ARRAYFORMULA(RIGHT(SPLIT($A$16:$A16, ""★""), 1)), TO_TEXT(RIGHT(SPLIT(A16, ""★""), 1))),
  n, index($C$3:$C$7, right(index(split(A16, ""★""), 0, 1), 1), 0),
  total, index($D$3:$D$7, right(index(split(A16, ""★""), 0, 1), 1), 0),
  base,"&amp;" INT(total/n),
  rem, total - base*n,
  index(MAP(SEQUENCE(n), LAMBDA(i, IF(i &lt;= rem, base+1, base))), ct, 0)
)"),14.0)</f>
        <v>14</v>
      </c>
      <c r="G16" s="316" t="str">
        <f t="array" ref="G16:I832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46">
        <v>50.0</v>
      </c>
      <c r="I16" s="315">
        <v>0.0024423602969910123</v>
      </c>
      <c r="K16" s="326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)"),"Gold Cove - Ruby 1★ #98B")</f>
        <v>Gold Cove - Ruby 1★ #98B</v>
      </c>
      <c r="L16" s="329"/>
      <c r="M16" s="331"/>
      <c r="O16" s="316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46">
        <f>IFERROR(__xludf.DUMMYFUNCTION("""COMPUTED_VALUE"""),50.0)</f>
        <v>50</v>
      </c>
      <c r="Q16" s="315">
        <f>IFERROR(__xludf.DUMMYFUNCTION("if(P16="""", """", P16/sum(filter($P$16:$P$949, $P$16:$P$949&lt;&gt;"""")))"),0.0024423602969910123)</f>
        <v>0.002442360297</v>
      </c>
    </row>
    <row r="17" ht="12.75" customHeight="1">
      <c r="A17" s="322" t="str">
        <f>AlbumConfig!B4&amp;" "&amp;AlbumConfig!E4</f>
        <v>Skull Isle - Map 1★</v>
      </c>
      <c r="B17" s="341">
        <f>IFERROR(__xludf.DUMMYFUNCTION("index($B$3:$B$7, right(index(split(A17, ""★""),0,1)), 0)"),50.0)</f>
        <v>50</v>
      </c>
      <c r="C17" s="341">
        <f>IFERROR(__xludf.DUMMYFUNCTION("LET(
  ct, COUNTIF(ARRAYFORMULA(RIGHT(SPLIT($A$16:$A17, ""★""), 1)), TO_TEXT(RIGHT(SPLIT(A17, ""★""), 1))),
  n, index($C$3:$C$7, right(index(split(A17, ""★""), 0, 1), 1), 0),
  total, index($D$3:$D$7, right(index(split(A17, ""★""), 0, 1), 1), 0),
  base,"&amp;" INT(total/n),
  rem, total - base*n,
  index(MAP(SEQUENCE(n), LAMBDA(i, IF(i &lt;= rem, base+1, base))), ct, 0)
)"),14.0)</f>
        <v>14</v>
      </c>
      <c r="G17" s="316" t="s">
        <v>533</v>
      </c>
      <c r="H17" s="246">
        <v>50.0</v>
      </c>
      <c r="I17" s="315">
        <v>0.0024423602969910123</v>
      </c>
      <c r="K17" s="326" t="str">
        <f>IFERROR(__xludf.DUMMYFUNCTION("""COMPUTED_VALUE"""),"Dead Man Bay - Pistol 1★ #255")</f>
        <v>Dead Man Bay - Pistol 1★ #255</v>
      </c>
      <c r="L17" s="316"/>
      <c r="M17" s="331"/>
      <c r="O17" s="316" t="str">
        <f>IFERROR(__xludf.DUMMYFUNCTION("""COMPUTED_VALUE"""),"Skull Isle - Compass 1★ #9F5")</f>
        <v>Skull Isle - Compass 1★ #9F5</v>
      </c>
      <c r="P17" s="246">
        <f>IFERROR(__xludf.DUMMYFUNCTION("""COMPUTED_VALUE"""),50.0)</f>
        <v>50</v>
      </c>
      <c r="Q17" s="315">
        <f>IFERROR(__xludf.DUMMYFUNCTION("if(P17="""", """", P17/sum(filter($P$16:$P$949, $P$16:$P$949&lt;&gt;"""")))"),0.0024423602969910123)</f>
        <v>0.002442360297</v>
      </c>
    </row>
    <row r="18" ht="12.75" customHeight="1">
      <c r="A18" s="322" t="str">
        <f>AlbumConfig!B5&amp;" "&amp;AlbumConfig!E5</f>
        <v>Skull Isle - Spyglass 1★</v>
      </c>
      <c r="B18" s="341">
        <f>IFERROR(__xludf.DUMMYFUNCTION("index($B$3:$B$7, right(index(split(A18, ""★""),0,1)), 0)"),50.0)</f>
        <v>50</v>
      </c>
      <c r="C18" s="341">
        <f>IFERROR(__xludf.DUMMYFUNCTION("LET(
  ct, COUNTIF(ARRAYFORMULA(RIGHT(SPLIT($A$16:$A18, ""★""), 1)), TO_TEXT(RIGHT(SPLIT(A18, ""★""), 1))),
  n, index($C$3:$C$7, right(index(split(A18, ""★""), 0, 1), 1), 0),
  total, index($D$3:$D$7, right(index(split(A18, ""★""), 0, 1), 1), 0),
  base,"&amp;" INT(total/n),
  rem, total - base*n,
  index(MAP(SEQUENCE(n), LAMBDA(i, IF(i &lt;= rem, base+1, base))), ct, 0)
)"),14.0)</f>
        <v>14</v>
      </c>
      <c r="G18" s="316" t="s">
        <v>536</v>
      </c>
      <c r="H18" s="246">
        <v>50.0</v>
      </c>
      <c r="I18" s="315">
        <v>0.0024423602969910123</v>
      </c>
      <c r="K18" s="326" t="str">
        <f>IFERROR(__xludf.DUMMYFUNCTION("""COMPUTED_VALUE"""),"Gold Cove - Emerald 1★ #4BC")</f>
        <v>Gold Cove - Emerald 1★ #4BC</v>
      </c>
      <c r="L18" s="326" t="s">
        <v>537</v>
      </c>
      <c r="M18" s="331"/>
      <c r="O18" s="316" t="str">
        <f>IFERROR(__xludf.DUMMYFUNCTION("""COMPUTED_VALUE"""),"Skull Isle - Compass 1★ #4AA")</f>
        <v>Skull Isle - Compass 1★ #4AA</v>
      </c>
      <c r="P18" s="246">
        <f>IFERROR(__xludf.DUMMYFUNCTION("""COMPUTED_VALUE"""),50.0)</f>
        <v>50</v>
      </c>
      <c r="Q18" s="315">
        <f>IFERROR(__xludf.DUMMYFUNCTION("if(P18="""", """", P18/sum(filter($P$16:$P$949, $P$16:$P$949&lt;&gt;"""")))"),0.0024423602969910123)</f>
        <v>0.002442360297</v>
      </c>
    </row>
    <row r="19" ht="12.75" customHeight="1">
      <c r="A19" s="322" t="str">
        <f>AlbumConfig!B6&amp;" "&amp;AlbumConfig!E6</f>
        <v>Skull Isle - Anchor 1★</v>
      </c>
      <c r="B19" s="341">
        <f>IFERROR(__xludf.DUMMYFUNCTION("index($B$3:$B$7, right(index(split(A19, ""★""),0,1)), 0)"),50.0)</f>
        <v>50</v>
      </c>
      <c r="C19" s="341">
        <f>IFERROR(__xludf.DUMMYFUNCTION("LET(
  ct, COUNTIF(ARRAYFORMULA(RIGHT(SPLIT($A$16:$A19, ""★""), 1)), TO_TEXT(RIGHT(SPLIT(A19, ""★""), 1))),
  n, index($C$3:$C$7, right(index(split(A19, ""★""), 0, 1), 1), 0),
  total, index($D$3:$D$7, right(index(split(A19, ""★""), 0, 1), 1), 0),
  base,"&amp;" INT(total/n),
  rem, total - base*n,
  index(MAP(SEQUENCE(n), LAMBDA(i, IF(i &lt;= rem, base+1, base))), ct, 0)
)"),14.0)</f>
        <v>14</v>
      </c>
      <c r="G19" s="316" t="s">
        <v>540</v>
      </c>
      <c r="H19" s="246">
        <v>50.0</v>
      </c>
      <c r="I19" s="315">
        <v>0.0024423602969910123</v>
      </c>
      <c r="K19" s="326" t="str">
        <f>IFERROR(__xludf.DUMMYFUNCTION("""COMPUTED_VALUE"""),"Skull Isle - Spyglass 1★ #076")</f>
        <v>Skull Isle - Spyglass 1★ #076</v>
      </c>
      <c r="L19" s="327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349">
        <f>IFERROR(__xludf.DUMMYFUNCTION("""COMPUTED_VALUE"""),9.0)</f>
        <v>9</v>
      </c>
      <c r="O19" s="316" t="str">
        <f>IFERROR(__xludf.DUMMYFUNCTION("""COMPUTED_VALUE"""),"Skull Isle - Compass 1★ #F5F")</f>
        <v>Skull Isle - Compass 1★ #F5F</v>
      </c>
      <c r="P19" s="246">
        <f>IFERROR(__xludf.DUMMYFUNCTION("""COMPUTED_VALUE"""),50.0)</f>
        <v>50</v>
      </c>
      <c r="Q19" s="315">
        <f>IFERROR(__xludf.DUMMYFUNCTION("if(P19="""", """", P19/sum(filter($P$16:$P$949, $P$16:$P$949&lt;&gt;"""")))"),0.0024423602969910123)</f>
        <v>0.002442360297</v>
      </c>
    </row>
    <row r="20" ht="12.75" customHeight="1">
      <c r="A20" s="322" t="str">
        <f>AlbumConfig!B7&amp;" "&amp;AlbumConfig!E7</f>
        <v>Skull Isle - Helm 2★</v>
      </c>
      <c r="B20" s="341">
        <f>IFERROR(__xludf.DUMMYFUNCTION("index($B$3:$B$7, right(index(split(A20, ""★""),0,1)), 0)"),20.0)</f>
        <v>20</v>
      </c>
      <c r="C20" s="341">
        <f>IFERROR(__xludf.DUMMYFUNCTION("LET(
  ct, COUNTIF(ARRAYFORMULA(RIGHT(SPLIT($A$16:$A20, ""★""), 1)), TO_TEXT(RIGHT(SPLIT(A20, ""★""), 1))),
  n, index($C$3:$C$7, right(index(split(A20, ""★""), 0, 1), 1), 0),
  total, index($D$3:$D$7, right(index(split(A20, ""★""), 0, 1), 1), 0),
  base,"&amp;" INT(total/n),
  rem, total - base*n,
  index(MAP(SEQUENCE(n), LAMBDA(i, IF(i &lt;= rem, base+1, base))), ct, 0)
)"),13.0)</f>
        <v>13</v>
      </c>
      <c r="G20" s="316" t="s">
        <v>543</v>
      </c>
      <c r="H20" s="246">
        <v>50.0</v>
      </c>
      <c r="I20" s="315">
        <v>0.0024423602969910123</v>
      </c>
      <c r="K20" s="326" t="str">
        <f>IFERROR(__xludf.DUMMYFUNCTION("""COMPUTED_VALUE"""),"Gold Cove - Ruby 1★ #ED6")</f>
        <v>Gold Cove - Ruby 1★ #ED6</v>
      </c>
      <c r="L20" s="324" t="str">
        <f>IFERROR(__xludf.DUMMYFUNCTION("""COMPUTED_VALUE"""),"2★")</f>
        <v>2★</v>
      </c>
      <c r="M20" s="349">
        <f>IFERROR(__xludf.DUMMYFUNCTION("""COMPUTED_VALUE"""),1.0)</f>
        <v>1</v>
      </c>
      <c r="O20" s="316" t="str">
        <f>IFERROR(__xludf.DUMMYFUNCTION("""COMPUTED_VALUE"""),"Skull Isle - Compass 1★ #A14")</f>
        <v>Skull Isle - Compass 1★ #A14</v>
      </c>
      <c r="P20" s="246">
        <f>IFERROR(__xludf.DUMMYFUNCTION("""COMPUTED_VALUE"""),50.0)</f>
        <v>50</v>
      </c>
      <c r="Q20" s="315">
        <f>IFERROR(__xludf.DUMMYFUNCTION("if(P20="""", """", P20/sum(filter($P$16:$P$949, $P$16:$P$949&lt;&gt;"""")))"),0.0024423602969910123)</f>
        <v>0.002442360297</v>
      </c>
    </row>
    <row r="21" ht="12.75" customHeight="1">
      <c r="A21" s="322" t="str">
        <f>AlbumConfig!B8&amp;" "&amp;AlbumConfig!E8</f>
        <v>Skull Isle - Cutlass 2★</v>
      </c>
      <c r="B21" s="341">
        <f>IFERROR(__xludf.DUMMYFUNCTION("index($B$3:$B$7, right(index(split(A21, ""★""),0,1)), 0)"),20.0)</f>
        <v>20</v>
      </c>
      <c r="C21" s="341">
        <f>IFERROR(__xludf.DUMMYFUNCTION("LET(
  ct, COUNTIF(ARRAYFORMULA(RIGHT(SPLIT($A$16:$A21, ""★""), 1)), TO_TEXT(RIGHT(SPLIT(A21, ""★""), 1))),
  n, index($C$3:$C$7, right(index(split(A21, ""★""), 0, 1), 1), 0),
  total, index($D$3:$D$7, right(index(split(A21, ""★""), 0, 1), 1), 0),
  base,"&amp;" INT(total/n),
  rem, total - base*n,
  index(MAP(SEQUENCE(n), LAMBDA(i, IF(i &lt;= rem, base+1, base))), ct, 0)
)"),13.0)</f>
        <v>13</v>
      </c>
      <c r="G21" s="316" t="s">
        <v>546</v>
      </c>
      <c r="H21" s="246">
        <v>50.0</v>
      </c>
      <c r="I21" s="315">
        <v>0.0024423602969910123</v>
      </c>
      <c r="K21" s="326" t="str">
        <f>IFERROR(__xludf.DUMMYFUNCTION("""COMPUTED_VALUE"""),"Kraken Lair - Pearl 1★ #56D")</f>
        <v>Kraken Lair - Pearl 1★ #56D</v>
      </c>
      <c r="L21" s="324" t="str">
        <f>IFERROR(__xludf.DUMMYFUNCTION("""COMPUTED_VALUE"""),"3★")</f>
        <v>3★</v>
      </c>
      <c r="M21" s="349">
        <f>IFERROR(__xludf.DUMMYFUNCTION("""COMPUTED_VALUE"""),2.0)</f>
        <v>2</v>
      </c>
      <c r="O21" s="316" t="str">
        <f>IFERROR(__xludf.DUMMYFUNCTION("""COMPUTED_VALUE"""),"Skull Isle - Compass 1★ #4C9")</f>
        <v>Skull Isle - Compass 1★ #4C9</v>
      </c>
      <c r="P21" s="246">
        <f>IFERROR(__xludf.DUMMYFUNCTION("""COMPUTED_VALUE"""),50.0)</f>
        <v>50</v>
      </c>
      <c r="Q21" s="315">
        <f>IFERROR(__xludf.DUMMYFUNCTION("if(P21="""", """", P21/sum(filter($P$16:$P$949, $P$16:$P$949&lt;&gt;"""")))"),0.0024423602969910123)</f>
        <v>0.002442360297</v>
      </c>
    </row>
    <row r="22" ht="12.75" customHeight="1">
      <c r="A22" s="322" t="str">
        <f>AlbumConfig!B9&amp;" "&amp;AlbumConfig!E9</f>
        <v>Skull Isle - Parrot 2★</v>
      </c>
      <c r="B22" s="341">
        <f>IFERROR(__xludf.DUMMYFUNCTION("index($B$3:$B$7, right(index(split(A22, ""★""),0,1)), 0)"),20.0)</f>
        <v>20</v>
      </c>
      <c r="C22" s="341">
        <f>IFERROR(__xludf.DUMMYFUNCTION("LET(
  ct, COUNTIF(ARRAYFORMULA(RIGHT(SPLIT($A$16:$A22, ""★""), 1)), TO_TEXT(RIGHT(SPLIT(A22, ""★""), 1))),
  n, index($C$3:$C$7, right(index(split(A22, ""★""), 0, 1), 1), 0),
  total, index($D$3:$D$7, right(index(split(A22, ""★""), 0, 1), 1), 0),
  base,"&amp;" INT(total/n),
  rem, total - base*n,
  index(MAP(SEQUENCE(n), LAMBDA(i, IF(i &lt;= rem, base+1, base))), ct, 0)
)"),13.0)</f>
        <v>13</v>
      </c>
      <c r="G22" s="316" t="s">
        <v>549</v>
      </c>
      <c r="H22" s="246">
        <v>50.0</v>
      </c>
      <c r="I22" s="315">
        <v>0.0024423602969910123</v>
      </c>
      <c r="K22" s="326" t="str">
        <f>IFERROR(__xludf.DUMMYFUNCTION("""COMPUTED_VALUE"""),"Cannon Fort - Powder 1★ #B6E")</f>
        <v>Cannon Fort - Powder 1★ #B6E</v>
      </c>
      <c r="L22" s="324" t="str">
        <f>IFERROR(__xludf.DUMMYFUNCTION("""COMPUTED_VALUE"""),"4★")</f>
        <v>4★</v>
      </c>
      <c r="M22" s="331">
        <f>IFERROR(__xludf.DUMMYFUNCTION("""COMPUTED_VALUE"""),2.0)</f>
        <v>2</v>
      </c>
      <c r="O22" s="316" t="str">
        <f>IFERROR(__xludf.DUMMYFUNCTION("""COMPUTED_VALUE"""),"Skull Isle - Compass 1★ #F7E")</f>
        <v>Skull Isle - Compass 1★ #F7E</v>
      </c>
      <c r="P22" s="246">
        <f>IFERROR(__xludf.DUMMYFUNCTION("""COMPUTED_VALUE"""),50.0)</f>
        <v>50</v>
      </c>
      <c r="Q22" s="315">
        <f>IFERROR(__xludf.DUMMYFUNCTION("if(P22="""", """", P22/sum(filter($P$16:$P$949, $P$16:$P$949&lt;&gt;"""")))"),0.0024423602969910123)</f>
        <v>0.002442360297</v>
      </c>
    </row>
    <row r="23" ht="12.75" customHeight="1">
      <c r="A23" s="322" t="str">
        <f>AlbumConfig!B10&amp;" "&amp;AlbumConfig!E10</f>
        <v>Skull Isle - Chest 3★</v>
      </c>
      <c r="B23" s="341">
        <f>IFERROR(__xludf.DUMMYFUNCTION("index($B$3:$B$7, right(index(split(A23, ""★""),0,1)), 0)"),10.0)</f>
        <v>10</v>
      </c>
      <c r="C23" s="341">
        <f>IFERROR(__xludf.DUMMYFUNCTION("LET(
  ct, COUNTIF(ARRAYFORMULA(RIGHT(SPLIT($A$16:$A23, ""★""), 1)), TO_TEXT(RIGHT(SPLIT(A23, ""★""), 1))),
  n, index($C$3:$C$7, right(index(split(A23, ""★""), 0, 1), 1), 0),
  total, index($D$3:$D$7, right(index(split(A23, ""★""), 0, 1), 1), 0),
  base,"&amp;" INT(total/n),
  rem, total - base*n,
  index(MAP(SEQUENCE(n), LAMBDA(i, IF(i &lt;= rem, base+1, base))), ct, 0)
)"),13.0)</f>
        <v>13</v>
      </c>
      <c r="G23" s="316" t="s">
        <v>552</v>
      </c>
      <c r="H23" s="246">
        <v>50.0</v>
      </c>
      <c r="I23" s="315">
        <v>0.0024423602969910123</v>
      </c>
      <c r="K23" s="326" t="str">
        <f>IFERROR(__xludf.DUMMYFUNCTION("""COMPUTED_VALUE"""),"Gold Cove - Crown 2★ #069")</f>
        <v>Gold Cove - Crown 2★ #069</v>
      </c>
      <c r="L23" s="324"/>
      <c r="M23" s="331"/>
      <c r="O23" s="316" t="str">
        <f>IFERROR(__xludf.DUMMYFUNCTION("""COMPUTED_VALUE"""),"Skull Isle - Compass 1★ #A33")</f>
        <v>Skull Isle - Compass 1★ #A33</v>
      </c>
      <c r="P23" s="246">
        <f>IFERROR(__xludf.DUMMYFUNCTION("""COMPUTED_VALUE"""),50.0)</f>
        <v>50</v>
      </c>
      <c r="Q23" s="315">
        <f>IFERROR(__xludf.DUMMYFUNCTION("if(P23="""", """", P23/sum(filter($P$16:$P$949, $P$16:$P$949&lt;&gt;"""")))"),0.0024423602969910123)</f>
        <v>0.002442360297</v>
      </c>
    </row>
    <row r="24" ht="12.75" customHeight="1">
      <c r="A24" s="322" t="str">
        <f>AlbumConfig!B11&amp;" "&amp;AlbumConfig!E11</f>
        <v>Skull Isle - Skull 3★</v>
      </c>
      <c r="B24" s="341">
        <f>IFERROR(__xludf.DUMMYFUNCTION("index($B$3:$B$7, right(index(split(A24, ""★""),0,1)), 0)"),10.0)</f>
        <v>10</v>
      </c>
      <c r="C24" s="341">
        <f>IFERROR(__xludf.DUMMYFUNCTION("LET(
  ct, COUNTIF(ARRAYFORMULA(RIGHT(SPLIT($A$16:$A24, ""★""), 1)), TO_TEXT(RIGHT(SPLIT(A24, ""★""), 1))),
  n, index($C$3:$C$7, right(index(split(A24, ""★""), 0, 1), 1), 0),
  total, index($D$3:$D$7, right(index(split(A24, ""★""), 0, 1), 1), 0),
  base,"&amp;" INT(total/n),
  rem, total - base*n,
  index(MAP(SEQUENCE(n), LAMBDA(i, IF(i &lt;= rem, base+1, base))), ct, 0)
)"),13.0)</f>
        <v>13</v>
      </c>
      <c r="G24" s="316" t="s">
        <v>555</v>
      </c>
      <c r="H24" s="246">
        <v>50.0</v>
      </c>
      <c r="I24" s="315">
        <v>0.0024423602969910123</v>
      </c>
      <c r="K24" s="326" t="str">
        <f>IFERROR(__xludf.DUMMYFUNCTION("""COMPUTED_VALUE"""),"Skull Isle - Helm 2★ #754")</f>
        <v>Skull Isle - Helm 2★ #754</v>
      </c>
      <c r="L24" s="326" t="s">
        <v>770</v>
      </c>
      <c r="M24" s="331"/>
      <c r="O24" s="316" t="str">
        <f>IFERROR(__xludf.DUMMYFUNCTION("""COMPUTED_VALUE"""),"Skull Isle - Compass 1★ #4E8")</f>
        <v>Skull Isle - Compass 1★ #4E8</v>
      </c>
      <c r="P24" s="246">
        <f>IFERROR(__xludf.DUMMYFUNCTION("""COMPUTED_VALUE"""),50.0)</f>
        <v>50</v>
      </c>
      <c r="Q24" s="315">
        <f>IFERROR(__xludf.DUMMYFUNCTION("if(P24="""", """", P24/sum(filter($P$16:$P$949, $P$16:$P$949&lt;&gt;"""")))"),0.0024423602969910123)</f>
        <v>0.002442360297</v>
      </c>
    </row>
    <row r="25" ht="12.75" customHeight="1">
      <c r="A25" s="322" t="str">
        <f>AlbumConfig!B12&amp;" "&amp;AlbumConfig!E12</f>
        <v>Kraken Lair - Tentacle 1★</v>
      </c>
      <c r="B25" s="341">
        <f>IFERROR(__xludf.DUMMYFUNCTION("index($B$3:$B$7, right(index(split(A25, ""★""),0,1)), 0)"),50.0)</f>
        <v>50</v>
      </c>
      <c r="C25" s="341">
        <f>IFERROR(__xludf.DUMMYFUNCTION("LET(
  ct, COUNTIF(ARRAYFORMULA(RIGHT(SPLIT($A$16:$A25, ""★""), 1)), TO_TEXT(RIGHT(SPLIT(A25, ""★""), 1))),
  n, index($C$3:$C$7, right(index(split(A25, ""★""), 0, 1), 1), 0),
  total, index($D$3:$D$7, right(index(split(A25, ""★""), 0, 1), 1), 0),
  base,"&amp;" INT(total/n),
  rem, total - base*n,
  index(MAP(SEQUENCE(n), LAMBDA(i, IF(i &lt;= rem, base+1, base))), ct, 0)
)"),14.0)</f>
        <v>14</v>
      </c>
      <c r="G25" s="316" t="s">
        <v>560</v>
      </c>
      <c r="H25" s="246">
        <v>50.0</v>
      </c>
      <c r="I25" s="315">
        <v>0.0024423602969910123</v>
      </c>
      <c r="K25" s="326" t="str">
        <f>IFERROR(__xludf.DUMMYFUNCTION("""COMPUTED_VALUE"""),"Cannon Fort - Powder 1★ #0B9")</f>
        <v>Cannon Fort - Powder 1★ #0B9</v>
      </c>
      <c r="L25" s="316" t="str">
        <f t="shared" ref="L25:L28" si="2">L19</f>
        <v>1★</v>
      </c>
      <c r="M25" s="350">
        <f t="shared" ref="M25:M28" si="3">if(L25="", "", M19/sum($M$19:$M$23))</f>
        <v>0.6428571429</v>
      </c>
      <c r="O25" s="316" t="str">
        <f>IFERROR(__xludf.DUMMYFUNCTION("""COMPUTED_VALUE"""),"Skull Isle - Compass 1★ #F9D")</f>
        <v>Skull Isle - Compass 1★ #F9D</v>
      </c>
      <c r="P25" s="246">
        <f>IFERROR(__xludf.DUMMYFUNCTION("""COMPUTED_VALUE"""),50.0)</f>
        <v>50</v>
      </c>
      <c r="Q25" s="315">
        <f>IFERROR(__xludf.DUMMYFUNCTION("if(P25="""", """", P25/sum(filter($P$16:$P$949, $P$16:$P$949&lt;&gt;"""")))"),0.0024423602969910123)</f>
        <v>0.002442360297</v>
      </c>
    </row>
    <row r="26" ht="12.75" customHeight="1">
      <c r="A26" s="322" t="str">
        <f>AlbumConfig!B13&amp;" "&amp;AlbumConfig!E13</f>
        <v>Kraken Lair - Ink Cloud 1★</v>
      </c>
      <c r="B26" s="341">
        <f>IFERROR(__xludf.DUMMYFUNCTION("index($B$3:$B$7, right(index(split(A26, ""★""),0,1)), 0)"),50.0)</f>
        <v>50</v>
      </c>
      <c r="C26" s="341">
        <f>IFERROR(__xludf.DUMMYFUNCTION("LET(
  ct, COUNTIF(ARRAYFORMULA(RIGHT(SPLIT($A$16:$A26, ""★""), 1)), TO_TEXT(RIGHT(SPLIT(A26, ""★""), 1))),
  n, index($C$3:$C$7, right(index(split(A26, ""★""), 0, 1), 1), 0),
  total, index($D$3:$D$7, right(index(split(A26, ""★""), 0, 1), 1), 0),
  base,"&amp;" INT(total/n),
  rem, total - base*n,
  index(MAP(SEQUENCE(n), LAMBDA(i, IF(i &lt;= rem, base+1, base))), ct, 0)
)"),14.0)</f>
        <v>14</v>
      </c>
      <c r="G26" s="316" t="s">
        <v>771</v>
      </c>
      <c r="H26" s="246">
        <v>50.0</v>
      </c>
      <c r="I26" s="315">
        <v>0.0024423602969910123</v>
      </c>
      <c r="K26" s="326" t="str">
        <f>IFERROR(__xludf.DUMMYFUNCTION("""COMPUTED_VALUE"""),"Gold Cove - Diamond 2★ #00C")</f>
        <v>Gold Cove - Diamond 2★ #00C</v>
      </c>
      <c r="L26" s="316" t="str">
        <f t="shared" si="2"/>
        <v>2★</v>
      </c>
      <c r="M26" s="350">
        <f t="shared" si="3"/>
        <v>0.07142857143</v>
      </c>
      <c r="O26" s="316" t="str">
        <f>IFERROR(__xludf.DUMMYFUNCTION("""COMPUTED_VALUE"""),"Skull Isle - Compass 1★ #A52")</f>
        <v>Skull Isle - Compass 1★ #A52</v>
      </c>
      <c r="P26" s="246">
        <f>IFERROR(__xludf.DUMMYFUNCTION("""COMPUTED_VALUE"""),50.0)</f>
        <v>50</v>
      </c>
      <c r="Q26" s="315">
        <f>IFERROR(__xludf.DUMMYFUNCTION("if(P26="""", """", P26/sum(filter($P$16:$P$949, $P$16:$P$949&lt;&gt;"""")))"),0.0024423602969910123)</f>
        <v>0.002442360297</v>
      </c>
    </row>
    <row r="27" ht="12.75" customHeight="1">
      <c r="A27" s="322" t="str">
        <f>AlbumConfig!B14&amp;" "&amp;AlbumConfig!E14</f>
        <v>Kraken Lair - Pearl 1★</v>
      </c>
      <c r="B27" s="341">
        <f>IFERROR(__xludf.DUMMYFUNCTION("index($B$3:$B$7, right(index(split(A27, ""★""),0,1)), 0)"),50.0)</f>
        <v>50</v>
      </c>
      <c r="C27" s="341">
        <f>IFERROR(__xludf.DUMMYFUNCTION("LET(
  ct, COUNTIF(ARRAYFORMULA(RIGHT(SPLIT($A$16:$A27, ""★""), 1)), TO_TEXT(RIGHT(SPLIT(A27, ""★""), 1))),
  n, index($C$3:$C$7, right(index(split(A27, ""★""), 0, 1), 1), 0),
  total, index($D$3:$D$7, right(index(split(A27, ""★""), 0, 1), 1), 0),
  base,"&amp;" INT(total/n),
  rem, total - base*n,
  index(MAP(SEQUENCE(n), LAMBDA(i, IF(i &lt;= rem, base+1, base))), ct, 0)
)"),14.0)</f>
        <v>14</v>
      </c>
      <c r="G27" s="316" t="s">
        <v>772</v>
      </c>
      <c r="H27" s="246">
        <v>50.0</v>
      </c>
      <c r="I27" s="315">
        <v>0.0024423602969910123</v>
      </c>
      <c r="K27" s="326" t="str">
        <f>IFERROR(__xludf.DUMMYFUNCTION("""COMPUTED_VALUE"""),"Dead Man Bay - Treasure Map 2★ #32E")</f>
        <v>Dead Man Bay - Treasure Map 2★ #32E</v>
      </c>
      <c r="L27" s="316" t="str">
        <f t="shared" si="2"/>
        <v>3★</v>
      </c>
      <c r="M27" s="350">
        <f t="shared" si="3"/>
        <v>0.1428571429</v>
      </c>
      <c r="O27" s="316" t="str">
        <f>IFERROR(__xludf.DUMMYFUNCTION("""COMPUTED_VALUE"""),"Skull Isle - Compass 1★ #507")</f>
        <v>Skull Isle - Compass 1★ #507</v>
      </c>
      <c r="P27" s="246">
        <f>IFERROR(__xludf.DUMMYFUNCTION("""COMPUTED_VALUE"""),50.0)</f>
        <v>50</v>
      </c>
      <c r="Q27" s="315">
        <f>IFERROR(__xludf.DUMMYFUNCTION("if(P27="""", """", P27/sum(filter($P$16:$P$949, $P$16:$P$949&lt;&gt;"""")))"),0.0024423602969910123)</f>
        <v>0.002442360297</v>
      </c>
    </row>
    <row r="28" ht="12.75" customHeight="1">
      <c r="A28" s="322" t="str">
        <f>AlbumConfig!B15&amp;" "&amp;AlbumConfig!E15</f>
        <v>Kraken Lair - Trident 1★</v>
      </c>
      <c r="B28" s="341">
        <f>IFERROR(__xludf.DUMMYFUNCTION("index($B$3:$B$7, right(index(split(A28, ""★""),0,1)), 0)"),50.0)</f>
        <v>50</v>
      </c>
      <c r="C28" s="341">
        <f>IFERROR(__xludf.DUMMYFUNCTION("LET(
  ct, COUNTIF(ARRAYFORMULA(RIGHT(SPLIT($A$16:$A28, ""★""), 1)), TO_TEXT(RIGHT(SPLIT(A28, ""★""), 1))),
  n, index($C$3:$C$7, right(index(split(A28, ""★""), 0, 1), 1), 0),
  total, index($D$3:$D$7, right(index(split(A28, ""★""), 0, 1), 1), 0),
  base,"&amp;" INT(total/n),
  rem, total - base*n,
  index(MAP(SEQUENCE(n), LAMBDA(i, IF(i &lt;= rem, base+1, base))), ct, 0)
)"),14.0)</f>
        <v>14</v>
      </c>
      <c r="G28" s="316" t="s">
        <v>773</v>
      </c>
      <c r="H28" s="246">
        <v>50.0</v>
      </c>
      <c r="I28" s="315">
        <v>0.0024423602969910123</v>
      </c>
      <c r="K28" s="326" t="str">
        <f>IFERROR(__xludf.DUMMYFUNCTION("""COMPUTED_VALUE"""),"Storm Port - Lightning 1★ #205")</f>
        <v>Storm Port - Lightning 1★ #205</v>
      </c>
      <c r="L28" s="316" t="str">
        <f t="shared" si="2"/>
        <v>4★</v>
      </c>
      <c r="M28" s="315">
        <f t="shared" si="3"/>
        <v>0.1428571429</v>
      </c>
      <c r="O28" s="316" t="str">
        <f>IFERROR(__xludf.DUMMYFUNCTION("""COMPUTED_VALUE"""),"Skull Isle - Compass 1★ #FBC")</f>
        <v>Skull Isle - Compass 1★ #FBC</v>
      </c>
      <c r="P28" s="246">
        <f>IFERROR(__xludf.DUMMYFUNCTION("""COMPUTED_VALUE"""),50.0)</f>
        <v>50</v>
      </c>
      <c r="Q28" s="315">
        <f>IFERROR(__xludf.DUMMYFUNCTION("if(P28="""", """", P28/sum(filter($P$16:$P$949, $P$16:$P$949&lt;&gt;"""")))"),0.0024423602969910123)</f>
        <v>0.002442360297</v>
      </c>
    </row>
    <row r="29" ht="12.75" customHeight="1">
      <c r="A29" s="322" t="str">
        <f>AlbumConfig!B16&amp;" "&amp;AlbumConfig!E16</f>
        <v>Kraken Lair - Shell 2★</v>
      </c>
      <c r="B29" s="341">
        <f>IFERROR(__xludf.DUMMYFUNCTION("index($B$3:$B$7, right(index(split(A29, ""★""),0,1)), 0)"),20.0)</f>
        <v>20</v>
      </c>
      <c r="C29" s="341">
        <f>IFERROR(__xludf.DUMMYFUNCTION("LET(
  ct, COUNTIF(ARRAYFORMULA(RIGHT(SPLIT($A$16:$A29, ""★""), 1)), TO_TEXT(RIGHT(SPLIT(A29, ""★""), 1))),
  n, index($C$3:$C$7, right(index(split(A29, ""★""), 0, 1), 1), 0),
  total, index($D$3:$D$7, right(index(split(A29, ""★""), 0, 1), 1), 0),
  base,"&amp;" INT(total/n),
  rem, total - base*n,
  index(MAP(SEQUENCE(n), LAMBDA(i, IF(i &lt;= rem, base+1, base))), ct, 0)
)"),13.0)</f>
        <v>13</v>
      </c>
      <c r="G29" s="316" t="s">
        <v>774</v>
      </c>
      <c r="H29" s="246">
        <v>50.0</v>
      </c>
      <c r="I29" s="315">
        <v>0.0024423602969910123</v>
      </c>
      <c r="K29" s="326" t="str">
        <f>IFERROR(__xludf.DUMMYFUNCTION("""COMPUTED_VALUE"""),"Ghost Ship - Sail 1★ #E06")</f>
        <v>Ghost Ship - Sail 1★ #E06</v>
      </c>
      <c r="L29" s="329"/>
      <c r="M29" s="331"/>
      <c r="O29" s="316" t="str">
        <f>IFERROR(__xludf.DUMMYFUNCTION("""COMPUTED_VALUE"""),"Skull Isle - Compass 1★ #A71")</f>
        <v>Skull Isle - Compass 1★ #A71</v>
      </c>
      <c r="P29" s="246">
        <f>IFERROR(__xludf.DUMMYFUNCTION("""COMPUTED_VALUE"""),50.0)</f>
        <v>50</v>
      </c>
      <c r="Q29" s="315">
        <f>IFERROR(__xludf.DUMMYFUNCTION("if(P29="""", """", P29/sum(filter($P$16:$P$949, $P$16:$P$949&lt;&gt;"""")))"),0.0024423602969910123)</f>
        <v>0.002442360297</v>
      </c>
    </row>
    <row r="30" ht="12.75" customHeight="1">
      <c r="A30" s="322" t="str">
        <f>AlbumConfig!B17&amp;" "&amp;AlbumConfig!E17</f>
        <v>Kraken Lair - Coral 2★</v>
      </c>
      <c r="B30" s="341">
        <f>IFERROR(__xludf.DUMMYFUNCTION("index($B$3:$B$7, right(index(split(A30, ""★""),0,1)), 0)"),20.0)</f>
        <v>20</v>
      </c>
      <c r="C30" s="341">
        <f>IFERROR(__xludf.DUMMYFUNCTION("LET(
  ct, COUNTIF(ARRAYFORMULA(RIGHT(SPLIT($A$16:$A30, ""★""), 1)), TO_TEXT(RIGHT(SPLIT(A30, ""★""), 1))),
  n, index($C$3:$C$7, right(index(split(A30, ""★""), 0, 1), 1), 0),
  total, index($D$3:$D$7, right(index(split(A30, ""★""), 0, 1), 1), 0),
  base,"&amp;" INT(total/n),
  rem, total - base*n,
  index(MAP(SEQUENCE(n), LAMBDA(i, IF(i &lt;= rem, base+1, base))), ct, 0)
)"),13.0)</f>
        <v>13</v>
      </c>
      <c r="G30" s="316" t="s">
        <v>575</v>
      </c>
      <c r="H30" s="246">
        <v>50.0</v>
      </c>
      <c r="I30" s="315">
        <v>0.0024423602969910123</v>
      </c>
      <c r="K30" s="326" t="str">
        <f>IFERROR(__xludf.DUMMYFUNCTION("""COMPUTED_VALUE"""),"Kraken Lair - Tentacle 1★ #9DF")</f>
        <v>Kraken Lair - Tentacle 1★ #9DF</v>
      </c>
      <c r="L30" s="329"/>
      <c r="M30" s="331"/>
      <c r="O30" s="316" t="str">
        <f>IFERROR(__xludf.DUMMYFUNCTION("""COMPUTED_VALUE"""),"Skull Isle - Map 1★ #526")</f>
        <v>Skull Isle - Map 1★ #526</v>
      </c>
      <c r="P30" s="246">
        <f>IFERROR(__xludf.DUMMYFUNCTION("""COMPUTED_VALUE"""),50.0)</f>
        <v>50</v>
      </c>
      <c r="Q30" s="315">
        <f>IFERROR(__xludf.DUMMYFUNCTION("if(P30="""", """", P30/sum(filter($P$16:$P$949, $P$16:$P$949&lt;&gt;"""")))"),0.0024423602969910123)</f>
        <v>0.002442360297</v>
      </c>
    </row>
    <row r="31" ht="12.75" customHeight="1">
      <c r="A31" s="322" t="str">
        <f>AlbumConfig!B18&amp;" "&amp;AlbumConfig!E18</f>
        <v>Kraken Lair - Lantern 3★</v>
      </c>
      <c r="B31" s="341">
        <f>IFERROR(__xludf.DUMMYFUNCTION("index($B$3:$B$7, right(index(split(A31, ""★""),0,1)), 0)"),10.0)</f>
        <v>10</v>
      </c>
      <c r="C31" s="341">
        <f>IFERROR(__xludf.DUMMYFUNCTION("LET(
  ct, COUNTIF(ARRAYFORMULA(RIGHT(SPLIT($A$16:$A31, ""★""), 1)), TO_TEXT(RIGHT(SPLIT(A31, ""★""), 1))),
  n, index($C$3:$C$7, right(index(split(A31, ""★""), 0, 1), 1), 0),
  total, index($D$3:$D$7, right(index(split(A31, ""★""), 0, 1), 1), 0),
  base,"&amp;" INT(total/n),
  rem, total - base*n,
  index(MAP(SEQUENCE(n), LAMBDA(i, IF(i &lt;= rem, base+1, base))), ct, 0)
)"),13.0)</f>
        <v>13</v>
      </c>
      <c r="G31" s="316" t="s">
        <v>578</v>
      </c>
      <c r="H31" s="246">
        <v>50.0</v>
      </c>
      <c r="I31" s="315">
        <v>0.0024423602969910123</v>
      </c>
      <c r="K31" s="326" t="str">
        <f>IFERROR(__xludf.DUMMYFUNCTION("""COMPUTED_VALUE"""),"Storm Port - Lightning 1★ #C9B")</f>
        <v>Storm Port - Lightning 1★ #C9B</v>
      </c>
      <c r="L31" s="316" t="str">
        <f>L23</f>
        <v/>
      </c>
      <c r="M31" s="330" t="s">
        <v>579</v>
      </c>
      <c r="O31" s="316" t="str">
        <f>IFERROR(__xludf.DUMMYFUNCTION("""COMPUTED_VALUE"""),"Skull Isle - Map 1★ #FDB")</f>
        <v>Skull Isle - Map 1★ #FDB</v>
      </c>
      <c r="P31" s="246">
        <f>IFERROR(__xludf.DUMMYFUNCTION("""COMPUTED_VALUE"""),50.0)</f>
        <v>50</v>
      </c>
      <c r="Q31" s="315">
        <f>IFERROR(__xludf.DUMMYFUNCTION("if(P31="""", """", P31/sum(filter($P$16:$P$949, $P$16:$P$949&lt;&gt;"""")))"),0.0024423602969910123)</f>
        <v>0.002442360297</v>
      </c>
    </row>
    <row r="32" ht="12.75" customHeight="1">
      <c r="A32" s="322" t="str">
        <f>AlbumConfig!B19&amp;" "&amp;AlbumConfig!E19</f>
        <v>Kraken Lair - Hook 3★</v>
      </c>
      <c r="B32" s="341">
        <f>IFERROR(__xludf.DUMMYFUNCTION("index($B$3:$B$7, right(index(split(A32, ""★""),0,1)), 0)"),10.0)</f>
        <v>10</v>
      </c>
      <c r="C32" s="341">
        <f>IFERROR(__xludf.DUMMYFUNCTION("LET(
  ct, COUNTIF(ARRAYFORMULA(RIGHT(SPLIT($A$16:$A32, ""★""), 1)), TO_TEXT(RIGHT(SPLIT(A32, ""★""), 1))),
  n, index($C$3:$C$7, right(index(split(A32, ""★""), 0, 1), 1), 0),
  total, index($D$3:$D$7, right(index(split(A32, ""★""), 0, 1), 1), 0),
  base,"&amp;" INT(total/n),
  rem, total - base*n,
  index(MAP(SEQUENCE(n), LAMBDA(i, IF(i &lt;= rem, base+1, base))), ct, 0)
)"),13.0)</f>
        <v>13</v>
      </c>
      <c r="G32" s="316" t="s">
        <v>582</v>
      </c>
      <c r="H32" s="246">
        <v>50.0</v>
      </c>
      <c r="I32" s="315">
        <v>0.0024423602969910123</v>
      </c>
      <c r="K32" s="326" t="str">
        <f>IFERROR(__xludf.DUMMYFUNCTION("""COMPUTED_VALUE"""),"Skull Isle - Spyglass 1★ #5C1")</f>
        <v>Skull Isle - Spyglass 1★ #5C1</v>
      </c>
      <c r="L32" s="329"/>
      <c r="M32" s="349">
        <f>IFERROR(__xludf.DUMMYFUNCTION("sum(arrayformula(right(index(split(filter($L$35:$L$48, $L$35:$L$48&lt;&gt;""""), ""★""), 0, 1), 1) * (filter($M$35:$M$48, $M$35:$M$48&lt;&gt;"""")-1)))"),21.0)</f>
        <v>21</v>
      </c>
      <c r="O32" s="316" t="str">
        <f>IFERROR(__xludf.DUMMYFUNCTION("""COMPUTED_VALUE"""),"Skull Isle - Map 1★ #A90")</f>
        <v>Skull Isle - Map 1★ #A90</v>
      </c>
      <c r="P32" s="246">
        <f>IFERROR(__xludf.DUMMYFUNCTION("""COMPUTED_VALUE"""),50.0)</f>
        <v>50</v>
      </c>
      <c r="Q32" s="315">
        <f>IFERROR(__xludf.DUMMYFUNCTION("if(P32="""", """", P32/sum(filter($P$16:$P$949, $P$16:$P$949&lt;&gt;"""")))"),0.0024423602969910123)</f>
        <v>0.002442360297</v>
      </c>
    </row>
    <row r="33" ht="12.75" customHeight="1">
      <c r="A33" s="322" t="str">
        <f>AlbumConfig!B20&amp;" "&amp;AlbumConfig!E20</f>
        <v>Kraken Lair - Eyepatch 4★</v>
      </c>
      <c r="B33" s="341">
        <f>IFERROR(__xludf.DUMMYFUNCTION("index($B$3:$B$7, right(index(split(A33, ""★""),0,1)), 0)"),5.0)</f>
        <v>5</v>
      </c>
      <c r="C33" s="341">
        <f>IFERROR(__xludf.DUMMYFUNCTION("LET(
  ct, COUNTIF(ARRAYFORMULA(RIGHT(SPLIT($A$16:$A33, ""★""), 1)), TO_TEXT(RIGHT(SPLIT(A33, ""★""), 1))),
  n, index($C$3:$C$7, right(index(split(A33, ""★""), 0, 1), 1), 0),
  total, index($D$3:$D$7, right(index(split(A33, ""★""), 0, 1), 1), 0),
  base,"&amp;" INT(total/n),
  rem, total - base*n,
  index(MAP(SEQUENCE(n), LAMBDA(i, IF(i &lt;= rem, base+1, base))), ct, 0)
)"),12.0)</f>
        <v>12</v>
      </c>
      <c r="G33" s="316" t="s">
        <v>585</v>
      </c>
      <c r="H33" s="246">
        <v>50.0</v>
      </c>
      <c r="I33" s="315">
        <v>0.0024423602969910123</v>
      </c>
      <c r="K33" s="326" t="str">
        <f>IFERROR(__xludf.DUMMYFUNCTION("""COMPUTED_VALUE"""),"Skull Isle - Cutlass 2★ #228")</f>
        <v>Skull Isle - Cutlass 2★ #228</v>
      </c>
      <c r="L33" s="316"/>
      <c r="M33" s="331"/>
      <c r="O33" s="316" t="str">
        <f>IFERROR(__xludf.DUMMYFUNCTION("""COMPUTED_VALUE"""),"Skull Isle - Map 1★ #545")</f>
        <v>Skull Isle - Map 1★ #545</v>
      </c>
      <c r="P33" s="246">
        <f>IFERROR(__xludf.DUMMYFUNCTION("""COMPUTED_VALUE"""),50.0)</f>
        <v>50</v>
      </c>
      <c r="Q33" s="315">
        <f>IFERROR(__xludf.DUMMYFUNCTION("if(P33="""", """", P33/sum(filter($P$16:$P$949, $P$16:$P$949&lt;&gt;"""")))"),0.0024423602969910123)</f>
        <v>0.002442360297</v>
      </c>
    </row>
    <row r="34" ht="12.75" customHeight="1">
      <c r="A34" s="322" t="str">
        <f>AlbumConfig!B21&amp;" "&amp;AlbumConfig!E21</f>
        <v>Gold Cove - Doubloon 1★</v>
      </c>
      <c r="B34" s="341">
        <f>IFERROR(__xludf.DUMMYFUNCTION("index($B$3:$B$7, right(index(split(A34, ""★""),0,1)), 0)"),50.0)</f>
        <v>50</v>
      </c>
      <c r="C34" s="341">
        <f>IFERROR(__xludf.DUMMYFUNCTION("LET(
  ct, COUNTIF(ARRAYFORMULA(RIGHT(SPLIT($A$16:$A34, ""★""), 1)), TO_TEXT(RIGHT(SPLIT(A34, ""★""), 1))),
  n, index($C$3:$C$7, right(index(split(A34, ""★""), 0, 1), 1), 0),
  total, index($D$3:$D$7, right(index(split(A34, ""★""), 0, 1), 1), 0),
  base,"&amp;" INT(total/n),
  rem, total - base*n,
  index(MAP(SEQUENCE(n), LAMBDA(i, IF(i &lt;= rem, base+1, base))), ct, 0)
)"),13.0)</f>
        <v>13</v>
      </c>
      <c r="G34" s="316" t="s">
        <v>589</v>
      </c>
      <c r="H34" s="246">
        <v>50.0</v>
      </c>
      <c r="I34" s="315">
        <v>0.0024423602969910123</v>
      </c>
      <c r="K34" s="326" t="str">
        <f>IFERROR(__xludf.DUMMYFUNCTION("""COMPUTED_VALUE"""),"Gold Cove - Crown 2★ #5F2")</f>
        <v>Gold Cove - Crown 2★ #5F2</v>
      </c>
      <c r="L34" s="314" t="s">
        <v>590</v>
      </c>
      <c r="M34" s="319" t="s">
        <v>591</v>
      </c>
      <c r="O34" s="316" t="str">
        <f>IFERROR(__xludf.DUMMYFUNCTION("""COMPUTED_VALUE"""),"Skull Isle - Map 1★ #FFA")</f>
        <v>Skull Isle - Map 1★ #FFA</v>
      </c>
      <c r="P34" s="246">
        <f>IFERROR(__xludf.DUMMYFUNCTION("""COMPUTED_VALUE"""),50.0)</f>
        <v>50</v>
      </c>
      <c r="Q34" s="315">
        <f>IFERROR(__xludf.DUMMYFUNCTION("if(P34="""", """", P34/sum(filter($P$16:$P$949, $P$16:$P$949&lt;&gt;"""")))"),0.0024423602969910123)</f>
        <v>0.002442360297</v>
      </c>
    </row>
    <row r="35" ht="12.75" customHeight="1">
      <c r="A35" s="322" t="str">
        <f>AlbumConfig!B22&amp;" "&amp;AlbumConfig!E22</f>
        <v>Gold Cove - Ruby 1★</v>
      </c>
      <c r="B35" s="341">
        <f>IFERROR(__xludf.DUMMYFUNCTION("index($B$3:$B$7, right(index(split(A35, ""★""),0,1)), 0)"),50.0)</f>
        <v>50</v>
      </c>
      <c r="C35" s="341">
        <f>IFERROR(__xludf.DUMMYFUNCTION("LET(
  ct, COUNTIF(ARRAYFORMULA(RIGHT(SPLIT($A$16:$A35, ""★""), 1)), TO_TEXT(RIGHT(SPLIT(A35, ""★""), 1))),
  n, index($C$3:$C$7, right(index(split(A35, ""★""), 0, 1), 1), 0),
  total, index($D$3:$D$7, right(index(split(A35, ""★""), 0, 1), 1), 0),
  base,"&amp;" INT(total/n),
  rem, total - base*n,
  index(MAP(SEQUENCE(n), LAMBDA(i, IF(i &lt;= rem, base+1, base))), ct, 0)
)"),13.0)</f>
        <v>13</v>
      </c>
      <c r="G35" s="316" t="s">
        <v>594</v>
      </c>
      <c r="H35" s="246">
        <v>50.0</v>
      </c>
      <c r="I35" s="315">
        <v>0.0024423602969910123</v>
      </c>
      <c r="K35" s="326" t="str">
        <f>IFERROR(__xludf.DUMMYFUNCTION("""COMPUTED_VALUE"""),"Gold Cove - Ruby 1★ #45F")</f>
        <v>Gold Cove - Ruby 1★ #45F</v>
      </c>
      <c r="L35" s="332" t="str">
        <f>IFERROR(__xludf.DUMMYFUNCTION("unique(index(arrayformula(split(filter($K$16:$K$449, $K$16:$K$449&lt;&gt;""""), ""★"")&amp;""★""), 0, 1))"),"Gold Cove - Ruby 1★")</f>
        <v>Gold Cove - Ruby 1★</v>
      </c>
      <c r="M35" s="331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1)=L35)))"),3.0)</f>
        <v>3</v>
      </c>
      <c r="O35" s="316" t="str">
        <f>IFERROR(__xludf.DUMMYFUNCTION("""COMPUTED_VALUE"""),"Skull Isle - Map 1★ #AAF")</f>
        <v>Skull Isle - Map 1★ #AAF</v>
      </c>
      <c r="P35" s="246">
        <f>IFERROR(__xludf.DUMMYFUNCTION("""COMPUTED_VALUE"""),50.0)</f>
        <v>50</v>
      </c>
      <c r="Q35" s="315">
        <f>IFERROR(__xludf.DUMMYFUNCTION("if(P35="""", """", P35/sum(filter($P$16:$P$949, $P$16:$P$949&lt;&gt;"""")))"),0.0024423602969910123)</f>
        <v>0.002442360297</v>
      </c>
    </row>
    <row r="36" ht="12.75" customHeight="1">
      <c r="A36" s="322" t="str">
        <f>AlbumConfig!B23&amp;" "&amp;AlbumConfig!E23</f>
        <v>Gold Cove - Emerald 1★</v>
      </c>
      <c r="B36" s="341">
        <f>IFERROR(__xludf.DUMMYFUNCTION("index($B$3:$B$7, right(index(split(A36, ""★""),0,1)), 0)"),50.0)</f>
        <v>50</v>
      </c>
      <c r="C36" s="341">
        <f>IFERROR(__xludf.DUMMYFUNCTION("LET(
  ct, COUNTIF(ARRAYFORMULA(RIGHT(SPLIT($A$16:$A36, ""★""), 1)), TO_TEXT(RIGHT(SPLIT(A36, ""★""), 1))),
  n, index($C$3:$C$7, right(index(split(A36, ""★""), 0, 1), 1), 0),
  total, index($D$3:$D$7, right(index(split(A36, ""★""), 0, 1), 1), 0),
  base,"&amp;" INT(total/n),
  rem, total - base*n,
  index(MAP(SEQUENCE(n), LAMBDA(i, IF(i &lt;= rem, base+1, base))), ct, 0)
)"),13.0)</f>
        <v>13</v>
      </c>
      <c r="G36" s="316" t="s">
        <v>775</v>
      </c>
      <c r="H36" s="246">
        <v>50.0</v>
      </c>
      <c r="I36" s="315">
        <v>0.0024423602969910123</v>
      </c>
      <c r="K36" s="326" t="str">
        <f>IFERROR(__xludf.DUMMYFUNCTION("""COMPUTED_VALUE"""),"Cannon Fort - Powder 1★ #BAC")</f>
        <v>Cannon Fort - Powder 1★ #BAC</v>
      </c>
      <c r="L36" s="332" t="str">
        <f>IFERROR(__xludf.DUMMYFUNCTION("""COMPUTED_VALUE"""),"Dead Man Bay - Pistol 1★")</f>
        <v>Dead Man Bay - Pistol 1★</v>
      </c>
      <c r="M36" s="331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1)=L36)))"),1.0)</f>
        <v>1</v>
      </c>
      <c r="O36" s="316" t="str">
        <f>IFERROR(__xludf.DUMMYFUNCTION("""COMPUTED_VALUE"""),"Skull Isle - Map 1★ #564")</f>
        <v>Skull Isle - Map 1★ #564</v>
      </c>
      <c r="P36" s="246">
        <f>IFERROR(__xludf.DUMMYFUNCTION("""COMPUTED_VALUE"""),50.0)</f>
        <v>50</v>
      </c>
      <c r="Q36" s="315">
        <f>IFERROR(__xludf.DUMMYFUNCTION("if(P36="""", """", P36/sum(filter($P$16:$P$949, $P$16:$P$949&lt;&gt;"""")))"),0.0024423602969910123)</f>
        <v>0.002442360297</v>
      </c>
    </row>
    <row r="37" ht="12.75" customHeight="1">
      <c r="A37" s="322" t="str">
        <f>AlbumConfig!B24&amp;" "&amp;AlbumConfig!E24</f>
        <v>Gold Cove - Diamond 2★</v>
      </c>
      <c r="B37" s="341">
        <f>IFERROR(__xludf.DUMMYFUNCTION("index($B$3:$B$7, right(index(split(A37, ""★""),0,1)), 0)"),20.0)</f>
        <v>20</v>
      </c>
      <c r="C37" s="341">
        <f>IFERROR(__xludf.DUMMYFUNCTION("LET(
  ct, COUNTIF(ARRAYFORMULA(RIGHT(SPLIT($A$16:$A37, ""★""), 1)), TO_TEXT(RIGHT(SPLIT(A37, ""★""), 1))),
  n, index($C$3:$C$7, right(index(split(A37, ""★""), 0, 1), 1), 0),
  total, index($D$3:$D$7, right(index(split(A37, ""★""), 0, 1), 1), 0),
  base,"&amp;" INT(total/n),
  rem, total - base*n,
  index(MAP(SEQUENCE(n), LAMBDA(i, IF(i &lt;= rem, base+1, base))), ct, 0)
)"),13.0)</f>
        <v>13</v>
      </c>
      <c r="G37" s="316" t="s">
        <v>776</v>
      </c>
      <c r="H37" s="246">
        <v>50.0</v>
      </c>
      <c r="I37" s="315">
        <v>0.0024423602969910123</v>
      </c>
      <c r="K37" s="326" t="str">
        <f>IFERROR(__xludf.DUMMYFUNCTION("""COMPUTED_VALUE"""),"Kraken Lair - Coral 2★ #73E")</f>
        <v>Kraken Lair - Coral 2★ #73E</v>
      </c>
      <c r="L37" s="332" t="str">
        <f>IFERROR(__xludf.DUMMYFUNCTION("""COMPUTED_VALUE"""),"Gold Cove - Emerald 1★")</f>
        <v>Gold Cove - Emerald 1★</v>
      </c>
      <c r="M37" s="331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1)=L37)))"),2.0)</f>
        <v>2</v>
      </c>
      <c r="O37" s="316" t="str">
        <f>IFERROR(__xludf.DUMMYFUNCTION("""COMPUTED_VALUE"""),"Skull Isle - Map 1★ #019")</f>
        <v>Skull Isle - Map 1★ #019</v>
      </c>
      <c r="P37" s="246">
        <f>IFERROR(__xludf.DUMMYFUNCTION("""COMPUTED_VALUE"""),50.0)</f>
        <v>50</v>
      </c>
      <c r="Q37" s="315">
        <f>IFERROR(__xludf.DUMMYFUNCTION("if(P37="""", """", P37/sum(filter($P$16:$P$949, $P$16:$P$949&lt;&gt;"""")))"),0.0024423602969910123)</f>
        <v>0.002442360297</v>
      </c>
    </row>
    <row r="38" ht="12.75" customHeight="1">
      <c r="A38" s="322" t="str">
        <f>AlbumConfig!B25&amp;" "&amp;AlbumConfig!E25</f>
        <v>Gold Cove - Crown 2★</v>
      </c>
      <c r="B38" s="341">
        <f>IFERROR(__xludf.DUMMYFUNCTION("index($B$3:$B$7, right(index(split(A38, ""★""),0,1)), 0)"),20.0)</f>
        <v>20</v>
      </c>
      <c r="C38" s="341">
        <f>IFERROR(__xludf.DUMMYFUNCTION("LET(
  ct, COUNTIF(ARRAYFORMULA(RIGHT(SPLIT($A$16:$A38, ""★""), 1)), TO_TEXT(RIGHT(SPLIT(A38, ""★""), 1))),
  n, index($C$3:$C$7, right(index(split(A38, ""★""), 0, 1), 1), 0),
  total, index($D$3:$D$7, right(index(split(A38, ""★""), 0, 1), 1), 0),
  base,"&amp;" INT(total/n),
  rem, total - base*n,
  index(MAP(SEQUENCE(n), LAMBDA(i, IF(i &lt;= rem, base+1, base))), ct, 0)
)"),13.0)</f>
        <v>13</v>
      </c>
      <c r="G38" s="316" t="s">
        <v>777</v>
      </c>
      <c r="H38" s="246">
        <v>50.0</v>
      </c>
      <c r="I38" s="315">
        <v>0.0024423602969910123</v>
      </c>
      <c r="K38" s="326" t="str">
        <f>IFERROR(__xludf.DUMMYFUNCTION("""COMPUTED_VALUE"""),"Cannon Fort - Powder 1★ #623")</f>
        <v>Cannon Fort - Powder 1★ #623</v>
      </c>
      <c r="L38" s="332" t="str">
        <f>IFERROR(__xludf.DUMMYFUNCTION("""COMPUTED_VALUE"""),"Skull Isle - Spyglass 1★")</f>
        <v>Skull Isle - Spyglass 1★</v>
      </c>
      <c r="M38" s="331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1)=L38)))"),2.0)</f>
        <v>2</v>
      </c>
      <c r="O38" s="316" t="str">
        <f>IFERROR(__xludf.DUMMYFUNCTION("""COMPUTED_VALUE"""),"Skull Isle - Map 1★ #ACE")</f>
        <v>Skull Isle - Map 1★ #ACE</v>
      </c>
      <c r="P38" s="246">
        <f>IFERROR(__xludf.DUMMYFUNCTION("""COMPUTED_VALUE"""),50.0)</f>
        <v>50</v>
      </c>
      <c r="Q38" s="315">
        <f>IFERROR(__xludf.DUMMYFUNCTION("if(P38="""", """", P38/sum(filter($P$16:$P$949, $P$16:$P$949&lt;&gt;"""")))"),0.0024423602969910123)</f>
        <v>0.002442360297</v>
      </c>
    </row>
    <row r="39" ht="12.75" customHeight="1">
      <c r="A39" s="322" t="str">
        <f>AlbumConfig!B26&amp;" "&amp;AlbumConfig!E26</f>
        <v>Gold Cove - Goblet 3★</v>
      </c>
      <c r="B39" s="341">
        <f>IFERROR(__xludf.DUMMYFUNCTION("index($B$3:$B$7, right(index(split(A39, ""★""),0,1)), 0)"),10.0)</f>
        <v>10</v>
      </c>
      <c r="C39" s="341">
        <f>IFERROR(__xludf.DUMMYFUNCTION("LET(
  ct, COUNTIF(ARRAYFORMULA(RIGHT(SPLIT($A$16:$A39, ""★""), 1)), TO_TEXT(RIGHT(SPLIT(A39, ""★""), 1))),
  n, index($C$3:$C$7, right(index(split(A39, ""★""), 0, 1), 1), 0),
  total, index($D$3:$D$7, right(index(split(A39, ""★""), 0, 1), 1), 0),
  base,"&amp;" INT(total/n),
  rem, total - base*n,
  index(MAP(SEQUENCE(n), LAMBDA(i, IF(i &lt;= rem, base+1, base))), ct, 0)
)"),13.0)</f>
        <v>13</v>
      </c>
      <c r="G39" s="316" t="s">
        <v>778</v>
      </c>
      <c r="H39" s="246">
        <v>50.0</v>
      </c>
      <c r="I39" s="315">
        <v>0.0024423602969910123</v>
      </c>
      <c r="K39" s="326" t="str">
        <f>IFERROR(__xludf.DUMMYFUNCTION("""COMPUTED_VALUE"""),"Skull Isle - Compass 1★ #4AA")</f>
        <v>Skull Isle - Compass 1★ #4AA</v>
      </c>
      <c r="L39" s="332" t="str">
        <f>IFERROR(__xludf.DUMMYFUNCTION("""COMPUTED_VALUE"""),"Kraken Lair - Pearl 1★")</f>
        <v>Kraken Lair - Pearl 1★</v>
      </c>
      <c r="M39" s="331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1)=L39)))"),1.0)</f>
        <v>1</v>
      </c>
      <c r="O39" s="316" t="str">
        <f>IFERROR(__xludf.DUMMYFUNCTION("""COMPUTED_VALUE"""),"Skull Isle - Map 1★ #583")</f>
        <v>Skull Isle - Map 1★ #583</v>
      </c>
      <c r="P39" s="246">
        <f>IFERROR(__xludf.DUMMYFUNCTION("""COMPUTED_VALUE"""),50.0)</f>
        <v>50</v>
      </c>
      <c r="Q39" s="315">
        <f>IFERROR(__xludf.DUMMYFUNCTION("if(P39="""", """", P39/sum(filter($P$16:$P$949, $P$16:$P$949&lt;&gt;"""")))"),0.0024423602969910123)</f>
        <v>0.002442360297</v>
      </c>
    </row>
    <row r="40" ht="12.75" customHeight="1">
      <c r="A40" s="322" t="str">
        <f>AlbumConfig!B27&amp;" "&amp;AlbumConfig!E27</f>
        <v>Gold Cove - Necklace 4★</v>
      </c>
      <c r="B40" s="341">
        <f>IFERROR(__xludf.DUMMYFUNCTION("index($B$3:$B$7, right(index(split(A40, ""★""),0,1)), 0)"),5.0)</f>
        <v>5</v>
      </c>
      <c r="C40" s="341">
        <f>IFERROR(__xludf.DUMMYFUNCTION("LET(
  ct, COUNTIF(ARRAYFORMULA(RIGHT(SPLIT($A$16:$A40, ""★""), 1)), TO_TEXT(RIGHT(SPLIT(A40, ""★""), 1))),
  n, index($C$3:$C$7, right(index(split(A40, ""★""), 0, 1), 1), 0),
  total, index($D$3:$D$7, right(index(split(A40, ""★""), 0, 1), 1), 0),
  base,"&amp;" INT(total/n),
  rem, total - base*n,
  index(MAP(SEQUENCE(n), LAMBDA(i, IF(i &lt;= rem, base+1, base))), ct, 0)
)"),12.0)</f>
        <v>12</v>
      </c>
      <c r="G40" s="316" t="s">
        <v>779</v>
      </c>
      <c r="H40" s="246">
        <v>50.0</v>
      </c>
      <c r="I40" s="315">
        <v>0.0024423602969910123</v>
      </c>
      <c r="K40" s="326" t="str">
        <f>IFERROR(__xludf.DUMMYFUNCTION("""COMPUTED_VALUE"""),"Storm Port - Rope 2★ #D55")</f>
        <v>Storm Port - Rope 2★ #D55</v>
      </c>
      <c r="L40" s="332" t="str">
        <f>IFERROR(__xludf.DUMMYFUNCTION("""COMPUTED_VALUE"""),"Cannon Fort - Powder 1★")</f>
        <v>Cannon Fort - Powder 1★</v>
      </c>
      <c r="M40" s="331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1)=L40)))"),4.0)</f>
        <v>4</v>
      </c>
      <c r="O40" s="316" t="str">
        <f>IFERROR(__xludf.DUMMYFUNCTION("""COMPUTED_VALUE"""),"Skull Isle - Map 1★ #038")</f>
        <v>Skull Isle - Map 1★ #038</v>
      </c>
      <c r="P40" s="246">
        <f>IFERROR(__xludf.DUMMYFUNCTION("""COMPUTED_VALUE"""),50.0)</f>
        <v>50</v>
      </c>
      <c r="Q40" s="315">
        <f>IFERROR(__xludf.DUMMYFUNCTION("if(P40="""", """", P40/sum(filter($P$16:$P$949, $P$16:$P$949&lt;&gt;"""")))"),0.0024423602969910123)</f>
        <v>0.002442360297</v>
      </c>
    </row>
    <row r="41" ht="12.75" customHeight="1">
      <c r="A41" s="322" t="str">
        <f>AlbumConfig!B28&amp;" "&amp;AlbumConfig!E28</f>
        <v>Gold Cove - Ring 4★</v>
      </c>
      <c r="B41" s="341">
        <f>IFERROR(__xludf.DUMMYFUNCTION("index($B$3:$B$7, right(index(split(A41, ""★""),0,1)), 0)"),5.0)</f>
        <v>5</v>
      </c>
      <c r="C41" s="341">
        <f>IFERROR(__xludf.DUMMYFUNCTION("LET(
  ct, COUNTIF(ARRAYFORMULA(RIGHT(SPLIT($A$16:$A41, ""★""), 1)), TO_TEXT(RIGHT(SPLIT(A41, ""★""), 1))),
  n, index($C$3:$C$7, right(index(split(A41, ""★""), 0, 1), 1), 0),
  total, index($D$3:$D$7, right(index(split(A41, ""★""), 0, 1), 1), 0),
  base,"&amp;" INT(total/n),
  rem, total - base*n,
  index(MAP(SEQUENCE(n), LAMBDA(i, IF(i &lt;= rem, base+1, base))), ct, 0)
)"),11.0)</f>
        <v>11</v>
      </c>
      <c r="G41" s="316" t="s">
        <v>780</v>
      </c>
      <c r="H41" s="246">
        <v>50.0</v>
      </c>
      <c r="I41" s="315">
        <v>0.0024423602969910123</v>
      </c>
      <c r="K41" s="326" t="str">
        <f>IFERROR(__xludf.DUMMYFUNCTION("""COMPUTED_VALUE"""),"Dead Man Bay - Rum 1★ #81C")</f>
        <v>Dead Man Bay - Rum 1★ #81C</v>
      </c>
      <c r="L41" s="332" t="str">
        <f>IFERROR(__xludf.DUMMYFUNCTION("""COMPUTED_VALUE"""),"Gold Cove - Crown 2★")</f>
        <v>Gold Cove - Crown 2★</v>
      </c>
      <c r="M41" s="331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1)=L41)))"),2.0)</f>
        <v>2</v>
      </c>
      <c r="O41" s="316" t="str">
        <f>IFERROR(__xludf.DUMMYFUNCTION("""COMPUTED_VALUE"""),"Skull Isle - Map 1★ #AED")</f>
        <v>Skull Isle - Map 1★ #AED</v>
      </c>
      <c r="P41" s="246">
        <f>IFERROR(__xludf.DUMMYFUNCTION("""COMPUTED_VALUE"""),50.0)</f>
        <v>50</v>
      </c>
      <c r="Q41" s="315">
        <f>IFERROR(__xludf.DUMMYFUNCTION("if(P41="""", """", P41/sum(filter($P$16:$P$949, $P$16:$P$949&lt;&gt;"""")))"),0.0024423602969910123)</f>
        <v>0.002442360297</v>
      </c>
    </row>
    <row r="42" ht="12.75" customHeight="1">
      <c r="A42" s="322" t="str">
        <f>AlbumConfig!B29&amp;" "&amp;AlbumConfig!E29</f>
        <v>Gold Cove - Scepter 5★</v>
      </c>
      <c r="B42" s="341">
        <f>IFERROR(__xludf.DUMMYFUNCTION("index($B$3:$B$7, right(index(split(A42, ""★""),0,1)), 0)"),2.0)</f>
        <v>2</v>
      </c>
      <c r="C42" s="341">
        <f>IFERROR(__xludf.DUMMYFUNCTION("LET(
  ct, COUNTIF(ARRAYFORMULA(RIGHT(SPLIT($A$16:$A42, ""★""), 1)), TO_TEXT(RIGHT(SPLIT(A42, ""★""), 1))),
  n, index($C$3:$C$7, right(index(split(A42, ""★""), 0, 1), 1), 0),
  total, index($D$3:$D$7, right(index(split(A42, ""★""), 0, 1), 1), 0),
  base,"&amp;" INT(total/n),
  rem, total - base*n,
  index(MAP(SEQUENCE(n), LAMBDA(i, IF(i &lt;= rem, base+1, base))), ct, 0)
)"),6.0)</f>
        <v>6</v>
      </c>
      <c r="G42" s="316" t="s">
        <v>781</v>
      </c>
      <c r="H42" s="246">
        <v>50.0</v>
      </c>
      <c r="I42" s="315">
        <v>0.0024423602969910123</v>
      </c>
      <c r="K42" s="326" t="str">
        <f>IFERROR(__xludf.DUMMYFUNCTION("""COMPUTED_VALUE"""),"Kraken Lair - Trident 1★ #5E9")</f>
        <v>Kraken Lair - Trident 1★ #5E9</v>
      </c>
      <c r="L42" s="332" t="str">
        <f>IFERROR(__xludf.DUMMYFUNCTION("""COMPUTED_VALUE"""),"Skull Isle - Helm 2★")</f>
        <v>Skull Isle - Helm 2★</v>
      </c>
      <c r="M42" s="331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1)=L42)))"),2.0)</f>
        <v>2</v>
      </c>
      <c r="O42" s="316" t="str">
        <f>IFERROR(__xludf.DUMMYFUNCTION("""COMPUTED_VALUE"""),"Skull Isle - Map 1★ #5A2")</f>
        <v>Skull Isle - Map 1★ #5A2</v>
      </c>
      <c r="P42" s="246">
        <f>IFERROR(__xludf.DUMMYFUNCTION("""COMPUTED_VALUE"""),50.0)</f>
        <v>50</v>
      </c>
      <c r="Q42" s="315">
        <f>IFERROR(__xludf.DUMMYFUNCTION("if(P42="""", """", P42/sum(filter($P$16:$P$949, $P$16:$P$949&lt;&gt;"""")))"),0.0024423602969910123)</f>
        <v>0.002442360297</v>
      </c>
    </row>
    <row r="43" ht="12.75" customHeight="1">
      <c r="A43" s="322" t="str">
        <f>AlbumConfig!B30&amp;" "&amp;AlbumConfig!E30</f>
        <v>Ghost Ship - Fog Horn 1★</v>
      </c>
      <c r="B43" s="341">
        <f>IFERROR(__xludf.DUMMYFUNCTION("index($B$3:$B$7, right(index(split(A43, ""★""),0,1)), 0)"),50.0)</f>
        <v>50</v>
      </c>
      <c r="C43" s="341">
        <f>IFERROR(__xludf.DUMMYFUNCTION("LET(
  ct, COUNTIF(ARRAYFORMULA(RIGHT(SPLIT($A$16:$A43, ""★""), 1)), TO_TEXT(RIGHT(SPLIT(A43, ""★""), 1))),
  n, index($C$3:$C$7, right(index(split(A43, ""★""), 0, 1), 1), 0),
  total, index($D$3:$D$7, right(index(split(A43, ""★""), 0, 1), 1), 0),
  base,"&amp;" INT(total/n),
  rem, total - base*n,
  index(MAP(SEQUENCE(n), LAMBDA(i, IF(i &lt;= rem, base+1, base))), ct, 0)
)"),13.0)</f>
        <v>13</v>
      </c>
      <c r="G43" s="316" t="s">
        <v>782</v>
      </c>
      <c r="H43" s="246">
        <v>50.0</v>
      </c>
      <c r="I43" s="315">
        <v>0.0024423602969910123</v>
      </c>
      <c r="K43" s="326" t="str">
        <f>IFERROR(__xludf.DUMMYFUNCTION("""COMPUTED_VALUE"""),"Gold Cove - Doubloon 1★ #E98")</f>
        <v>Gold Cove - Doubloon 1★ #E98</v>
      </c>
      <c r="L43" s="332" t="str">
        <f>IFERROR(__xludf.DUMMYFUNCTION("""COMPUTED_VALUE"""),"Gold Cove - Diamond 2★")</f>
        <v>Gold Cove - Diamond 2★</v>
      </c>
      <c r="M43" s="331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1)=L43)))"),1.0)</f>
        <v>1</v>
      </c>
      <c r="O43" s="316" t="str">
        <f>IFERROR(__xludf.DUMMYFUNCTION("""COMPUTED_VALUE"""),"Skull Isle - Map 1★ #057")</f>
        <v>Skull Isle - Map 1★ #057</v>
      </c>
      <c r="P43" s="246">
        <f>IFERROR(__xludf.DUMMYFUNCTION("""COMPUTED_VALUE"""),50.0)</f>
        <v>50</v>
      </c>
      <c r="Q43" s="315">
        <f>IFERROR(__xludf.DUMMYFUNCTION("if(P43="""", """", P43/sum(filter($P$16:$P$949, $P$16:$P$949&lt;&gt;"""")))"),0.0024423602969910123)</f>
        <v>0.002442360297</v>
      </c>
    </row>
    <row r="44" ht="12.75" customHeight="1">
      <c r="A44" s="322" t="str">
        <f>AlbumConfig!B31&amp;" "&amp;AlbumConfig!E31</f>
        <v>Ghost Ship - Sail 1★</v>
      </c>
      <c r="B44" s="341">
        <f>IFERROR(__xludf.DUMMYFUNCTION("index($B$3:$B$7, right(index(split(A44, ""★""),0,1)), 0)"),50.0)</f>
        <v>50</v>
      </c>
      <c r="C44" s="341">
        <f>IFERROR(__xludf.DUMMYFUNCTION("LET(
  ct, COUNTIF(ARRAYFORMULA(RIGHT(SPLIT($A$16:$A44, ""★""), 1)), TO_TEXT(RIGHT(SPLIT(A44, ""★""), 1))),
  n, index($C$3:$C$7, right(index(split(A44, ""★""), 0, 1), 1), 0),
  total, index($D$3:$D$7, right(index(split(A44, ""★""), 0, 1), 1), 0),
  base,"&amp;" INT(total/n),
  rem, total - base*n,
  index(MAP(SEQUENCE(n), LAMBDA(i, IF(i &lt;= rem, base+1, base))), ct, 0)
)"),13.0)</f>
        <v>13</v>
      </c>
      <c r="G44" s="316" t="s">
        <v>622</v>
      </c>
      <c r="H44" s="246">
        <v>50.0</v>
      </c>
      <c r="I44" s="315">
        <v>0.0024423602969910123</v>
      </c>
      <c r="K44" s="326" t="str">
        <f>IFERROR(__xludf.DUMMYFUNCTION("""COMPUTED_VALUE"""),"Dead Man Bay - Rum 1★ #D67")</f>
        <v>Dead Man Bay - Rum 1★ #D67</v>
      </c>
      <c r="L44" s="332" t="str">
        <f>IFERROR(__xludf.DUMMYFUNCTION("""COMPUTED_VALUE"""),"Dead Man Bay - Treasure Map 2★")</f>
        <v>Dead Man Bay - Treasure Map 2★</v>
      </c>
      <c r="M44" s="331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1)=L44)))"),2.0)</f>
        <v>2</v>
      </c>
      <c r="O44" s="316" t="str">
        <f>IFERROR(__xludf.DUMMYFUNCTION("""COMPUTED_VALUE"""),"Skull Isle - Spyglass 1★ #B0C")</f>
        <v>Skull Isle - Spyglass 1★ #B0C</v>
      </c>
      <c r="P44" s="246">
        <f>IFERROR(__xludf.DUMMYFUNCTION("""COMPUTED_VALUE"""),50.0)</f>
        <v>50</v>
      </c>
      <c r="Q44" s="315">
        <f>IFERROR(__xludf.DUMMYFUNCTION("if(P44="""", """", P44/sum(filter($P$16:$P$949, $P$16:$P$949&lt;&gt;"""")))"),0.0024423602969910123)</f>
        <v>0.002442360297</v>
      </c>
    </row>
    <row r="45" ht="12.75" customHeight="1">
      <c r="A45" s="322" t="str">
        <f>AlbumConfig!B32&amp;" "&amp;AlbumConfig!E32</f>
        <v>Ghost Ship - Ghost Lamp 2★</v>
      </c>
      <c r="B45" s="341">
        <f>IFERROR(__xludf.DUMMYFUNCTION("index($B$3:$B$7, right(index(split(A45, ""★""),0,1)), 0)"),20.0)</f>
        <v>20</v>
      </c>
      <c r="C45" s="341">
        <f>IFERROR(__xludf.DUMMYFUNCTION("LET(
  ct, COUNTIF(ARRAYFORMULA(RIGHT(SPLIT($A$16:$A45, ""★""), 1)), TO_TEXT(RIGHT(SPLIT(A45, ""★""), 1))),
  n, index($C$3:$C$7, right(index(split(A45, ""★""), 0, 1), 1), 0),
  total, index($D$3:$D$7, right(index(split(A45, ""★""), 0, 1), 1), 0),
  base,"&amp;" INT(total/n),
  rem, total - base*n,
  index(MAP(SEQUENCE(n), LAMBDA(i, IF(i &lt;= rem, base+1, base))), ct, 0)
)"),13.0)</f>
        <v>13</v>
      </c>
      <c r="G45" s="316" t="s">
        <v>625</v>
      </c>
      <c r="H45" s="246">
        <v>50.0</v>
      </c>
      <c r="I45" s="315">
        <v>0.0024423602969910123</v>
      </c>
      <c r="K45" s="326" t="str">
        <f>IFERROR(__xludf.DUMMYFUNCTION("""COMPUTED_VALUE"""),"Gold Cove - Doubloon 1★ #421")</f>
        <v>Gold Cove - Doubloon 1★ #421</v>
      </c>
      <c r="L45" s="332" t="str">
        <f>IFERROR(__xludf.DUMMYFUNCTION("""COMPUTED_VALUE"""),"Storm Port - Lightning 1★")</f>
        <v>Storm Port - Lightning 1★</v>
      </c>
      <c r="M45" s="331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1)=L45)))"),3.0)</f>
        <v>3</v>
      </c>
      <c r="O45" s="316" t="str">
        <f>IFERROR(__xludf.DUMMYFUNCTION("""COMPUTED_VALUE"""),"Skull Isle - Spyglass 1★ #5C1")</f>
        <v>Skull Isle - Spyglass 1★ #5C1</v>
      </c>
      <c r="P45" s="246">
        <f>IFERROR(__xludf.DUMMYFUNCTION("""COMPUTED_VALUE"""),50.0)</f>
        <v>50</v>
      </c>
      <c r="Q45" s="315">
        <f>IFERROR(__xludf.DUMMYFUNCTION("if(P45="""", """", P45/sum(filter($P$16:$P$949, $P$16:$P$949&lt;&gt;"""")))"),0.0024423602969910123)</f>
        <v>0.002442360297</v>
      </c>
    </row>
    <row r="46" ht="12.75" customHeight="1">
      <c r="A46" s="322" t="str">
        <f>AlbumConfig!B33&amp;" "&amp;AlbumConfig!E33</f>
        <v>Ghost Ship - Key 2★</v>
      </c>
      <c r="B46" s="341">
        <f>IFERROR(__xludf.DUMMYFUNCTION("index($B$3:$B$7, right(index(split(A46, ""★""),0,1)), 0)"),20.0)</f>
        <v>20</v>
      </c>
      <c r="C46" s="341">
        <f>IFERROR(__xludf.DUMMYFUNCTION("LET(
  ct, COUNTIF(ARRAYFORMULA(RIGHT(SPLIT($A$16:$A46, ""★""), 1)), TO_TEXT(RIGHT(SPLIT(A46, ""★""), 1))),
  n, index($C$3:$C$7, right(index(split(A46, ""★""), 0, 1), 1), 0),
  total, index($D$3:$D$7, right(index(split(A46, ""★""), 0, 1), 1), 0),
  base,"&amp;" INT(total/n),
  rem, total - base*n,
  index(MAP(SEQUENCE(n), LAMBDA(i, IF(i &lt;= rem, base+1, base))), ct, 0)
)"),13.0)</f>
        <v>13</v>
      </c>
      <c r="G46" s="316" t="s">
        <v>783</v>
      </c>
      <c r="H46" s="246">
        <v>50.0</v>
      </c>
      <c r="I46" s="315">
        <v>0.0024423602969910123</v>
      </c>
      <c r="K46" s="326" t="str">
        <f>IFERROR(__xludf.DUMMYFUNCTION("""COMPUTED_VALUE"""),"Storm Port - Flare 3★ #3B7")</f>
        <v>Storm Port - Flare 3★ #3B7</v>
      </c>
      <c r="L46" s="332" t="str">
        <f>IFERROR(__xludf.DUMMYFUNCTION("""COMPUTED_VALUE"""),"Ghost Ship - Sail 1★")</f>
        <v>Ghost Ship - Sail 1★</v>
      </c>
      <c r="M46" s="331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1)=L46)))"),3.0)</f>
        <v>3</v>
      </c>
      <c r="O46" s="316" t="str">
        <f>IFERROR(__xludf.DUMMYFUNCTION("""COMPUTED_VALUE"""),"Skull Isle - Spyglass 1★ #076")</f>
        <v>Skull Isle - Spyglass 1★ #076</v>
      </c>
      <c r="P46" s="246">
        <f>IFERROR(__xludf.DUMMYFUNCTION("""COMPUTED_VALUE"""),50.0)</f>
        <v>50</v>
      </c>
      <c r="Q46" s="315">
        <f>IFERROR(__xludf.DUMMYFUNCTION("if(P46="""", """", P46/sum(filter($P$16:$P$949, $P$16:$P$949&lt;&gt;"""")))"),0.0024423602969910123)</f>
        <v>0.002442360297</v>
      </c>
    </row>
    <row r="47" ht="12.75" customHeight="1">
      <c r="A47" s="322" t="str">
        <f>AlbumConfig!B34&amp;" "&amp;AlbumConfig!E34</f>
        <v>Ghost Ship - Plank 3★</v>
      </c>
      <c r="B47" s="341">
        <f>IFERROR(__xludf.DUMMYFUNCTION("index($B$3:$B$7, right(index(split(A47, ""★""),0,1)), 0)"),10.0)</f>
        <v>10</v>
      </c>
      <c r="C47" s="341">
        <f>IFERROR(__xludf.DUMMYFUNCTION("LET(
  ct, COUNTIF(ARRAYFORMULA(RIGHT(SPLIT($A$16:$A47, ""★""), 1)), TO_TEXT(RIGHT(SPLIT(A47, ""★""), 1))),
  n, index($C$3:$C$7, right(index(split(A47, ""★""), 0, 1), 1), 0),
  total, index($D$3:$D$7, right(index(split(A47, ""★""), 0, 1), 1), 0),
  base,"&amp;" INT(total/n),
  rem, total - base*n,
  index(MAP(SEQUENCE(n), LAMBDA(i, IF(i &lt;= rem, base+1, base))), ct, 0)
)"),13.0)</f>
        <v>13</v>
      </c>
      <c r="G47" s="316" t="s">
        <v>784</v>
      </c>
      <c r="H47" s="246">
        <v>50.0</v>
      </c>
      <c r="I47" s="315">
        <v>0.0024423602969910123</v>
      </c>
      <c r="K47" s="326" t="str">
        <f>IFERROR(__xludf.DUMMYFUNCTION("""COMPUTED_VALUE"""),"Siren Reef - Mirror 1★ #43C")</f>
        <v>Siren Reef - Mirror 1★ #43C</v>
      </c>
      <c r="L47" s="332" t="str">
        <f>IFERROR(__xludf.DUMMYFUNCTION("""COMPUTED_VALUE"""),"Kraken Lair - Tentacle 1★")</f>
        <v>Kraken Lair - Tentacle 1★</v>
      </c>
      <c r="M47" s="331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1)=L47)))"),3.0)</f>
        <v>3</v>
      </c>
      <c r="O47" s="316" t="str">
        <f>IFERROR(__xludf.DUMMYFUNCTION("""COMPUTED_VALUE"""),"Skull Isle - Spyglass 1★ #B2B")</f>
        <v>Skull Isle - Spyglass 1★ #B2B</v>
      </c>
      <c r="P47" s="246">
        <f>IFERROR(__xludf.DUMMYFUNCTION("""COMPUTED_VALUE"""),50.0)</f>
        <v>50</v>
      </c>
      <c r="Q47" s="315">
        <f>IFERROR(__xludf.DUMMYFUNCTION("if(P47="""", """", P47/sum(filter($P$16:$P$949, $P$16:$P$949&lt;&gt;"""")))"),0.0024423602969910123)</f>
        <v>0.002442360297</v>
      </c>
    </row>
    <row r="48" ht="12.75" customHeight="1">
      <c r="A48" s="322" t="str">
        <f>AlbumConfig!B35&amp;" "&amp;AlbumConfig!E35</f>
        <v>Ghost Ship - Nest 3★</v>
      </c>
      <c r="B48" s="341">
        <f>IFERROR(__xludf.DUMMYFUNCTION("index($B$3:$B$7, right(index(split(A48, ""★""),0,1)), 0)"),10.0)</f>
        <v>10</v>
      </c>
      <c r="C48" s="341">
        <f>IFERROR(__xludf.DUMMYFUNCTION("LET(
  ct, COUNTIF(ARRAYFORMULA(RIGHT(SPLIT($A$16:$A48, ""★""), 1)), TO_TEXT(RIGHT(SPLIT(A48, ""★""), 1))),
  n, index($C$3:$C$7, right(index(split(A48, ""★""), 0, 1), 1), 0),
  total, index($D$3:$D$7, right(index(split(A48, ""★""), 0, 1), 1), 0),
  base,"&amp;" INT(total/n),
  rem, total - base*n,
  index(MAP(SEQUENCE(n), LAMBDA(i, IF(i &lt;= rem, base+1, base))), ct, 0)
)"),13.0)</f>
        <v>13</v>
      </c>
      <c r="G48" s="316" t="s">
        <v>785</v>
      </c>
      <c r="H48" s="246">
        <v>50.0</v>
      </c>
      <c r="I48" s="315">
        <v>0.0024423602969910123</v>
      </c>
      <c r="K48" s="326" t="str">
        <f>IFERROR(__xludf.DUMMYFUNCTION("""COMPUTED_VALUE"""),"Ghost Ship - Sail 1★ #351")</f>
        <v>Ghost Ship - Sail 1★ #351</v>
      </c>
      <c r="L48" s="332" t="str">
        <f>IFERROR(__xludf.DUMMYFUNCTION("""COMPUTED_VALUE"""),"Skull Isle - Cutlass 2★")</f>
        <v>Skull Isle - Cutlass 2★</v>
      </c>
      <c r="M48" s="331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1)=L48)))"),2.0)</f>
        <v>2</v>
      </c>
      <c r="O48" s="316" t="str">
        <f>IFERROR(__xludf.DUMMYFUNCTION("""COMPUTED_VALUE"""),"Skull Isle - Spyglass 1★ #5E0")</f>
        <v>Skull Isle - Spyglass 1★ #5E0</v>
      </c>
      <c r="P48" s="246">
        <f>IFERROR(__xludf.DUMMYFUNCTION("""COMPUTED_VALUE"""),50.0)</f>
        <v>50</v>
      </c>
      <c r="Q48" s="315">
        <f>IFERROR(__xludf.DUMMYFUNCTION("if(P48="""", """", P48/sum(filter($P$16:$P$949, $P$16:$P$949&lt;&gt;"""")))"),0.0024423602969910123)</f>
        <v>0.002442360297</v>
      </c>
    </row>
    <row r="49" ht="12.75" customHeight="1">
      <c r="A49" s="322" t="str">
        <f>AlbumConfig!B36&amp;" "&amp;AlbumConfig!E36</f>
        <v>Ghost Ship - Flag 4★</v>
      </c>
      <c r="B49" s="341">
        <f>IFERROR(__xludf.DUMMYFUNCTION("index($B$3:$B$7, right(index(split(A49, ""★""),0,1)), 0)"),5.0)</f>
        <v>5</v>
      </c>
      <c r="C49" s="341">
        <f>IFERROR(__xludf.DUMMYFUNCTION("LET(
  ct, COUNTIF(ARRAYFORMULA(RIGHT(SPLIT($A$16:$A49, ""★""), 1)), TO_TEXT(RIGHT(SPLIT(A49, ""★""), 1))),
  n, index($C$3:$C$7, right(index(split(A49, ""★""), 0, 1), 1), 0),
  total, index($D$3:$D$7, right(index(split(A49, ""★""), 0, 1), 1), 0),
  base,"&amp;" INT(total/n),
  rem, total - base*n,
  index(MAP(SEQUENCE(n), LAMBDA(i, IF(i &lt;= rem, base+1, base))), ct, 0)
)"),11.0)</f>
        <v>11</v>
      </c>
      <c r="G49" s="316" t="s">
        <v>786</v>
      </c>
      <c r="H49" s="246">
        <v>50.0</v>
      </c>
      <c r="I49" s="315">
        <v>0.0024423602969910123</v>
      </c>
      <c r="K49" s="326" t="str">
        <f>IFERROR(__xludf.DUMMYFUNCTION("""COMPUTED_VALUE"""),"Siren Reef - Mirror 1★ #A03")</f>
        <v>Siren Reef - Mirror 1★ #A03</v>
      </c>
      <c r="L49" s="332" t="str">
        <f>IFERROR(__xludf.DUMMYFUNCTION("""COMPUTED_VALUE"""),"Kraken Lair - Coral 2★")</f>
        <v>Kraken Lair - Coral 2★</v>
      </c>
      <c r="M49" s="331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1)=L49)))"),1.0)</f>
        <v>1</v>
      </c>
      <c r="O49" s="316" t="str">
        <f>IFERROR(__xludf.DUMMYFUNCTION("""COMPUTED_VALUE"""),"Skull Isle - Spyglass 1★ #095")</f>
        <v>Skull Isle - Spyglass 1★ #095</v>
      </c>
      <c r="P49" s="246">
        <f>IFERROR(__xludf.DUMMYFUNCTION("""COMPUTED_VALUE"""),50.0)</f>
        <v>50</v>
      </c>
      <c r="Q49" s="315">
        <f>IFERROR(__xludf.DUMMYFUNCTION("if(P49="""", """", P49/sum(filter($P$16:$P$949, $P$16:$P$949&lt;&gt;"""")))"),0.0024423602969910123)</f>
        <v>0.002442360297</v>
      </c>
    </row>
    <row r="50" ht="12.75" customHeight="1">
      <c r="A50" s="322" t="str">
        <f>AlbumConfig!B37&amp;" "&amp;AlbumConfig!E37</f>
        <v>Ghost Ship - Chain 4★</v>
      </c>
      <c r="B50" s="341">
        <f>IFERROR(__xludf.DUMMYFUNCTION("index($B$3:$B$7, right(index(split(A50, ""★""),0,1)), 0)"),5.0)</f>
        <v>5</v>
      </c>
      <c r="C50" s="341">
        <f>IFERROR(__xludf.DUMMYFUNCTION("LET(
  ct, COUNTIF(ARRAYFORMULA(RIGHT(SPLIT($A$16:$A50, ""★""), 1)), TO_TEXT(RIGHT(SPLIT(A50, ""★""), 1))),
  n, index($C$3:$C$7, right(index(split(A50, ""★""), 0, 1), 1), 0),
  total, index($D$3:$D$7, right(index(split(A50, ""★""), 0, 1), 1), 0),
  base,"&amp;" INT(total/n),
  rem, total - base*n,
  index(MAP(SEQUENCE(n), LAMBDA(i, IF(i &lt;= rem, base+1, base))), ct, 0)
)"),11.0)</f>
        <v>11</v>
      </c>
      <c r="G50" s="316" t="s">
        <v>787</v>
      </c>
      <c r="H50" s="246">
        <v>50.0</v>
      </c>
      <c r="I50" s="315">
        <v>0.0024423602969910123</v>
      </c>
      <c r="K50" s="326" t="str">
        <f>IFERROR(__xludf.DUMMYFUNCTION("""COMPUTED_VALUE"""),"Skull Isle - Map 1★ #526")</f>
        <v>Skull Isle - Map 1★ #526</v>
      </c>
      <c r="L50" s="246" t="str">
        <f>IFERROR(__xludf.DUMMYFUNCTION("""COMPUTED_VALUE"""),"Skull Isle - Compass 1★")</f>
        <v>Skull Isle - Compass 1★</v>
      </c>
      <c r="M50" s="331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1)=L50)))"),2.0)</f>
        <v>2</v>
      </c>
      <c r="O50" s="316" t="str">
        <f>IFERROR(__xludf.DUMMYFUNCTION("""COMPUTED_VALUE"""),"Skull Isle - Spyglass 1★ #B4A")</f>
        <v>Skull Isle - Spyglass 1★ #B4A</v>
      </c>
      <c r="P50" s="246">
        <f>IFERROR(__xludf.DUMMYFUNCTION("""COMPUTED_VALUE"""),50.0)</f>
        <v>50</v>
      </c>
      <c r="Q50" s="315">
        <f>IFERROR(__xludf.DUMMYFUNCTION("if(P50="""", """", P50/sum(filter($P$16:$P$949, $P$16:$P$949&lt;&gt;"""")))"),0.0024423602969910123)</f>
        <v>0.002442360297</v>
      </c>
    </row>
    <row r="51" ht="12.75" customHeight="1">
      <c r="A51" s="322" t="str">
        <f>AlbumConfig!B38&amp;" "&amp;AlbumConfig!E38</f>
        <v>Ghost Ship - Log 5★</v>
      </c>
      <c r="B51" s="341">
        <f>IFERROR(__xludf.DUMMYFUNCTION("index($B$3:$B$7, right(index(split(A51, ""★""),0,1)), 0)"),2.0)</f>
        <v>2</v>
      </c>
      <c r="C51" s="341">
        <f>IFERROR(__xludf.DUMMYFUNCTION("LET(
  ct, COUNTIF(ARRAYFORMULA(RIGHT(SPLIT($A$16:$A51, ""★""), 1)), TO_TEXT(RIGHT(SPLIT(A51, ""★""), 1))),
  n, index($C$3:$C$7, right(index(split(A51, ""★""), 0, 1), 1), 0),
  total, index($D$3:$D$7, right(index(split(A51, ""★""), 0, 1), 1), 0),
  base,"&amp;" INT(total/n),
  rem, total - base*n,
  index(MAP(SEQUENCE(n), LAMBDA(i, IF(i &lt;= rem, base+1, base))), ct, 0)
)"),5.0)</f>
        <v>5</v>
      </c>
      <c r="G51" s="316" t="s">
        <v>788</v>
      </c>
      <c r="H51" s="246">
        <v>50.0</v>
      </c>
      <c r="I51" s="315">
        <v>0.0024423602969910123</v>
      </c>
      <c r="K51" s="246" t="str">
        <f>IFERROR(__xludf.DUMMYFUNCTION("""COMPUTED_VALUE"""),"Cannon Fort - War Flag 3★ #26B")</f>
        <v>Cannon Fort - War Flag 3★ #26B</v>
      </c>
      <c r="L51" s="246" t="str">
        <f>IFERROR(__xludf.DUMMYFUNCTION("""COMPUTED_VALUE"""),"Storm Port - Rope 2★")</f>
        <v>Storm Port - Rope 2★</v>
      </c>
      <c r="M51" s="331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1)=L51)))"),1.0)</f>
        <v>1</v>
      </c>
      <c r="O51" s="316" t="str">
        <f>IFERROR(__xludf.DUMMYFUNCTION("""COMPUTED_VALUE"""),"Skull Isle - Spyglass 1★ #5FF")</f>
        <v>Skull Isle - Spyglass 1★ #5FF</v>
      </c>
      <c r="P51" s="246">
        <f>IFERROR(__xludf.DUMMYFUNCTION("""COMPUTED_VALUE"""),50.0)</f>
        <v>50</v>
      </c>
      <c r="Q51" s="315">
        <f>IFERROR(__xludf.DUMMYFUNCTION("if(P51="""", """", P51/sum(filter($P$16:$P$949, $P$16:$P$949&lt;&gt;"""")))"),0.0024423602969910123)</f>
        <v>0.002442360297</v>
      </c>
    </row>
    <row r="52" ht="12.75" customHeight="1">
      <c r="A52" s="322" t="str">
        <f>AlbumConfig!B39&amp;" "&amp;AlbumConfig!E39</f>
        <v>Storm Port - Lightning 1★</v>
      </c>
      <c r="B52" s="341">
        <f>IFERROR(__xludf.DUMMYFUNCTION("index($B$3:$B$7, right(index(split(A52, ""★""),0,1)), 0)"),50.0)</f>
        <v>50</v>
      </c>
      <c r="C52" s="341">
        <f>IFERROR(__xludf.DUMMYFUNCTION("LET(
  ct, COUNTIF(ARRAYFORMULA(RIGHT(SPLIT($A$16:$A52, ""★""), 1)), TO_TEXT(RIGHT(SPLIT(A52, ""★""), 1))),
  n, index($C$3:$C$7, right(index(split(A52, ""★""), 0, 1), 1), 0),
  total, index($D$3:$D$7, right(index(split(A52, ""★""), 0, 1), 1), 0),
  base,"&amp;" INT(total/n),
  rem, total - base*n,
  index(MAP(SEQUENCE(n), LAMBDA(i, IF(i &lt;= rem, base+1, base))), ct, 0)
)"),13.0)</f>
        <v>13</v>
      </c>
      <c r="G52" s="316" t="s">
        <v>789</v>
      </c>
      <c r="H52" s="246">
        <v>50.0</v>
      </c>
      <c r="I52" s="315">
        <v>0.0024423602969910123</v>
      </c>
      <c r="K52" s="246" t="str">
        <f>IFERROR(__xludf.DUMMYFUNCTION("""COMPUTED_VALUE"""),"Cannon Fort - Cannonball 1★ #588")</f>
        <v>Cannon Fort - Cannonball 1★ #588</v>
      </c>
      <c r="L52" s="332" t="str">
        <f>IFERROR(__xludf.DUMMYFUNCTION("""COMPUTED_VALUE"""),"Dead Man Bay - Rum 1★")</f>
        <v>Dead Man Bay - Rum 1★</v>
      </c>
      <c r="M52" s="331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1)=L52)))"),2.0)</f>
        <v>2</v>
      </c>
      <c r="O52" s="316" t="str">
        <f>IFERROR(__xludf.DUMMYFUNCTION("""COMPUTED_VALUE"""),"Skull Isle - Spyglass 1★ #0B4")</f>
        <v>Skull Isle - Spyglass 1★ #0B4</v>
      </c>
      <c r="P52" s="246">
        <f>IFERROR(__xludf.DUMMYFUNCTION("""COMPUTED_VALUE"""),50.0)</f>
        <v>50</v>
      </c>
      <c r="Q52" s="315">
        <f>IFERROR(__xludf.DUMMYFUNCTION("if(P52="""", """", P52/sum(filter($P$16:$P$949, $P$16:$P$949&lt;&gt;"""")))"),0.0024423602969910123)</f>
        <v>0.002442360297</v>
      </c>
    </row>
    <row r="53" ht="12.75" customHeight="1">
      <c r="A53" s="322" t="str">
        <f>AlbumConfig!B40&amp;" "&amp;AlbumConfig!E40</f>
        <v>Storm Port - Barrel 1★</v>
      </c>
      <c r="B53" s="341">
        <f>IFERROR(__xludf.DUMMYFUNCTION("index($B$3:$B$7, right(index(split(A53, ""★""),0,1)), 0)"),50.0)</f>
        <v>50</v>
      </c>
      <c r="C53" s="341">
        <f>IFERROR(__xludf.DUMMYFUNCTION("LET(
  ct, COUNTIF(ARRAYFORMULA(RIGHT(SPLIT($A$16:$A53, ""★""), 1)), TO_TEXT(RIGHT(SPLIT(A53, ""★""), 1))),
  n, index($C$3:$C$7, right(index(split(A53, ""★""), 0, 1), 1), 0),
  total, index($D$3:$D$7, right(index(split(A53, ""★""), 0, 1), 1), 0),
  base,"&amp;" INT(total/n),
  rem, total - base*n,
  index(MAP(SEQUENCE(n), LAMBDA(i, IF(i &lt;= rem, base+1, base))), ct, 0)
)"),13.0)</f>
        <v>13</v>
      </c>
      <c r="G53" s="316" t="s">
        <v>790</v>
      </c>
      <c r="H53" s="246">
        <v>50.0</v>
      </c>
      <c r="I53" s="315">
        <v>0.0024423602969910123</v>
      </c>
      <c r="K53" s="246" t="str">
        <f>IFERROR(__xludf.DUMMYFUNCTION("""COMPUTED_VALUE"""),"Siren Reef - Moonstone 4★ #BF3")</f>
        <v>Siren Reef - Moonstone 4★ #BF3</v>
      </c>
      <c r="L53" s="332" t="str">
        <f>IFERROR(__xludf.DUMMYFUNCTION("""COMPUTED_VALUE"""),"Kraken Lair - Trident 1★")</f>
        <v>Kraken Lair - Trident 1★</v>
      </c>
      <c r="M53" s="331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1)=L53)))"),1.0)</f>
        <v>1</v>
      </c>
      <c r="O53" s="316" t="str">
        <f>IFERROR(__xludf.DUMMYFUNCTION("""COMPUTED_VALUE"""),"Skull Isle - Spyglass 1★ #B69")</f>
        <v>Skull Isle - Spyglass 1★ #B69</v>
      </c>
      <c r="P53" s="246">
        <f>IFERROR(__xludf.DUMMYFUNCTION("""COMPUTED_VALUE"""),50.0)</f>
        <v>50</v>
      </c>
      <c r="Q53" s="315">
        <f>IFERROR(__xludf.DUMMYFUNCTION("if(P53="""", """", P53/sum(filter($P$16:$P$949, $P$16:$P$949&lt;&gt;"""")))"),0.0024423602969910123)</f>
        <v>0.002442360297</v>
      </c>
    </row>
    <row r="54" ht="12.75" customHeight="1">
      <c r="A54" s="322" t="str">
        <f>AlbumConfig!B41&amp;" "&amp;AlbumConfig!E41</f>
        <v>Storm Port - Rope 2★</v>
      </c>
      <c r="B54" s="341">
        <f>IFERROR(__xludf.DUMMYFUNCTION("index($B$3:$B$7, right(index(split(A54, ""★""),0,1)), 0)"),20.0)</f>
        <v>20</v>
      </c>
      <c r="C54" s="341">
        <f>IFERROR(__xludf.DUMMYFUNCTION("LET(
  ct, COUNTIF(ARRAYFORMULA(RIGHT(SPLIT($A$16:$A54, ""★""), 1)), TO_TEXT(RIGHT(SPLIT(A54, ""★""), 1))),
  n, index($C$3:$C$7, right(index(split(A54, ""★""), 0, 1), 1), 0),
  total, index($D$3:$D$7, right(index(split(A54, ""★""), 0, 1), 1), 0),
  base,"&amp;" INT(total/n),
  rem, total - base*n,
  index(MAP(SEQUENCE(n), LAMBDA(i, IF(i &lt;= rem, base+1, base))), ct, 0)
)"),13.0)</f>
        <v>13</v>
      </c>
      <c r="G54" s="316" t="s">
        <v>791</v>
      </c>
      <c r="H54" s="246">
        <v>50.0</v>
      </c>
      <c r="I54" s="315">
        <v>0.0024423602969910123</v>
      </c>
      <c r="K54" s="246" t="str">
        <f>IFERROR(__xludf.DUMMYFUNCTION("""COMPUTED_VALUE"""),"Kraken Lair - Tentacle 1★ #982")</f>
        <v>Kraken Lair - Tentacle 1★ #982</v>
      </c>
      <c r="L54" s="332" t="str">
        <f>IFERROR(__xludf.DUMMYFUNCTION("""COMPUTED_VALUE"""),"Gold Cove - Doubloon 1★")</f>
        <v>Gold Cove - Doubloon 1★</v>
      </c>
      <c r="M54" s="331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1)=L54)))"),2.0)</f>
        <v>2</v>
      </c>
      <c r="O54" s="316" t="str">
        <f>IFERROR(__xludf.DUMMYFUNCTION("""COMPUTED_VALUE"""),"Skull Isle - Spyglass 1★ #61E")</f>
        <v>Skull Isle - Spyglass 1★ #61E</v>
      </c>
      <c r="P54" s="246">
        <f>IFERROR(__xludf.DUMMYFUNCTION("""COMPUTED_VALUE"""),50.0)</f>
        <v>50</v>
      </c>
      <c r="Q54" s="315">
        <f>IFERROR(__xludf.DUMMYFUNCTION("if(P54="""", """", P54/sum(filter($P$16:$P$949, $P$16:$P$949&lt;&gt;"""")))"),0.0024423602969910123)</f>
        <v>0.002442360297</v>
      </c>
    </row>
    <row r="55" ht="12.75" customHeight="1">
      <c r="A55" s="322" t="str">
        <f>AlbumConfig!B42&amp;" "&amp;AlbumConfig!E42</f>
        <v>Storm Port - Cleat 2★</v>
      </c>
      <c r="B55" s="341">
        <f>IFERROR(__xludf.DUMMYFUNCTION("index($B$3:$B$7, right(index(split(A55, ""★""),0,1)), 0)"),20.0)</f>
        <v>20</v>
      </c>
      <c r="C55" s="341">
        <f>IFERROR(__xludf.DUMMYFUNCTION("LET(
  ct, COUNTIF(ARRAYFORMULA(RIGHT(SPLIT($A$16:$A55, ""★""), 1)), TO_TEXT(RIGHT(SPLIT(A55, ""★""), 1))),
  n, index($C$3:$C$7, right(index(split(A55, ""★""), 0, 1), 1), 0),
  total, index($D$3:$D$7, right(index(split(A55, ""★""), 0, 1), 1), 0),
  base,"&amp;" INT(total/n),
  rem, total - base*n,
  index(MAP(SEQUENCE(n), LAMBDA(i, IF(i &lt;= rem, base+1, base))), ct, 0)
)"),13.0)</f>
        <v>13</v>
      </c>
      <c r="G55" s="316" t="s">
        <v>792</v>
      </c>
      <c r="H55" s="246">
        <v>50.0</v>
      </c>
      <c r="I55" s="315">
        <v>0.0024423602969910123</v>
      </c>
      <c r="K55" s="246" t="str">
        <f>IFERROR(__xludf.DUMMYFUNCTION("""COMPUTED_VALUE"""),"Skull Isle - Map 1★ #ACE")</f>
        <v>Skull Isle - Map 1★ #ACE</v>
      </c>
      <c r="L55" s="332" t="str">
        <f>IFERROR(__xludf.DUMMYFUNCTION("""COMPUTED_VALUE"""),"Storm Port - Flare 3★")</f>
        <v>Storm Port - Flare 3★</v>
      </c>
      <c r="M55" s="331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1)=L55)))"),1.0)</f>
        <v>1</v>
      </c>
      <c r="O55" s="316" t="str">
        <f>IFERROR(__xludf.DUMMYFUNCTION("""COMPUTED_VALUE"""),"Skull Isle - Spyglass 1★ #0D3")</f>
        <v>Skull Isle - Spyglass 1★ #0D3</v>
      </c>
      <c r="P55" s="246">
        <f>IFERROR(__xludf.DUMMYFUNCTION("""COMPUTED_VALUE"""),50.0)</f>
        <v>50</v>
      </c>
      <c r="Q55" s="315">
        <f>IFERROR(__xludf.DUMMYFUNCTION("if(P55="""", """", P55/sum(filter($P$16:$P$949, $P$16:$P$949&lt;&gt;"""")))"),0.0024423602969910123)</f>
        <v>0.002442360297</v>
      </c>
    </row>
    <row r="56" ht="12.75" customHeight="1">
      <c r="A56" s="322" t="str">
        <f>AlbumConfig!B43&amp;" "&amp;AlbumConfig!E43</f>
        <v>Storm Port - Flare 3★</v>
      </c>
      <c r="B56" s="341">
        <f>IFERROR(__xludf.DUMMYFUNCTION("index($B$3:$B$7, right(index(split(A56, ""★""),0,1)), 0)"),10.0)</f>
        <v>10</v>
      </c>
      <c r="C56" s="341">
        <f>IFERROR(__xludf.DUMMYFUNCTION("LET(
  ct, COUNTIF(ARRAYFORMULA(RIGHT(SPLIT($A$16:$A56, ""★""), 1)), TO_TEXT(RIGHT(SPLIT(A56, ""★""), 1))),
  n, index($C$3:$C$7, right(index(split(A56, ""★""), 0, 1), 1), 0),
  total, index($D$3:$D$7, right(index(split(A56, ""★""), 0, 1), 1), 0),
  base,"&amp;" INT(total/n),
  rem, total - base*n,
  index(MAP(SEQUENCE(n), LAMBDA(i, IF(i &lt;= rem, base+1, base))), ct, 0)
)"),13.0)</f>
        <v>13</v>
      </c>
      <c r="G56" s="316" t="s">
        <v>793</v>
      </c>
      <c r="H56" s="246">
        <v>50.0</v>
      </c>
      <c r="I56" s="315">
        <v>0.0024423602969910123</v>
      </c>
      <c r="K56" s="246" t="str">
        <f>IFERROR(__xludf.DUMMYFUNCTION("""COMPUTED_VALUE"""),"Siren Reef - Harp 1★ #90B")</f>
        <v>Siren Reef - Harp 1★ #90B</v>
      </c>
      <c r="L56" s="332" t="str">
        <f>IFERROR(__xludf.DUMMYFUNCTION("""COMPUTED_VALUE"""),"Siren Reef - Mirror 1★")</f>
        <v>Siren Reef - Mirror 1★</v>
      </c>
      <c r="M56" s="331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1)=L56)))"),2.0)</f>
        <v>2</v>
      </c>
      <c r="O56" s="316" t="str">
        <f>IFERROR(__xludf.DUMMYFUNCTION("""COMPUTED_VALUE"""),"Skull Isle - Spyglass 1★ #B88")</f>
        <v>Skull Isle - Spyglass 1★ #B88</v>
      </c>
      <c r="P56" s="246">
        <f>IFERROR(__xludf.DUMMYFUNCTION("""COMPUTED_VALUE"""),50.0)</f>
        <v>50</v>
      </c>
      <c r="Q56" s="315">
        <f>IFERROR(__xludf.DUMMYFUNCTION("if(P56="""", """", P56/sum(filter($P$16:$P$949, $P$16:$P$949&lt;&gt;"""")))"),0.0024423602969910123)</f>
        <v>0.002442360297</v>
      </c>
    </row>
    <row r="57" ht="12.75" customHeight="1">
      <c r="A57" s="322" t="str">
        <f>AlbumConfig!B44&amp;" "&amp;AlbumConfig!E44</f>
        <v>Storm Port - Bucket 4★</v>
      </c>
      <c r="B57" s="341">
        <f>IFERROR(__xludf.DUMMYFUNCTION("index($B$3:$B$7, right(index(split(A57, ""★""),0,1)), 0)"),5.0)</f>
        <v>5</v>
      </c>
      <c r="C57" s="341">
        <f>IFERROR(__xludf.DUMMYFUNCTION("LET(
  ct, COUNTIF(ARRAYFORMULA(RIGHT(SPLIT($A$16:$A57, ""★""), 1)), TO_TEXT(RIGHT(SPLIT(A57, ""★""), 1))),
  n, index($C$3:$C$7, right(index(split(A57, ""★""), 0, 1), 1), 0),
  total, index($D$3:$D$7, right(index(split(A57, ""★""), 0, 1), 1), 0),
  base,"&amp;" INT(total/n),
  rem, total - base*n,
  index(MAP(SEQUENCE(n), LAMBDA(i, IF(i &lt;= rem, base+1, base))), ct, 0)
)"),11.0)</f>
        <v>11</v>
      </c>
      <c r="G57" s="316" t="s">
        <v>794</v>
      </c>
      <c r="H57" s="246">
        <v>50.0</v>
      </c>
      <c r="I57" s="315">
        <v>0.0024423602969910123</v>
      </c>
      <c r="K57" s="246" t="str">
        <f>IFERROR(__xludf.DUMMYFUNCTION("""COMPUTED_VALUE"""),"Kraken Lair - Tentacle 1★ #EEC")</f>
        <v>Kraken Lair - Tentacle 1★ #EEC</v>
      </c>
      <c r="L57" s="332" t="str">
        <f>IFERROR(__xludf.DUMMYFUNCTION("""COMPUTED_VALUE"""),"Skull Isle - Map 1★")</f>
        <v>Skull Isle - Map 1★</v>
      </c>
      <c r="M57" s="331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1)=L57)))"),4.0)</f>
        <v>4</v>
      </c>
      <c r="O57" s="316" t="str">
        <f>IFERROR(__xludf.DUMMYFUNCTION("""COMPUTED_VALUE"""),"Skull Isle - Spyglass 1★ #63D")</f>
        <v>Skull Isle - Spyglass 1★ #63D</v>
      </c>
      <c r="P57" s="246">
        <f>IFERROR(__xludf.DUMMYFUNCTION("""COMPUTED_VALUE"""),50.0)</f>
        <v>50</v>
      </c>
      <c r="Q57" s="315">
        <f>IFERROR(__xludf.DUMMYFUNCTION("if(P57="""", """", P57/sum(filter($P$16:$P$949, $P$16:$P$949&lt;&gt;"""")))"),0.0024423602969910123)</f>
        <v>0.002442360297</v>
      </c>
    </row>
    <row r="58" ht="12.75" customHeight="1">
      <c r="A58" s="322" t="str">
        <f>AlbumConfig!B45&amp;" "&amp;AlbumConfig!E45</f>
        <v>Storm Port - Windmill 4★</v>
      </c>
      <c r="B58" s="341">
        <f>IFERROR(__xludf.DUMMYFUNCTION("index($B$3:$B$7, right(index(split(A58, ""★""),0,1)), 0)"),5.0)</f>
        <v>5</v>
      </c>
      <c r="C58" s="341">
        <f>IFERROR(__xludf.DUMMYFUNCTION("LET(
  ct, COUNTIF(ARRAYFORMULA(RIGHT(SPLIT($A$16:$A58, ""★""), 1)), TO_TEXT(RIGHT(SPLIT(A58, ""★""), 1))),
  n, index($C$3:$C$7, right(index(split(A58, ""★""), 0, 1), 1), 0),
  total, index($D$3:$D$7, right(index(split(A58, ""★""), 0, 1), 1), 0),
  base,"&amp;" INT(total/n),
  rem, total - base*n,
  index(MAP(SEQUENCE(n), LAMBDA(i, IF(i &lt;= rem, base+1, base))), ct, 0)
)"),11.0)</f>
        <v>11</v>
      </c>
      <c r="G58" s="316" t="s">
        <v>795</v>
      </c>
      <c r="H58" s="246">
        <v>50.0</v>
      </c>
      <c r="I58" s="315">
        <v>0.0024423602969910123</v>
      </c>
      <c r="K58" s="246" t="str">
        <f>IFERROR(__xludf.DUMMYFUNCTION("""COMPUTED_VALUE"""),"Kraken Lair - Eyepatch 4★ #367")</f>
        <v>Kraken Lair - Eyepatch 4★ #367</v>
      </c>
      <c r="L58" s="332" t="str">
        <f>IFERROR(__xludf.DUMMYFUNCTION("""COMPUTED_VALUE"""),"Cannon Fort - War Flag 3★")</f>
        <v>Cannon Fort - War Flag 3★</v>
      </c>
      <c r="M58" s="331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1)=L58)))"),1.0)</f>
        <v>1</v>
      </c>
      <c r="O58" s="316" t="str">
        <f>IFERROR(__xludf.DUMMYFUNCTION("""COMPUTED_VALUE"""),"Skull Isle - Anchor 1★ #0F2")</f>
        <v>Skull Isle - Anchor 1★ #0F2</v>
      </c>
      <c r="P58" s="246">
        <f>IFERROR(__xludf.DUMMYFUNCTION("""COMPUTED_VALUE"""),50.0)</f>
        <v>50</v>
      </c>
      <c r="Q58" s="315">
        <f>IFERROR(__xludf.DUMMYFUNCTION("if(P58="""", """", P58/sum(filter($P$16:$P$949, $P$16:$P$949&lt;&gt;"""")))"),0.0024423602969910123)</f>
        <v>0.002442360297</v>
      </c>
    </row>
    <row r="59" ht="12.75" customHeight="1">
      <c r="A59" s="322" t="str">
        <f>AlbumConfig!B46&amp;" "&amp;AlbumConfig!E46</f>
        <v>Storm Port - Lighthouse 5★</v>
      </c>
      <c r="B59" s="341">
        <f>IFERROR(__xludf.DUMMYFUNCTION("index($B$3:$B$7, right(index(split(A59, ""★""),0,1)), 0)"),2.0)</f>
        <v>2</v>
      </c>
      <c r="C59" s="341">
        <f>IFERROR(__xludf.DUMMYFUNCTION("LET(
  ct, COUNTIF(ARRAYFORMULA(RIGHT(SPLIT($A$16:$A59, ""★""), 1)), TO_TEXT(RIGHT(SPLIT(A59, ""★""), 1))),
  n, index($C$3:$C$7, right(index(split(A59, ""★""), 0, 1), 1), 0),
  total, index($D$3:$D$7, right(index(split(A59, ""★""), 0, 1), 1), 0),
  base,"&amp;" INT(total/n),
  rem, total - base*n,
  index(MAP(SEQUENCE(n), LAMBDA(i, IF(i &lt;= rem, base+1, base))), ct, 0)
)"),5.0)</f>
        <v>5</v>
      </c>
      <c r="G59" s="316" t="s">
        <v>796</v>
      </c>
      <c r="H59" s="246">
        <v>50.0</v>
      </c>
      <c r="I59" s="315">
        <v>0.0024423602969910123</v>
      </c>
      <c r="K59" s="246" t="str">
        <f>IFERROR(__xludf.DUMMYFUNCTION("""COMPUTED_VALUE"""),"Dead Man Bay - Treasure Map 2★ #879")</f>
        <v>Dead Man Bay - Treasure Map 2★ #879</v>
      </c>
      <c r="L59" s="332" t="str">
        <f>IFERROR(__xludf.DUMMYFUNCTION("""COMPUTED_VALUE"""),"Cannon Fort - Cannonball 1★")</f>
        <v>Cannon Fort - Cannonball 1★</v>
      </c>
      <c r="M59" s="331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1)=L59)))"),1.0)</f>
        <v>1</v>
      </c>
      <c r="O59" s="329" t="str">
        <f>IFERROR(__xludf.DUMMYFUNCTION("""COMPUTED_VALUE"""),"Skull Isle - Anchor 1★ #BA7")</f>
        <v>Skull Isle - Anchor 1★ #BA7</v>
      </c>
      <c r="P59" s="246">
        <f>IFERROR(__xludf.DUMMYFUNCTION("""COMPUTED_VALUE"""),50.0)</f>
        <v>50</v>
      </c>
      <c r="Q59" s="315">
        <f>IFERROR(__xludf.DUMMYFUNCTION("if(P59="""", """", P59/sum(filter($P$16:$P$949, $P$16:$P$949&lt;&gt;"""")))"),0.0024423602969910123)</f>
        <v>0.002442360297</v>
      </c>
    </row>
    <row r="60" ht="12.75" customHeight="1">
      <c r="A60" s="322" t="str">
        <f>AlbumConfig!B47&amp;" "&amp;AlbumConfig!E47</f>
        <v>Storm Port - Drum 5★</v>
      </c>
      <c r="B60" s="341">
        <f>IFERROR(__xludf.DUMMYFUNCTION("index($B$3:$B$7, right(index(split(A60, ""★""),0,1)), 0)"),2.0)</f>
        <v>2</v>
      </c>
      <c r="C60" s="341">
        <f>IFERROR(__xludf.DUMMYFUNCTION("LET(
  ct, COUNTIF(ARRAYFORMULA(RIGHT(SPLIT($A$16:$A60, ""★""), 1)), TO_TEXT(RIGHT(SPLIT(A60, ""★""), 1))),
  n, index($C$3:$C$7, right(index(split(A60, ""★""), 0, 1), 1), 0),
  total, index($D$3:$D$7, right(index(split(A60, ""★""), 0, 1), 1), 0),
  base,"&amp;" INT(total/n),
  rem, total - base*n,
  index(MAP(SEQUENCE(n), LAMBDA(i, IF(i &lt;= rem, base+1, base))), ct, 0)
)"),5.0)</f>
        <v>5</v>
      </c>
      <c r="G60" s="316" t="s">
        <v>797</v>
      </c>
      <c r="H60" s="246">
        <v>50.0</v>
      </c>
      <c r="I60" s="315">
        <v>0.0024423602969910123</v>
      </c>
      <c r="K60" s="246" t="str">
        <f>IFERROR(__xludf.DUMMYFUNCTION("""COMPUTED_VALUE"""),"Skull Isle - Compass 1★ #F40")</f>
        <v>Skull Isle - Compass 1★ #F40</v>
      </c>
      <c r="L60" s="332" t="str">
        <f>IFERROR(__xludf.DUMMYFUNCTION("""COMPUTED_VALUE"""),"Siren Reef - Moonstone 4★")</f>
        <v>Siren Reef - Moonstone 4★</v>
      </c>
      <c r="M60" s="331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1)=L60)))"),1.0)</f>
        <v>1</v>
      </c>
      <c r="O60" s="329" t="str">
        <f>IFERROR(__xludf.DUMMYFUNCTION("""COMPUTED_VALUE"""),"Skull Isle - Anchor 1★ #65C")</f>
        <v>Skull Isle - Anchor 1★ #65C</v>
      </c>
      <c r="P60" s="246">
        <f>IFERROR(__xludf.DUMMYFUNCTION("""COMPUTED_VALUE"""),50.0)</f>
        <v>50</v>
      </c>
      <c r="Q60" s="315">
        <f>IFERROR(__xludf.DUMMYFUNCTION("if(P60="""", """", P60/sum(filter($P$16:$P$949, $P$16:$P$949&lt;&gt;"""")))"),0.0024423602969910123)</f>
        <v>0.002442360297</v>
      </c>
    </row>
    <row r="61" ht="12.75" customHeight="1">
      <c r="A61" s="322" t="str">
        <f>AlbumConfig!B48&amp;" "&amp;AlbumConfig!E48</f>
        <v>Cannon Fort - Cannonball 1★</v>
      </c>
      <c r="B61" s="341">
        <f>IFERROR(__xludf.DUMMYFUNCTION("index($B$3:$B$7, right(index(split(A61, ""★""),0,1)), 0)"),50.0)</f>
        <v>50</v>
      </c>
      <c r="C61" s="341">
        <f>IFERROR(__xludf.DUMMYFUNCTION("LET(
  ct, COUNTIF(ARRAYFORMULA(RIGHT(SPLIT($A$16:$A61, ""★""), 1)), TO_TEXT(RIGHT(SPLIT(A61, ""★""), 1))),
  n, index($C$3:$C$7, right(index(split(A61, ""★""), 0, 1), 1), 0),
  total, index($D$3:$D$7, right(index(split(A61, ""★""), 0, 1), 1), 0),
  base,"&amp;" INT(total/n),
  rem, total - base*n,
  index(MAP(SEQUENCE(n), LAMBDA(i, IF(i &lt;= rem, base+1, base))), ct, 0)
)"),13.0)</f>
        <v>13</v>
      </c>
      <c r="G61" s="316" t="s">
        <v>798</v>
      </c>
      <c r="H61" s="246">
        <v>50.0</v>
      </c>
      <c r="I61" s="315">
        <v>0.0024423602969910123</v>
      </c>
      <c r="K61" s="246" t="str">
        <f>IFERROR(__xludf.DUMMYFUNCTION("""COMPUTED_VALUE"""),"Skull Isle - Map 1★ #A90")</f>
        <v>Skull Isle - Map 1★ #A90</v>
      </c>
      <c r="L61" s="332" t="str">
        <f>IFERROR(__xludf.DUMMYFUNCTION("""COMPUTED_VALUE"""),"Siren Reef - Harp 1★")</f>
        <v>Siren Reef - Harp 1★</v>
      </c>
      <c r="M61" s="331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1)=L61)))"),2.0)</f>
        <v>2</v>
      </c>
      <c r="O61" s="329" t="str">
        <f>IFERROR(__xludf.DUMMYFUNCTION("""COMPUTED_VALUE"""),"Skull Isle - Anchor 1★ #111")</f>
        <v>Skull Isle - Anchor 1★ #111</v>
      </c>
      <c r="P61" s="246">
        <f>IFERROR(__xludf.DUMMYFUNCTION("""COMPUTED_VALUE"""),50.0)</f>
        <v>50</v>
      </c>
      <c r="Q61" s="315">
        <f>IFERROR(__xludf.DUMMYFUNCTION("if(P61="""", """", P61/sum(filter($P$16:$P$949, $P$16:$P$949&lt;&gt;"""")))"),0.0024423602969910123)</f>
        <v>0.002442360297</v>
      </c>
    </row>
    <row r="62" ht="12.75" customHeight="1">
      <c r="A62" s="322" t="str">
        <f>AlbumConfig!B49&amp;" "&amp;AlbumConfig!E49</f>
        <v>Cannon Fort - Powder 1★</v>
      </c>
      <c r="B62" s="341">
        <f>IFERROR(__xludf.DUMMYFUNCTION("index($B$3:$B$7, right(index(split(A62, ""★""),0,1)), 0)"),50.0)</f>
        <v>50</v>
      </c>
      <c r="C62" s="341">
        <f>IFERROR(__xludf.DUMMYFUNCTION("LET(
  ct, COUNTIF(ARRAYFORMULA(RIGHT(SPLIT($A$16:$A62, ""★""), 1)), TO_TEXT(RIGHT(SPLIT(A62, ""★""), 1))),
  n, index($C$3:$C$7, right(index(split(A62, ""★""), 0, 1), 1), 0),
  total, index($D$3:$D$7, right(index(split(A62, ""★""), 0, 1), 1), 0),
  base,"&amp;" INT(total/n),
  rem, total - base*n,
  index(MAP(SEQUENCE(n), LAMBDA(i, IF(i &lt;= rem, base+1, base))), ct, 0)
)"),13.0)</f>
        <v>13</v>
      </c>
      <c r="G62" s="316" t="s">
        <v>799</v>
      </c>
      <c r="H62" s="246">
        <v>50.0</v>
      </c>
      <c r="I62" s="315">
        <v>0.0024423602969910123</v>
      </c>
      <c r="K62" s="246" t="str">
        <f>IFERROR(__xludf.DUMMYFUNCTION("""COMPUTED_VALUE"""),"Siren Reef - Harp 1★ #41D")</f>
        <v>Siren Reef - Harp 1★ #41D</v>
      </c>
      <c r="L62" s="332" t="str">
        <f>IFERROR(__xludf.DUMMYFUNCTION("""COMPUTED_VALUE"""),"Kraken Lair - Eyepatch 4★")</f>
        <v>Kraken Lair - Eyepatch 4★</v>
      </c>
      <c r="M62" s="331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1)=L62)))"),1.0)</f>
        <v>1</v>
      </c>
      <c r="O62" s="329" t="str">
        <f>IFERROR(__xludf.DUMMYFUNCTION("""COMPUTED_VALUE"""),"Skull Isle - Anchor 1★ #BC6")</f>
        <v>Skull Isle - Anchor 1★ #BC6</v>
      </c>
      <c r="P62" s="246">
        <f>IFERROR(__xludf.DUMMYFUNCTION("""COMPUTED_VALUE"""),50.0)</f>
        <v>50</v>
      </c>
      <c r="Q62" s="315">
        <f>IFERROR(__xludf.DUMMYFUNCTION("if(P62="""", """", P62/sum(filter($P$16:$P$949, $P$16:$P$949&lt;&gt;"""")))"),0.0024423602969910123)</f>
        <v>0.002442360297</v>
      </c>
    </row>
    <row r="63" ht="12.75" customHeight="1">
      <c r="A63" s="322" t="str">
        <f>AlbumConfig!B50&amp;" "&amp;AlbumConfig!E50</f>
        <v>Cannon Fort - Fuse 2★</v>
      </c>
      <c r="B63" s="341">
        <f>IFERROR(__xludf.DUMMYFUNCTION("index($B$3:$B$7, right(index(split(A63, ""★""),0,1)), 0)"),20.0)</f>
        <v>20</v>
      </c>
      <c r="C63" s="341">
        <f>IFERROR(__xludf.DUMMYFUNCTION("LET(
  ct, COUNTIF(ARRAYFORMULA(RIGHT(SPLIT($A$16:$A63, ""★""), 1)), TO_TEXT(RIGHT(SPLIT(A63, ""★""), 1))),
  n, index($C$3:$C$7, right(index(split(A63, ""★""), 0, 1), 1), 0),
  total, index($D$3:$D$7, right(index(split(A63, ""★""), 0, 1), 1), 0),
  base,"&amp;" INT(total/n),
  rem, total - base*n,
  index(MAP(SEQUENCE(n), LAMBDA(i, IF(i &lt;= rem, base+1, base))), ct, 0)
)"),12.0)</f>
        <v>12</v>
      </c>
      <c r="G63" s="316" t="s">
        <v>800</v>
      </c>
      <c r="H63" s="246">
        <v>50.0</v>
      </c>
      <c r="I63" s="315">
        <v>0.0024423602969910123</v>
      </c>
      <c r="K63" s="246" t="str">
        <f>IFERROR(__xludf.DUMMYFUNCTION("""COMPUTED_VALUE"""),"Storm Port - Lightning 1★ #1A8")</f>
        <v>Storm Port - Lightning 1★ #1A8</v>
      </c>
      <c r="L63" s="332" t="str">
        <f>IFERROR(__xludf.DUMMYFUNCTION("""COMPUTED_VALUE"""),"Storm Port - Barrel 1★")</f>
        <v>Storm Port - Barrel 1★</v>
      </c>
      <c r="M63" s="331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>1</v>
      </c>
      <c r="O63" s="329" t="str">
        <f>IFERROR(__xludf.DUMMYFUNCTION("""COMPUTED_VALUE"""),"Skull Isle - Anchor 1★ #67B")</f>
        <v>Skull Isle - Anchor 1★ #67B</v>
      </c>
      <c r="P63" s="246">
        <f>IFERROR(__xludf.DUMMYFUNCTION("""COMPUTED_VALUE"""),50.0)</f>
        <v>50</v>
      </c>
      <c r="Q63" s="315">
        <f>IFERROR(__xludf.DUMMYFUNCTION("if(P63="""", """", P63/sum(filter($P$16:$P$949, $P$16:$P$949&lt;&gt;"""")))"),0.0024423602969910123)</f>
        <v>0.002442360297</v>
      </c>
    </row>
    <row r="64" ht="12.75" customHeight="1">
      <c r="A64" s="322" t="str">
        <f>AlbumConfig!B51&amp;" "&amp;AlbumConfig!E51</f>
        <v>Cannon Fort - Ramrod 2★</v>
      </c>
      <c r="B64" s="341">
        <f>IFERROR(__xludf.DUMMYFUNCTION("index($B$3:$B$7, right(index(split(A64, ""★""),0,1)), 0)"),20.0)</f>
        <v>20</v>
      </c>
      <c r="C64" s="341">
        <f>IFERROR(__xludf.DUMMYFUNCTION("LET(
  ct, COUNTIF(ARRAYFORMULA(RIGHT(SPLIT($A$16:$A64, ""★""), 1)), TO_TEXT(RIGHT(SPLIT(A64, ""★""), 1))),
  n, index($C$3:$C$7, right(index(split(A64, ""★""), 0, 1), 1), 0),
  total, index($D$3:$D$7, right(index(split(A64, ""★""), 0, 1), 1), 0),
  base,"&amp;" INT(total/n),
  rem, total - base*n,
  index(MAP(SEQUENCE(n), LAMBDA(i, IF(i &lt;= rem, base+1, base))), ct, 0)
)"),12.0)</f>
        <v>12</v>
      </c>
      <c r="G64" s="316" t="s">
        <v>801</v>
      </c>
      <c r="H64" s="246">
        <v>50.0</v>
      </c>
      <c r="I64" s="315">
        <v>0.0024423602969910123</v>
      </c>
      <c r="K64" s="246" t="str">
        <f>IFERROR(__xludf.DUMMYFUNCTION("""COMPUTED_VALUE"""),"Skull Isle - Helm 2★ #6F7")</f>
        <v>Skull Isle - Helm 2★ #6F7</v>
      </c>
      <c r="L64" s="332" t="str">
        <f>IFERROR(__xludf.DUMMYFUNCTION("""COMPUTED_VALUE"""),"Kraken Lair - Ink Cloud 1★")</f>
        <v>Kraken Lair - Ink Cloud 1★</v>
      </c>
      <c r="M64" s="331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1)=L64)))"),1.0)</f>
        <v>1</v>
      </c>
      <c r="O64" s="329" t="str">
        <f>IFERROR(__xludf.DUMMYFUNCTION("""COMPUTED_VALUE"""),"Skull Isle - Anchor 1★ #130")</f>
        <v>Skull Isle - Anchor 1★ #130</v>
      </c>
      <c r="P64" s="246">
        <f>IFERROR(__xludf.DUMMYFUNCTION("""COMPUTED_VALUE"""),50.0)</f>
        <v>50</v>
      </c>
      <c r="Q64" s="315">
        <f>IFERROR(__xludf.DUMMYFUNCTION("if(P64="""", """", P64/sum(filter($P$16:$P$949, $P$16:$P$949&lt;&gt;"""")))"),0.0024423602969910123)</f>
        <v>0.002442360297</v>
      </c>
    </row>
    <row r="65" ht="12.75" customHeight="1">
      <c r="A65" s="322" t="str">
        <f>AlbumConfig!B52&amp;" "&amp;AlbumConfig!E52</f>
        <v>Cannon Fort - War Flag 3★</v>
      </c>
      <c r="B65" s="341">
        <f>IFERROR(__xludf.DUMMYFUNCTION("index($B$3:$B$7, right(index(split(A65, ""★""),0,1)), 0)"),10.0)</f>
        <v>10</v>
      </c>
      <c r="C65" s="341">
        <f>IFERROR(__xludf.DUMMYFUNCTION("LET(
  ct, COUNTIF(ARRAYFORMULA(RIGHT(SPLIT($A$16:$A65, ""★""), 1)), TO_TEXT(RIGHT(SPLIT(A65, ""★""), 1))),
  n, index($C$3:$C$7, right(index(split(A65, ""★""), 0, 1), 1), 0),
  total, index($D$3:$D$7, right(index(split(A65, ""★""), 0, 1), 1), 0),
  base,"&amp;" INT(total/n),
  rem, total - base*n,
  index(MAP(SEQUENCE(n), LAMBDA(i, IF(i &lt;= rem, base+1, base))), ct, 0)
)"),13.0)</f>
        <v>13</v>
      </c>
      <c r="G65" s="316" t="s">
        <v>802</v>
      </c>
      <c r="H65" s="246">
        <v>50.0</v>
      </c>
      <c r="I65" s="315">
        <v>0.0024423602969910123</v>
      </c>
      <c r="K65" s="246" t="str">
        <f>IFERROR(__xludf.DUMMYFUNCTION("""COMPUTED_VALUE"""),"Ghost Ship - Sail 1★ #87D")</f>
        <v>Ghost Ship - Sail 1★ #87D</v>
      </c>
      <c r="L65" s="332"/>
      <c r="M65" s="331" t="str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1)=L65)))"),"")</f>
        <v/>
      </c>
      <c r="O65" s="329" t="str">
        <f>IFERROR(__xludf.DUMMYFUNCTION("""COMPUTED_VALUE"""),"Skull Isle - Anchor 1★ #BE5")</f>
        <v>Skull Isle - Anchor 1★ #BE5</v>
      </c>
      <c r="P65" s="246">
        <f>IFERROR(__xludf.DUMMYFUNCTION("""COMPUTED_VALUE"""),50.0)</f>
        <v>50</v>
      </c>
      <c r="Q65" s="315">
        <f>IFERROR(__xludf.DUMMYFUNCTION("if(P65="""", """", P65/sum(filter($P$16:$P$949, $P$16:$P$949&lt;&gt;"""")))"),0.0024423602969910123)</f>
        <v>0.002442360297</v>
      </c>
    </row>
    <row r="66" ht="12.75" customHeight="1">
      <c r="A66" s="322" t="str">
        <f>AlbumConfig!B53&amp;" "&amp;AlbumConfig!E53</f>
        <v>Cannon Fort - Tower 4★</v>
      </c>
      <c r="B66" s="341">
        <f>IFERROR(__xludf.DUMMYFUNCTION("index($B$3:$B$7, right(index(split(A66, ""★""),0,1)), 0)"),5.0)</f>
        <v>5</v>
      </c>
      <c r="C66" s="341">
        <f>IFERROR(__xludf.DUMMYFUNCTION("LET(
  ct, COUNTIF(ARRAYFORMULA(RIGHT(SPLIT($A$16:$A66, ""★""), 1)), TO_TEXT(RIGHT(SPLIT(A66, ""★""), 1))),
  n, index($C$3:$C$7, right(index(split(A66, ""★""), 0, 1), 1), 0),
  total, index($D$3:$D$7, right(index(split(A66, ""★""), 0, 1), 1), 0),
  base,"&amp;" INT(total/n),
  rem, total - base*n,
  index(MAP(SEQUENCE(n), LAMBDA(i, IF(i &lt;= rem, base+1, base))), ct, 0)
)"),11.0)</f>
        <v>11</v>
      </c>
      <c r="G66" s="316" t="s">
        <v>803</v>
      </c>
      <c r="H66" s="246">
        <v>50.0</v>
      </c>
      <c r="I66" s="315">
        <v>0.0024423602969910123</v>
      </c>
      <c r="K66" s="246" t="str">
        <f>IFERROR(__xludf.DUMMYFUNCTION("""COMPUTED_VALUE"""),"Skull Isle - Cutlass 2★ #209")</f>
        <v>Skull Isle - Cutlass 2★ #209</v>
      </c>
      <c r="L66" s="332"/>
      <c r="M66" s="331" t="str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1)=L66)))"),"")</f>
        <v/>
      </c>
      <c r="O66" s="329" t="str">
        <f>IFERROR(__xludf.DUMMYFUNCTION("""COMPUTED_VALUE"""),"Skull Isle - Anchor 1★ #69A")</f>
        <v>Skull Isle - Anchor 1★ #69A</v>
      </c>
      <c r="P66" s="246">
        <f>IFERROR(__xludf.DUMMYFUNCTION("""COMPUTED_VALUE"""),50.0)</f>
        <v>50</v>
      </c>
      <c r="Q66" s="315">
        <f>IFERROR(__xludf.DUMMYFUNCTION("if(P66="""", """", P66/sum(filter($P$16:$P$949, $P$16:$P$949&lt;&gt;"""")))"),0.0024423602969910123)</f>
        <v>0.002442360297</v>
      </c>
    </row>
    <row r="67" ht="12.75" customHeight="1">
      <c r="A67" s="322" t="str">
        <f>AlbumConfig!B54&amp;" "&amp;AlbumConfig!E54</f>
        <v>Cannon Fort - Bridge 5★</v>
      </c>
      <c r="B67" s="341">
        <f>IFERROR(__xludf.DUMMYFUNCTION("index($B$3:$B$7, right(index(split(A67, ""★""),0,1)), 0)"),2.0)</f>
        <v>2</v>
      </c>
      <c r="C67" s="341">
        <f>IFERROR(__xludf.DUMMYFUNCTION("LET(
  ct, COUNTIF(ARRAYFORMULA(RIGHT(SPLIT($A$16:$A67, ""★""), 1)), TO_TEXT(RIGHT(SPLIT(A67, ""★""), 1))),
  n, index($C$3:$C$7, right(index(split(A67, ""★""), 0, 1), 1), 0),
  total, index($D$3:$D$7, right(index(split(A67, ""★""), 0, 1), 1), 0),
  base,"&amp;" INT(total/n),
  rem, total - base*n,
  index(MAP(SEQUENCE(n), LAMBDA(i, IF(i &lt;= rem, base+1, base))), ct, 0)
)"),5.0)</f>
        <v>5</v>
      </c>
      <c r="G67" s="316" t="s">
        <v>804</v>
      </c>
      <c r="H67" s="246">
        <v>50.0</v>
      </c>
      <c r="I67" s="315">
        <v>0.0024423602969910123</v>
      </c>
      <c r="K67" s="246" t="str">
        <f>IFERROR(__xludf.DUMMYFUNCTION("""COMPUTED_VALUE"""),"Storm Port - Barrel 1★ #281")</f>
        <v>Storm Port - Barrel 1★ #281</v>
      </c>
      <c r="L67" s="332"/>
      <c r="M67" s="331" t="str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1)=L67)))"),"")</f>
        <v/>
      </c>
      <c r="O67" s="329" t="str">
        <f>IFERROR(__xludf.DUMMYFUNCTION("""COMPUTED_VALUE"""),"Skull Isle - Anchor 1★ #14F")</f>
        <v>Skull Isle - Anchor 1★ #14F</v>
      </c>
      <c r="P67" s="246">
        <f>IFERROR(__xludf.DUMMYFUNCTION("""COMPUTED_VALUE"""),50.0)</f>
        <v>50</v>
      </c>
      <c r="Q67" s="315">
        <f>IFERROR(__xludf.DUMMYFUNCTION("if(P67="""", """", P67/sum(filter($P$16:$P$949, $P$16:$P$949&lt;&gt;"""")))"),0.0024423602969910123)</f>
        <v>0.002442360297</v>
      </c>
    </row>
    <row r="68" ht="12.75" customHeight="1">
      <c r="A68" s="322" t="str">
        <f>AlbumConfig!B55&amp;" "&amp;AlbumConfig!E55</f>
        <v>Cannon Fort - Catapult 5★</v>
      </c>
      <c r="B68" s="341">
        <f>IFERROR(__xludf.DUMMYFUNCTION("index($B$3:$B$7, right(index(split(A68, ""★""),0,1)), 0)"),2.0)</f>
        <v>2</v>
      </c>
      <c r="C68" s="341">
        <f>IFERROR(__xludf.DUMMYFUNCTION("LET(
  ct, COUNTIF(ARRAYFORMULA(RIGHT(SPLIT($A$16:$A68, ""★""), 1)), TO_TEXT(RIGHT(SPLIT(A68, ""★""), 1))),
  n, index($C$3:$C$7, right(index(split(A68, ""★""), 0, 1), 1), 0),
  total, index($D$3:$D$7, right(index(split(A68, ""★""), 0, 1), 1), 0),
  base,"&amp;" INT(total/n),
  rem, total - base*n,
  index(MAP(SEQUENCE(n), LAMBDA(i, IF(i &lt;= rem, base+1, base))), ct, 0)
)"),5.0)</f>
        <v>5</v>
      </c>
      <c r="G68" s="316" t="s">
        <v>805</v>
      </c>
      <c r="H68" s="246">
        <v>50.0</v>
      </c>
      <c r="I68" s="315">
        <v>0.0024423602969910123</v>
      </c>
      <c r="K68" s="246" t="str">
        <f>IFERROR(__xludf.DUMMYFUNCTION("""COMPUTED_VALUE"""),"Kraken Lair - Ink Cloud 1★ #A1D")</f>
        <v>Kraken Lair - Ink Cloud 1★ #A1D</v>
      </c>
      <c r="L68" s="332"/>
      <c r="M68" s="331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329" t="str">
        <f>IFERROR(__xludf.DUMMYFUNCTION("""COMPUTED_VALUE"""),"Skull Isle - Anchor 1★ #C04")</f>
        <v>Skull Isle - Anchor 1★ #C04</v>
      </c>
      <c r="P68" s="246">
        <f>IFERROR(__xludf.DUMMYFUNCTION("""COMPUTED_VALUE"""),50.0)</f>
        <v>50</v>
      </c>
      <c r="Q68" s="315">
        <f>IFERROR(__xludf.DUMMYFUNCTION("if(P68="""", """", P68/sum(filter($P$16:$P$949, $P$16:$P$949&lt;&gt;"""")))"),0.0024423602969910123)</f>
        <v>0.002442360297</v>
      </c>
    </row>
    <row r="69" ht="12.75" customHeight="1">
      <c r="A69" s="322" t="str">
        <f>AlbumConfig!B56&amp;" "&amp;AlbumConfig!E56</f>
        <v>Cannon Fort - Horn 5★</v>
      </c>
      <c r="B69" s="341">
        <f>IFERROR(__xludf.DUMMYFUNCTION("index($B$3:$B$7, right(index(split(A69, ""★""),0,1)), 0)"),2.0)</f>
        <v>2</v>
      </c>
      <c r="C69" s="341">
        <f>IFERROR(__xludf.DUMMYFUNCTION("LET(
  ct, COUNTIF(ARRAYFORMULA(RIGHT(SPLIT($A$16:$A69, ""★""), 1)), TO_TEXT(RIGHT(SPLIT(A69, ""★""), 1))),
  n, index($C$3:$C$7, right(index(split(A69, ""★""), 0, 1), 1), 0),
  total, index($D$3:$D$7, right(index(split(A69, ""★""), 0, 1), 1), 0),
  base,"&amp;" INT(total/n),
  rem, total - base*n,
  index(MAP(SEQUENCE(n), LAMBDA(i, IF(i &lt;= rem, base+1, base))), ct, 0)
)"),5.0)</f>
        <v>5</v>
      </c>
      <c r="G69" s="316" t="s">
        <v>806</v>
      </c>
      <c r="H69" s="246">
        <v>50.0</v>
      </c>
      <c r="I69" s="315">
        <v>0.0024423602969910123</v>
      </c>
      <c r="K69" s="246" t="str">
        <f>IFERROR(__xludf.DUMMYFUNCTION("""COMPUTED_VALUE"""),"Gold Cove - Emerald 1★ #FCE")</f>
        <v>Gold Cove - Emerald 1★ #FCE</v>
      </c>
      <c r="L69" s="332"/>
      <c r="M69" s="331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329" t="str">
        <f>IFERROR(__xludf.DUMMYFUNCTION("""COMPUTED_VALUE"""),"Skull Isle - Anchor 1★ #6B9")</f>
        <v>Skull Isle - Anchor 1★ #6B9</v>
      </c>
      <c r="P69" s="246">
        <f>IFERROR(__xludf.DUMMYFUNCTION("""COMPUTED_VALUE"""),50.0)</f>
        <v>50</v>
      </c>
      <c r="Q69" s="315">
        <f>IFERROR(__xludf.DUMMYFUNCTION("if(P69="""", """", P69/sum(filter($P$16:$P$949, $P$16:$P$949&lt;&gt;"""")))"),0.0024423602969910123)</f>
        <v>0.002442360297</v>
      </c>
    </row>
    <row r="70" ht="12.75" customHeight="1">
      <c r="A70" s="322" t="str">
        <f>AlbumConfig!B57&amp;" "&amp;AlbumConfig!E57</f>
        <v>Siren Reef - Harp 1★</v>
      </c>
      <c r="B70" s="341">
        <f>IFERROR(__xludf.DUMMYFUNCTION("index($B$3:$B$7, right(index(split(A70, ""★""),0,1)), 0)"),50.0)</f>
        <v>50</v>
      </c>
      <c r="C70" s="341">
        <f>IFERROR(__xludf.DUMMYFUNCTION("LET(
  ct, COUNTIF(ARRAYFORMULA(RIGHT(SPLIT($A$16:$A70, ""★""), 1)), TO_TEXT(RIGHT(SPLIT(A70, ""★""), 1))),
  n, index($C$3:$C$7, right(index(split(A70, ""★""), 0, 1), 1), 0),
  total, index($D$3:$D$7, right(index(split(A70, ""★""), 0, 1), 1), 0),
  base,"&amp;" INT(total/n),
  rem, total - base*n,
  index(MAP(SEQUENCE(n), LAMBDA(i, IF(i &lt;= rem, base+1, base))), ct, 0)
)"),13.0)</f>
        <v>13</v>
      </c>
      <c r="G70" s="316" t="s">
        <v>807</v>
      </c>
      <c r="H70" s="246">
        <v>50.0</v>
      </c>
      <c r="I70" s="315">
        <v>0.0024423602969910123</v>
      </c>
      <c r="K70" s="246" t="str">
        <f>IFERROR(__xludf.DUMMYFUNCTION("""COMPUTED_VALUE"""),"Skull Isle - Map 1★ #583")</f>
        <v>Skull Isle - Map 1★ #583</v>
      </c>
      <c r="L70" s="332"/>
      <c r="M70" s="331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329" t="str">
        <f>IFERROR(__xludf.DUMMYFUNCTION("""COMPUTED_VALUE"""),"Skull Isle - Anchor 1★ #16E")</f>
        <v>Skull Isle - Anchor 1★ #16E</v>
      </c>
      <c r="P70" s="246">
        <f>IFERROR(__xludf.DUMMYFUNCTION("""COMPUTED_VALUE"""),50.0)</f>
        <v>50</v>
      </c>
      <c r="Q70" s="315">
        <f>IFERROR(__xludf.DUMMYFUNCTION("if(P70="""", """", P70/sum(filter($P$16:$P$949, $P$16:$P$949&lt;&gt;"""")))"),0.0024423602969910123)</f>
        <v>0.002442360297</v>
      </c>
    </row>
    <row r="71" ht="12.75" customHeight="1">
      <c r="A71" s="322" t="str">
        <f>AlbumConfig!B58&amp;" "&amp;AlbumConfig!E58</f>
        <v>Siren Reef - Mirror 1★</v>
      </c>
      <c r="B71" s="341">
        <f>IFERROR(__xludf.DUMMYFUNCTION("index($B$3:$B$7, right(index(split(A71, ""★""),0,1)), 0)"),50.0)</f>
        <v>50</v>
      </c>
      <c r="C71" s="341">
        <f>IFERROR(__xludf.DUMMYFUNCTION("LET(
  ct, COUNTIF(ARRAYFORMULA(RIGHT(SPLIT($A$16:$A71, ""★""), 1)), TO_TEXT(RIGHT(SPLIT(A71, ""★""), 1))),
  n, index($C$3:$C$7, right(index(split(A71, ""★""), 0, 1), 1), 0),
  total, index($D$3:$D$7, right(index(split(A71, ""★""), 0, 1), 1), 0),
  base,"&amp;" INT(total/n),
  rem, total - base*n,
  index(MAP(SEQUENCE(n), LAMBDA(i, IF(i &lt;= rem, base+1, base))), ct, 0)
)"),13.0)</f>
        <v>13</v>
      </c>
      <c r="G71" s="316" t="s">
        <v>808</v>
      </c>
      <c r="H71" s="246">
        <v>50.0</v>
      </c>
      <c r="I71" s="315">
        <v>0.0024423602969910123</v>
      </c>
      <c r="K71" s="246"/>
      <c r="L71" s="332"/>
      <c r="M71" s="331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329" t="str">
        <f>IFERROR(__xludf.DUMMYFUNCTION("""COMPUTED_VALUE"""),"Skull Isle - Anchor 1★ #C23")</f>
        <v>Skull Isle - Anchor 1★ #C23</v>
      </c>
      <c r="P71" s="246">
        <f>IFERROR(__xludf.DUMMYFUNCTION("""COMPUTED_VALUE"""),50.0)</f>
        <v>50</v>
      </c>
      <c r="Q71" s="315">
        <f>IFERROR(__xludf.DUMMYFUNCTION("if(P71="""", """", P71/sum(filter($P$16:$P$949, $P$16:$P$949&lt;&gt;"""")))"),0.0024423602969910123)</f>
        <v>0.002442360297</v>
      </c>
    </row>
    <row r="72" ht="12.75" customHeight="1">
      <c r="A72" s="322" t="str">
        <f>AlbumConfig!B59&amp;" "&amp;AlbumConfig!E59</f>
        <v>Siren Reef - Comb 2★</v>
      </c>
      <c r="B72" s="341">
        <f>IFERROR(__xludf.DUMMYFUNCTION("index($B$3:$B$7, right(index(split(A72, ""★""),0,1)), 0)"),20.0)</f>
        <v>20</v>
      </c>
      <c r="C72" s="341">
        <f>IFERROR(__xludf.DUMMYFUNCTION("LET(
  ct, COUNTIF(ARRAYFORMULA(RIGHT(SPLIT($A$16:$A72, ""★""), 1)), TO_TEXT(RIGHT(SPLIT(A72, ""★""), 1))),
  n, index($C$3:$C$7, right(index(split(A72, ""★""), 0, 1), 1), 0),
  total, index($D$3:$D$7, right(index(split(A72, ""★""), 0, 1), 1), 0),
  base,"&amp;" INT(total/n),
  rem, total - base*n,
  index(MAP(SEQUENCE(n), LAMBDA(i, IF(i &lt;= rem, base+1, base))), ct, 0)
)"),12.0)</f>
        <v>12</v>
      </c>
      <c r="G72" s="316" t="s">
        <v>809</v>
      </c>
      <c r="H72" s="246">
        <v>20.0</v>
      </c>
      <c r="I72" s="315">
        <v>9.769441187964048E-4</v>
      </c>
      <c r="K72" s="246"/>
      <c r="L72" s="332"/>
      <c r="M72" s="331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329" t="str">
        <f>IFERROR(__xludf.DUMMYFUNCTION("""COMPUTED_VALUE"""),"Skull Isle - Helm 2★ #6D8")</f>
        <v>Skull Isle - Helm 2★ #6D8</v>
      </c>
      <c r="P72" s="246">
        <f>IFERROR(__xludf.DUMMYFUNCTION("""COMPUTED_VALUE"""),20.0)</f>
        <v>20</v>
      </c>
      <c r="Q72" s="315">
        <f>IFERROR(__xludf.DUMMYFUNCTION("if(P72="""", """", P72/sum(filter($P$16:$P$949, $P$16:$P$949&lt;&gt;"""")))"),9.769441187964048E-4)</f>
        <v>0.0009769441188</v>
      </c>
    </row>
    <row r="73" ht="12.75" customHeight="1">
      <c r="A73" s="322" t="str">
        <f>AlbumConfig!B60&amp;" "&amp;AlbumConfig!E60</f>
        <v>Siren Reef - Witch 2★</v>
      </c>
      <c r="B73" s="341">
        <f>IFERROR(__xludf.DUMMYFUNCTION("index($B$3:$B$7, right(index(split(A73, ""★""),0,1)), 0)"),20.0)</f>
        <v>20</v>
      </c>
      <c r="C73" s="341">
        <f>IFERROR(__xludf.DUMMYFUNCTION("LET(
  ct, COUNTIF(ARRAYFORMULA(RIGHT(SPLIT($A$16:$A73, ""★""), 1)), TO_TEXT(RIGHT(SPLIT(A73, ""★""), 1))),
  n, index($C$3:$C$7, right(index(split(A73, ""★""), 0, 1), 1), 0),
  total, index($D$3:$D$7, right(index(split(A73, ""★""), 0, 1), 1), 0),
  base,"&amp;" INT(total/n),
  rem, total - base*n,
  index(MAP(SEQUENCE(n), LAMBDA(i, IF(i &lt;= rem, base+1, base))), ct, 0)
)"),12.0)</f>
        <v>12</v>
      </c>
      <c r="G73" s="316" t="s">
        <v>810</v>
      </c>
      <c r="H73" s="246">
        <v>20.0</v>
      </c>
      <c r="I73" s="315">
        <v>9.769441187964048E-4</v>
      </c>
      <c r="K73" s="246"/>
      <c r="L73" s="332"/>
      <c r="M73" s="331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329" t="str">
        <f>IFERROR(__xludf.DUMMYFUNCTION("""COMPUTED_VALUE"""),"Skull Isle - Helm 2★ #18D")</f>
        <v>Skull Isle - Helm 2★ #18D</v>
      </c>
      <c r="P73" s="246">
        <f>IFERROR(__xludf.DUMMYFUNCTION("""COMPUTED_VALUE"""),20.0)</f>
        <v>20</v>
      </c>
      <c r="Q73" s="315">
        <f>IFERROR(__xludf.DUMMYFUNCTION("if(P73="""", """", P73/sum(filter($P$16:$P$949, $P$16:$P$949&lt;&gt;"""")))"),9.769441187964048E-4)</f>
        <v>0.0009769441188</v>
      </c>
    </row>
    <row r="74" ht="12.75" customHeight="1">
      <c r="A74" s="322" t="str">
        <f>AlbumConfig!B61&amp;" "&amp;AlbumConfig!E61</f>
        <v>Siren Reef - Starfish 3★</v>
      </c>
      <c r="B74" s="341">
        <f>IFERROR(__xludf.DUMMYFUNCTION("index($B$3:$B$7, right(index(split(A74, ""★""),0,1)), 0)"),10.0)</f>
        <v>10</v>
      </c>
      <c r="C74" s="341">
        <f>IFERROR(__xludf.DUMMYFUNCTION("LET(
  ct, COUNTIF(ARRAYFORMULA(RIGHT(SPLIT($A$16:$A74, ""★""), 1)), TO_TEXT(RIGHT(SPLIT(A74, ""★""), 1))),
  n, index($C$3:$C$7, right(index(split(A74, ""★""), 0, 1), 1), 0),
  total, index($D$3:$D$7, right(index(split(A74, ""★""), 0, 1), 1), 0),
  base,"&amp;" INT(total/n),
  rem, total - base*n,
  index(MAP(SEQUENCE(n), LAMBDA(i, IF(i &lt;= rem, base+1, base))), ct, 0)
)"),13.0)</f>
        <v>13</v>
      </c>
      <c r="G74" s="316" t="s">
        <v>811</v>
      </c>
      <c r="H74" s="246">
        <v>20.0</v>
      </c>
      <c r="I74" s="315">
        <v>9.769441187964048E-4</v>
      </c>
      <c r="K74" s="246"/>
      <c r="L74" s="332"/>
      <c r="M74" s="331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329" t="str">
        <f>IFERROR(__xludf.DUMMYFUNCTION("""COMPUTED_VALUE"""),"Skull Isle - Helm 2★ #C42")</f>
        <v>Skull Isle - Helm 2★ #C42</v>
      </c>
      <c r="P74" s="246">
        <f>IFERROR(__xludf.DUMMYFUNCTION("""COMPUTED_VALUE"""),20.0)</f>
        <v>20</v>
      </c>
      <c r="Q74" s="315">
        <f>IFERROR(__xludf.DUMMYFUNCTION("if(P74="""", """", P74/sum(filter($P$16:$P$949, $P$16:$P$949&lt;&gt;"""")))"),9.769441187964048E-4)</f>
        <v>0.0009769441188</v>
      </c>
    </row>
    <row r="75" ht="12.75" customHeight="1">
      <c r="A75" s="322" t="str">
        <f>AlbumConfig!B62&amp;" "&amp;AlbumConfig!E62</f>
        <v>Siren Reef - Moonstone 4★</v>
      </c>
      <c r="B75" s="341">
        <f>IFERROR(__xludf.DUMMYFUNCTION("index($B$3:$B$7, right(index(split(A75, ""★""),0,1)), 0)"),5.0)</f>
        <v>5</v>
      </c>
      <c r="C75" s="341">
        <f>IFERROR(__xludf.DUMMYFUNCTION("LET(
  ct, COUNTIF(ARRAYFORMULA(RIGHT(SPLIT($A$16:$A75, ""★""), 1)), TO_TEXT(RIGHT(SPLIT(A75, ""★""), 1))),
  n, index($C$3:$C$7, right(index(split(A75, ""★""), 0, 1), 1), 0),
  total, index($D$3:$D$7, right(index(split(A75, ""★""), 0, 1), 1), 0),
  base,"&amp;" INT(total/n),
  rem, total - base*n,
  index(MAP(SEQUENCE(n), LAMBDA(i, IF(i &lt;= rem, base+1, base))), ct, 0)
)"),11.0)</f>
        <v>11</v>
      </c>
      <c r="G75" s="316" t="s">
        <v>812</v>
      </c>
      <c r="H75" s="246">
        <v>20.0</v>
      </c>
      <c r="I75" s="315">
        <v>9.769441187964048E-4</v>
      </c>
      <c r="K75" s="246"/>
      <c r="L75" s="332"/>
      <c r="M75" s="331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329" t="str">
        <f>IFERROR(__xludf.DUMMYFUNCTION("""COMPUTED_VALUE"""),"Skull Isle - Helm 2★ #6F7")</f>
        <v>Skull Isle - Helm 2★ #6F7</v>
      </c>
      <c r="P75" s="246">
        <f>IFERROR(__xludf.DUMMYFUNCTION("""COMPUTED_VALUE"""),20.0)</f>
        <v>20</v>
      </c>
      <c r="Q75" s="315">
        <f>IFERROR(__xludf.DUMMYFUNCTION("if(P75="""", """", P75/sum(filter($P$16:$P$949, $P$16:$P$949&lt;&gt;"""")))"),9.769441187964048E-4)</f>
        <v>0.0009769441188</v>
      </c>
    </row>
    <row r="76" ht="12.75" customHeight="1">
      <c r="A76" s="322" t="str">
        <f>AlbumConfig!B63&amp;" "&amp;AlbumConfig!E63</f>
        <v>Siren Reef - Wave 5★</v>
      </c>
      <c r="B76" s="341">
        <f>IFERROR(__xludf.DUMMYFUNCTION("index($B$3:$B$7, right(index(split(A76, ""★""),0,1)), 0)"),2.0)</f>
        <v>2</v>
      </c>
      <c r="C76" s="341">
        <f>IFERROR(__xludf.DUMMYFUNCTION("LET(
  ct, COUNTIF(ARRAYFORMULA(RIGHT(SPLIT($A$16:$A76, ""★""), 1)), TO_TEXT(RIGHT(SPLIT(A76, ""★""), 1))),
  n, index($C$3:$C$7, right(index(split(A76, ""★""), 0, 1), 1), 0),
  total, index($D$3:$D$7, right(index(split(A76, ""★""), 0, 1), 1), 0),
  base,"&amp;" INT(total/n),
  rem, total - base*n,
  index(MAP(SEQUENCE(n), LAMBDA(i, IF(i &lt;= rem, base+1, base))), ct, 0)
)"),5.0)</f>
        <v>5</v>
      </c>
      <c r="G76" s="316" t="s">
        <v>813</v>
      </c>
      <c r="H76" s="246">
        <v>20.0</v>
      </c>
      <c r="I76" s="315">
        <v>9.769441187964048E-4</v>
      </c>
      <c r="K76" s="246"/>
      <c r="L76" s="332"/>
      <c r="M76" s="331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329" t="str">
        <f>IFERROR(__xludf.DUMMYFUNCTION("""COMPUTED_VALUE"""),"Skull Isle - Helm 2★ #1AC")</f>
        <v>Skull Isle - Helm 2★ #1AC</v>
      </c>
      <c r="P76" s="246">
        <f>IFERROR(__xludf.DUMMYFUNCTION("""COMPUTED_VALUE"""),20.0)</f>
        <v>20</v>
      </c>
      <c r="Q76" s="315">
        <f>IFERROR(__xludf.DUMMYFUNCTION("if(P76="""", """", P76/sum(filter($P$16:$P$949, $P$16:$P$949&lt;&gt;"""")))"),9.769441187964048E-4)</f>
        <v>0.0009769441188</v>
      </c>
    </row>
    <row r="77" ht="12.75" customHeight="1">
      <c r="A77" s="322" t="str">
        <f>AlbumConfig!B64&amp;" "&amp;AlbumConfig!E64</f>
        <v>Siren Reef - Driftwood 5★</v>
      </c>
      <c r="B77" s="341">
        <f>IFERROR(__xludf.DUMMYFUNCTION("index($B$3:$B$7, right(index(split(A77, ""★""),0,1)), 0)"),2.0)</f>
        <v>2</v>
      </c>
      <c r="C77" s="341">
        <f>IFERROR(__xludf.DUMMYFUNCTION("LET(
  ct, COUNTIF(ARRAYFORMULA(RIGHT(SPLIT($A$16:$A77, ""★""), 1)), TO_TEXT(RIGHT(SPLIT(A77, ""★""), 1))),
  n, index($C$3:$C$7, right(index(split(A77, ""★""), 0, 1), 1), 0),
  total, index($D$3:$D$7, right(index(split(A77, ""★""), 0, 1), 1), 0),
  base,"&amp;" INT(total/n),
  rem, total - base*n,
  index(MAP(SEQUENCE(n), LAMBDA(i, IF(i &lt;= rem, base+1, base))), ct, 0)
)"),5.0)</f>
        <v>5</v>
      </c>
      <c r="G77" s="316" t="s">
        <v>814</v>
      </c>
      <c r="H77" s="246">
        <v>20.0</v>
      </c>
      <c r="I77" s="315">
        <v>9.769441187964048E-4</v>
      </c>
      <c r="K77" s="246"/>
      <c r="L77" s="332"/>
      <c r="M77" s="331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329" t="str">
        <f>IFERROR(__xludf.DUMMYFUNCTION("""COMPUTED_VALUE"""),"Skull Isle - Helm 2★ #C61")</f>
        <v>Skull Isle - Helm 2★ #C61</v>
      </c>
      <c r="P77" s="246">
        <f>IFERROR(__xludf.DUMMYFUNCTION("""COMPUTED_VALUE"""),20.0)</f>
        <v>20</v>
      </c>
      <c r="Q77" s="315">
        <f>IFERROR(__xludf.DUMMYFUNCTION("if(P77="""", """", P77/sum(filter($P$16:$P$949, $P$16:$P$949&lt;&gt;"""")))"),9.769441187964048E-4)</f>
        <v>0.0009769441188</v>
      </c>
    </row>
    <row r="78" ht="12.75" customHeight="1">
      <c r="A78" s="322" t="str">
        <f>AlbumConfig!B65&amp;" "&amp;AlbumConfig!E65</f>
        <v>Siren Reef - Conch 5★</v>
      </c>
      <c r="B78" s="341">
        <f>IFERROR(__xludf.DUMMYFUNCTION("index($B$3:$B$7, right(index(split(A78, ""★""),0,1)), 0)"),2.0)</f>
        <v>2</v>
      </c>
      <c r="C78" s="341">
        <f>IFERROR(__xludf.DUMMYFUNCTION("LET(
  ct, COUNTIF(ARRAYFORMULA(RIGHT(SPLIT($A$16:$A78, ""★""), 1)), TO_TEXT(RIGHT(SPLIT(A78, ""★""), 1))),
  n, index($C$3:$C$7, right(index(split(A78, ""★""), 0, 1), 1), 0),
  total, index($D$3:$D$7, right(index(split(A78, ""★""), 0, 1), 1), 0),
  base,"&amp;" INT(total/n),
  rem, total - base*n,
  index(MAP(SEQUENCE(n), LAMBDA(i, IF(i &lt;= rem, base+1, base))), ct, 0)
)"),5.0)</f>
        <v>5</v>
      </c>
      <c r="G78" s="316" t="s">
        <v>815</v>
      </c>
      <c r="H78" s="246">
        <v>20.0</v>
      </c>
      <c r="I78" s="315">
        <v>9.769441187964048E-4</v>
      </c>
      <c r="K78" s="246"/>
      <c r="L78" s="332"/>
      <c r="M78" s="331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329" t="str">
        <f>IFERROR(__xludf.DUMMYFUNCTION("""COMPUTED_VALUE"""),"Skull Isle - Helm 2★ #716")</f>
        <v>Skull Isle - Helm 2★ #716</v>
      </c>
      <c r="P78" s="246">
        <f>IFERROR(__xludf.DUMMYFUNCTION("""COMPUTED_VALUE"""),20.0)</f>
        <v>20</v>
      </c>
      <c r="Q78" s="315">
        <f>IFERROR(__xludf.DUMMYFUNCTION("if(P78="""", """", P78/sum(filter($P$16:$P$949, $P$16:$P$949&lt;&gt;"""")))"),9.769441187964048E-4)</f>
        <v>0.0009769441188</v>
      </c>
    </row>
    <row r="79" ht="12.75" customHeight="1">
      <c r="A79" s="322" t="str">
        <f>AlbumConfig!B66&amp;" "&amp;AlbumConfig!E66</f>
        <v>Dead Man Bay - Pistol 1★</v>
      </c>
      <c r="B79" s="341">
        <f>IFERROR(__xludf.DUMMYFUNCTION("index($B$3:$B$7, right(index(split(A79, ""★""),0,1)), 0)"),50.0)</f>
        <v>50</v>
      </c>
      <c r="C79" s="341">
        <f>IFERROR(__xludf.DUMMYFUNCTION("LET(
  ct, COUNTIF(ARRAYFORMULA(RIGHT(SPLIT($A$16:$A79, ""★""), 1)), TO_TEXT(RIGHT(SPLIT(A79, ""★""), 1))),
  n, index($C$3:$C$7, right(index(split(A79, ""★""), 0, 1), 1), 0),
  total, index($D$3:$D$7, right(index(split(A79, ""★""), 0, 1), 1), 0),
  base,"&amp;" INT(total/n),
  rem, total - base*n,
  index(MAP(SEQUENCE(n), LAMBDA(i, IF(i &lt;= rem, base+1, base))), ct, 0)
)"),13.0)</f>
        <v>13</v>
      </c>
      <c r="G79" s="316" t="s">
        <v>816</v>
      </c>
      <c r="H79" s="246">
        <v>20.0</v>
      </c>
      <c r="I79" s="315">
        <v>9.769441187964048E-4</v>
      </c>
      <c r="K79" s="246"/>
      <c r="L79" s="332"/>
      <c r="M79" s="331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329" t="str">
        <f>IFERROR(__xludf.DUMMYFUNCTION("""COMPUTED_VALUE"""),"Skull Isle - Helm 2★ #1CB")</f>
        <v>Skull Isle - Helm 2★ #1CB</v>
      </c>
      <c r="P79" s="246">
        <f>IFERROR(__xludf.DUMMYFUNCTION("""COMPUTED_VALUE"""),20.0)</f>
        <v>20</v>
      </c>
      <c r="Q79" s="315">
        <f>IFERROR(__xludf.DUMMYFUNCTION("if(P79="""", """", P79/sum(filter($P$16:$P$949, $P$16:$P$949&lt;&gt;"""")))"),9.769441187964048E-4)</f>
        <v>0.0009769441188</v>
      </c>
    </row>
    <row r="80" ht="12.75" customHeight="1">
      <c r="A80" s="322" t="str">
        <f>AlbumConfig!B67&amp;" "&amp;AlbumConfig!E67</f>
        <v>Dead Man Bay - Rum 1★</v>
      </c>
      <c r="B80" s="341">
        <f>IFERROR(__xludf.DUMMYFUNCTION("index($B$3:$B$7, right(index(split(A80, ""★""),0,1)), 0)"),50.0)</f>
        <v>50</v>
      </c>
      <c r="C80" s="341">
        <f>IFERROR(__xludf.DUMMYFUNCTION("LET(
  ct, COUNTIF(ARRAYFORMULA(RIGHT(SPLIT($A$16:$A80, ""★""), 1)), TO_TEXT(RIGHT(SPLIT(A80, ""★""), 1))),
  n, index($C$3:$C$7, right(index(split(A80, ""★""), 0, 1), 1), 0),
  total, index($D$3:$D$7, right(index(split(A80, ""★""), 0, 1), 1), 0),
  base,"&amp;" INT(total/n),
  rem, total - base*n,
  index(MAP(SEQUENCE(n), LAMBDA(i, IF(i &lt;= rem, base+1, base))), ct, 0)
)"),13.0)</f>
        <v>13</v>
      </c>
      <c r="G80" s="316" t="s">
        <v>817</v>
      </c>
      <c r="H80" s="246">
        <v>20.0</v>
      </c>
      <c r="I80" s="315">
        <v>9.769441187964048E-4</v>
      </c>
      <c r="K80" s="246"/>
      <c r="L80" s="332"/>
      <c r="M80" s="331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329" t="str">
        <f>IFERROR(__xludf.DUMMYFUNCTION("""COMPUTED_VALUE"""),"Skull Isle - Helm 2★ #C80")</f>
        <v>Skull Isle - Helm 2★ #C80</v>
      </c>
      <c r="P80" s="246">
        <f>IFERROR(__xludf.DUMMYFUNCTION("""COMPUTED_VALUE"""),20.0)</f>
        <v>20</v>
      </c>
      <c r="Q80" s="315">
        <f>IFERROR(__xludf.DUMMYFUNCTION("if(P80="""", """", P80/sum(filter($P$16:$P$949, $P$16:$P$949&lt;&gt;"""")))"),9.769441187964048E-4)</f>
        <v>0.0009769441188</v>
      </c>
    </row>
    <row r="81" ht="12.75" customHeight="1">
      <c r="A81" s="322" t="str">
        <f>AlbumConfig!B68&amp;" "&amp;AlbumConfig!E68</f>
        <v>Dead Man Bay - Treasure Map 2★</v>
      </c>
      <c r="B81" s="341">
        <f>IFERROR(__xludf.DUMMYFUNCTION("index($B$3:$B$7, right(index(split(A81, ""★""),0,1)), 0)"),20.0)</f>
        <v>20</v>
      </c>
      <c r="C81" s="341">
        <f>IFERROR(__xludf.DUMMYFUNCTION("LET(
  ct, COUNTIF(ARRAYFORMULA(RIGHT(SPLIT($A$16:$A81, ""★""), 1)), TO_TEXT(RIGHT(SPLIT(A81, ""★""), 1))),
  n, index($C$3:$C$7, right(index(split(A81, ""★""), 0, 1), 1), 0),
  total, index($D$3:$D$7, right(index(split(A81, ""★""), 0, 1), 1), 0),
  base,"&amp;" INT(total/n),
  rem, total - base*n,
  index(MAP(SEQUENCE(n), LAMBDA(i, IF(i &lt;= rem, base+1, base))), ct, 0)
)"),12.0)</f>
        <v>12</v>
      </c>
      <c r="G81" s="316" t="s">
        <v>818</v>
      </c>
      <c r="H81" s="246">
        <v>20.0</v>
      </c>
      <c r="I81" s="315">
        <v>9.769441187964048E-4</v>
      </c>
      <c r="K81" s="246"/>
      <c r="L81" s="332"/>
      <c r="M81" s="331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329" t="str">
        <f>IFERROR(__xludf.DUMMYFUNCTION("""COMPUTED_VALUE"""),"Skull Isle - Helm 2★ #735")</f>
        <v>Skull Isle - Helm 2★ #735</v>
      </c>
      <c r="P81" s="246">
        <f>IFERROR(__xludf.DUMMYFUNCTION("""COMPUTED_VALUE"""),20.0)</f>
        <v>20</v>
      </c>
      <c r="Q81" s="315">
        <f>IFERROR(__xludf.DUMMYFUNCTION("if(P81="""", """", P81/sum(filter($P$16:$P$949, $P$16:$P$949&lt;&gt;"""")))"),9.769441187964048E-4)</f>
        <v>0.0009769441188</v>
      </c>
    </row>
    <row r="82" ht="12.75" customHeight="1">
      <c r="A82" s="322" t="str">
        <f>AlbumConfig!B69&amp;" "&amp;AlbumConfig!E69</f>
        <v>Dead Man Bay - Jolly Roger 2★</v>
      </c>
      <c r="B82" s="341">
        <f>IFERROR(__xludf.DUMMYFUNCTION("index($B$3:$B$7, right(index(split(A82, ""★""),0,1)), 0)"),20.0)</f>
        <v>20</v>
      </c>
      <c r="C82" s="341">
        <f>IFERROR(__xludf.DUMMYFUNCTION("LET(
  ct, COUNTIF(ARRAYFORMULA(RIGHT(SPLIT($A$16:$A82, ""★""), 1)), TO_TEXT(RIGHT(SPLIT(A82, ""★""), 1))),
  n, index($C$3:$C$7, right(index(split(A82, ""★""), 0, 1), 1), 0),
  total, index($D$3:$D$7, right(index(split(A82, ""★""), 0, 1), 1), 0),
  base,"&amp;" INT(total/n),
  rem, total - base*n,
  index(MAP(SEQUENCE(n), LAMBDA(i, IF(i &lt;= rem, base+1, base))), ct, 0)
)"),12.0)</f>
        <v>12</v>
      </c>
      <c r="G82" s="316" t="s">
        <v>819</v>
      </c>
      <c r="H82" s="246">
        <v>20.0</v>
      </c>
      <c r="I82" s="315">
        <v>9.769441187964048E-4</v>
      </c>
      <c r="K82" s="246"/>
      <c r="L82" s="332"/>
      <c r="M82" s="331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329" t="str">
        <f>IFERROR(__xludf.DUMMYFUNCTION("""COMPUTED_VALUE"""),"Skull Isle - Helm 2★ #1EA")</f>
        <v>Skull Isle - Helm 2★ #1EA</v>
      </c>
      <c r="P82" s="246">
        <f>IFERROR(__xludf.DUMMYFUNCTION("""COMPUTED_VALUE"""),20.0)</f>
        <v>20</v>
      </c>
      <c r="Q82" s="315">
        <f>IFERROR(__xludf.DUMMYFUNCTION("if(P82="""", """", P82/sum(filter($P$16:$P$949, $P$16:$P$949&lt;&gt;"""")))"),9.769441187964048E-4)</f>
        <v>0.0009769441188</v>
      </c>
    </row>
    <row r="83" ht="12.75" customHeight="1">
      <c r="A83" s="322" t="str">
        <f>AlbumConfig!B70&amp;" "&amp;AlbumConfig!E70</f>
        <v>Dead Man Bay - Gold Tooth 3★</v>
      </c>
      <c r="B83" s="341">
        <f>IFERROR(__xludf.DUMMYFUNCTION("index($B$3:$B$7, right(index(split(A83, ""★""),0,1)), 0)"),10.0)</f>
        <v>10</v>
      </c>
      <c r="C83" s="341">
        <f>IFERROR(__xludf.DUMMYFUNCTION("LET(
  ct, COUNTIF(ARRAYFORMULA(RIGHT(SPLIT($A$16:$A83, ""★""), 1)), TO_TEXT(RIGHT(SPLIT(A83, ""★""), 1))),
  n, index($C$3:$C$7, right(index(split(A83, ""★""), 0, 1), 1), 0),
  total, index($D$3:$D$7, right(index(split(A83, ""★""), 0, 1), 1), 0),
  base,"&amp;" INT(total/n),
  rem, total - base*n,
  index(MAP(SEQUENCE(n), LAMBDA(i, IF(i &lt;= rem, base+1, base))), ct, 0)
)"),13.0)</f>
        <v>13</v>
      </c>
      <c r="G83" s="316" t="s">
        <v>820</v>
      </c>
      <c r="H83" s="246">
        <v>20.0</v>
      </c>
      <c r="I83" s="315">
        <v>9.769441187964048E-4</v>
      </c>
      <c r="K83" s="246"/>
      <c r="L83" s="332"/>
      <c r="M83" s="331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329" t="str">
        <f>IFERROR(__xludf.DUMMYFUNCTION("""COMPUTED_VALUE"""),"Skull Isle - Helm 2★ #C9F")</f>
        <v>Skull Isle - Helm 2★ #C9F</v>
      </c>
      <c r="P83" s="246">
        <f>IFERROR(__xludf.DUMMYFUNCTION("""COMPUTED_VALUE"""),20.0)</f>
        <v>20</v>
      </c>
      <c r="Q83" s="315">
        <f>IFERROR(__xludf.DUMMYFUNCTION("if(P83="""", """", P83/sum(filter($P$16:$P$949, $P$16:$P$949&lt;&gt;"""")))"),9.769441187964048E-4)</f>
        <v>0.0009769441188</v>
      </c>
    </row>
    <row r="84" ht="12.75" customHeight="1">
      <c r="A84" s="322" t="str">
        <f>AlbumConfig!B71&amp;" "&amp;AlbumConfig!E71</f>
        <v>Dead Man Bay - Dagger 4★</v>
      </c>
      <c r="B84" s="341">
        <f>IFERROR(__xludf.DUMMYFUNCTION("index($B$3:$B$7, right(index(split(A84, ""★""),0,1)), 0)"),5.0)</f>
        <v>5</v>
      </c>
      <c r="C84" s="341">
        <f>IFERROR(__xludf.DUMMYFUNCTION("LET(
  ct, COUNTIF(ARRAYFORMULA(RIGHT(SPLIT($A$16:$A84, ""★""), 1)), TO_TEXT(RIGHT(SPLIT(A84, ""★""), 1))),
  n, index($C$3:$C$7, right(index(split(A84, ""★""), 0, 1), 1), 0),
  total, index($D$3:$D$7, right(index(split(A84, ""★""), 0, 1), 1), 0),
  base,"&amp;" INT(total/n),
  rem, total - base*n,
  index(MAP(SEQUENCE(n), LAMBDA(i, IF(i &lt;= rem, base+1, base))), ct, 0)
)"),11.0)</f>
        <v>11</v>
      </c>
      <c r="G84" s="316" t="s">
        <v>821</v>
      </c>
      <c r="H84" s="246">
        <v>20.0</v>
      </c>
      <c r="I84" s="315">
        <v>9.769441187964048E-4</v>
      </c>
      <c r="K84" s="246"/>
      <c r="L84" s="332"/>
      <c r="M84" s="331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329" t="str">
        <f>IFERROR(__xludf.DUMMYFUNCTION("""COMPUTED_VALUE"""),"Skull Isle - Helm 2★ #754")</f>
        <v>Skull Isle - Helm 2★ #754</v>
      </c>
      <c r="P84" s="246">
        <f>IFERROR(__xludf.DUMMYFUNCTION("""COMPUTED_VALUE"""),20.0)</f>
        <v>20</v>
      </c>
      <c r="Q84" s="315">
        <f>IFERROR(__xludf.DUMMYFUNCTION("if(P84="""", """", P84/sum(filter($P$16:$P$949, $P$16:$P$949&lt;&gt;"""")))"),9.769441187964048E-4)</f>
        <v>0.0009769441188</v>
      </c>
    </row>
    <row r="85" ht="12.75" customHeight="1">
      <c r="A85" s="322" t="str">
        <f>AlbumConfig!B72&amp;" "&amp;AlbumConfig!E72</f>
        <v>Dead Man Bay - Bandana 5★</v>
      </c>
      <c r="B85" s="341">
        <f>IFERROR(__xludf.DUMMYFUNCTION("index($B$3:$B$7, right(index(split(A85, ""★""),0,1)), 0)"),2.0)</f>
        <v>2</v>
      </c>
      <c r="C85" s="341">
        <f>IFERROR(__xludf.DUMMYFUNCTION("LET(
  ct, COUNTIF(ARRAYFORMULA(RIGHT(SPLIT($A$16:$A85, ""★""), 1)), TO_TEXT(RIGHT(SPLIT(A85, ""★""), 1))),
  n, index($C$3:$C$7, right(index(split(A85, ""★""), 0, 1), 1), 0),
  total, index($D$3:$D$7, right(index(split(A85, ""★""), 0, 1), 1), 0),
  base,"&amp;" INT(total/n),
  rem, total - base*n,
  index(MAP(SEQUENCE(n), LAMBDA(i, IF(i &lt;= rem, base+1, base))), ct, 0)
)"),5.0)</f>
        <v>5</v>
      </c>
      <c r="G85" s="316" t="s">
        <v>822</v>
      </c>
      <c r="H85" s="246">
        <v>20.0</v>
      </c>
      <c r="I85" s="315">
        <v>9.769441187964048E-4</v>
      </c>
      <c r="K85" s="246"/>
      <c r="L85" s="332"/>
      <c r="M85" s="331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329" t="str">
        <f>IFERROR(__xludf.DUMMYFUNCTION("""COMPUTED_VALUE"""),"Skull Isle - Cutlass 2★ #209")</f>
        <v>Skull Isle - Cutlass 2★ #209</v>
      </c>
      <c r="P85" s="246">
        <f>IFERROR(__xludf.DUMMYFUNCTION("""COMPUTED_VALUE"""),20.0)</f>
        <v>20</v>
      </c>
      <c r="Q85" s="315">
        <f>IFERROR(__xludf.DUMMYFUNCTION("if(P85="""", """", P85/sum(filter($P$16:$P$949, $P$16:$P$949&lt;&gt;"""")))"),9.769441187964048E-4)</f>
        <v>0.0009769441188</v>
      </c>
    </row>
    <row r="86" ht="12.75" customHeight="1">
      <c r="A86" s="322" t="str">
        <f>AlbumConfig!B73&amp;" "&amp;AlbumConfig!E73</f>
        <v>Dead Man Bay - Boots 5★</v>
      </c>
      <c r="B86" s="341">
        <f>IFERROR(__xludf.DUMMYFUNCTION("index($B$3:$B$7, right(index(split(A86, ""★""),0,1)), 0)"),2.0)</f>
        <v>2</v>
      </c>
      <c r="C86" s="341">
        <f>IFERROR(__xludf.DUMMYFUNCTION("LET(
  ct, COUNTIF(ARRAYFORMULA(RIGHT(SPLIT($A$16:$A86, ""★""), 1)), TO_TEXT(RIGHT(SPLIT(A86, ""★""), 1))),
  n, index($C$3:$C$7, right(index(split(A86, ""★""), 0, 1), 1), 0),
  total, index($D$3:$D$7, right(index(split(A86, ""★""), 0, 1), 1), 0),
  base,"&amp;" INT(total/n),
  rem, total - base*n,
  index(MAP(SEQUENCE(n), LAMBDA(i, IF(i &lt;= rem, base+1, base))), ct, 0)
)"),5.0)</f>
        <v>5</v>
      </c>
      <c r="G86" s="316" t="s">
        <v>823</v>
      </c>
      <c r="H86" s="246">
        <v>20.0</v>
      </c>
      <c r="I86" s="315">
        <v>9.769441187964048E-4</v>
      </c>
      <c r="K86" s="246"/>
      <c r="L86" s="332"/>
      <c r="M86" s="331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329" t="str">
        <f>IFERROR(__xludf.DUMMYFUNCTION("""COMPUTED_VALUE"""),"Skull Isle - Cutlass 2★ #CBE")</f>
        <v>Skull Isle - Cutlass 2★ #CBE</v>
      </c>
      <c r="P86" s="246">
        <f>IFERROR(__xludf.DUMMYFUNCTION("""COMPUTED_VALUE"""),20.0)</f>
        <v>20</v>
      </c>
      <c r="Q86" s="315">
        <f>IFERROR(__xludf.DUMMYFUNCTION("if(P86="""", """", P86/sum(filter($P$16:$P$949, $P$16:$P$949&lt;&gt;"""")))"),9.769441187964048E-4)</f>
        <v>0.0009769441188</v>
      </c>
    </row>
    <row r="87" ht="12.75" customHeight="1">
      <c r="A87" s="322" t="str">
        <f>AlbumConfig!B74&amp;" "&amp;AlbumConfig!E74</f>
        <v>Dead Man Bay - Beard 5★</v>
      </c>
      <c r="B87" s="341">
        <f>IFERROR(__xludf.DUMMYFUNCTION("index($B$3:$B$7, right(index(split(A87, ""★""),0,1)), 0)"),2.0)</f>
        <v>2</v>
      </c>
      <c r="C87" s="341">
        <f>IFERROR(__xludf.DUMMYFUNCTION("LET(
  ct, COUNTIF(ARRAYFORMULA(RIGHT(SPLIT($A$16:$A87, ""★""), 1)), TO_TEXT(RIGHT(SPLIT(A87, ""★""), 1))),
  n, index($C$3:$C$7, right(index(split(A87, ""★""), 0, 1), 1), 0),
  total, index($D$3:$D$7, right(index(split(A87, ""★""), 0, 1), 1), 0),
  base,"&amp;" INT(total/n),
  rem, total - base*n,
  index(MAP(SEQUENCE(n), LAMBDA(i, IF(i &lt;= rem, base+1, base))), ct, 0)
)"),5.0)</f>
        <v>5</v>
      </c>
      <c r="G87" s="316" t="s">
        <v>824</v>
      </c>
      <c r="H87" s="246">
        <v>20.0</v>
      </c>
      <c r="I87" s="315">
        <v>9.769441187964048E-4</v>
      </c>
      <c r="K87" s="246"/>
      <c r="L87" s="332"/>
      <c r="M87" s="331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329" t="str">
        <f>IFERROR(__xludf.DUMMYFUNCTION("""COMPUTED_VALUE"""),"Skull Isle - Cutlass 2★ #773")</f>
        <v>Skull Isle - Cutlass 2★ #773</v>
      </c>
      <c r="P87" s="246">
        <f>IFERROR(__xludf.DUMMYFUNCTION("""COMPUTED_VALUE"""),20.0)</f>
        <v>20</v>
      </c>
      <c r="Q87" s="315">
        <f>IFERROR(__xludf.DUMMYFUNCTION("if(P87="""", """", P87/sum(filter($P$16:$P$949, $P$16:$P$949&lt;&gt;"""")))"),9.769441187964048E-4)</f>
        <v>0.0009769441188</v>
      </c>
    </row>
    <row r="88" ht="12.75" customHeight="1">
      <c r="A88" s="322" t="str">
        <f>AlbumConfig!B75&amp;" "&amp;AlbumConfig!E75</f>
        <v> </v>
      </c>
      <c r="G88" s="316" t="s">
        <v>825</v>
      </c>
      <c r="H88" s="246">
        <v>20.0</v>
      </c>
      <c r="I88" s="315">
        <v>9.769441187964048E-4</v>
      </c>
      <c r="K88" s="246"/>
      <c r="L88" s="332"/>
      <c r="M88" s="331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329" t="str">
        <f>IFERROR(__xludf.DUMMYFUNCTION("""COMPUTED_VALUE"""),"Skull Isle - Cutlass 2★ #228")</f>
        <v>Skull Isle - Cutlass 2★ #228</v>
      </c>
      <c r="P88" s="246">
        <f>IFERROR(__xludf.DUMMYFUNCTION("""COMPUTED_VALUE"""),20.0)</f>
        <v>20</v>
      </c>
      <c r="Q88" s="315">
        <f>IFERROR(__xludf.DUMMYFUNCTION("if(P88="""", """", P88/sum(filter($P$16:$P$949, $P$16:$P$949&lt;&gt;"""")))"),9.769441187964048E-4)</f>
        <v>0.0009769441188</v>
      </c>
    </row>
    <row r="89" ht="12.75" customHeight="1">
      <c r="A89" s="322" t="str">
        <f>AlbumConfig!B76&amp;" "&amp;AlbumConfig!E76</f>
        <v> </v>
      </c>
      <c r="G89" s="316" t="s">
        <v>826</v>
      </c>
      <c r="H89" s="246">
        <v>20.0</v>
      </c>
      <c r="I89" s="315">
        <v>9.769441187964048E-4</v>
      </c>
      <c r="K89" s="246"/>
      <c r="L89" s="332"/>
      <c r="M89" s="331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329" t="str">
        <f>IFERROR(__xludf.DUMMYFUNCTION("""COMPUTED_VALUE"""),"Skull Isle - Cutlass 2★ #CDD")</f>
        <v>Skull Isle - Cutlass 2★ #CDD</v>
      </c>
      <c r="P89" s="246">
        <f>IFERROR(__xludf.DUMMYFUNCTION("""COMPUTED_VALUE"""),20.0)</f>
        <v>20</v>
      </c>
      <c r="Q89" s="315">
        <f>IFERROR(__xludf.DUMMYFUNCTION("if(P89="""", """", P89/sum(filter($P$16:$P$949, $P$16:$P$949&lt;&gt;"""")))"),9.769441187964048E-4)</f>
        <v>0.0009769441188</v>
      </c>
    </row>
    <row r="90" ht="12.75" customHeight="1">
      <c r="A90" s="322" t="str">
        <f>AlbumConfig!B77&amp;" "&amp;AlbumConfig!E77</f>
        <v> </v>
      </c>
      <c r="G90" s="316" t="s">
        <v>827</v>
      </c>
      <c r="H90" s="246">
        <v>20.0</v>
      </c>
      <c r="I90" s="315">
        <v>9.769441187964048E-4</v>
      </c>
      <c r="K90" s="246"/>
      <c r="L90" s="332"/>
      <c r="M90" s="331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329" t="str">
        <f>IFERROR(__xludf.DUMMYFUNCTION("""COMPUTED_VALUE"""),"Skull Isle - Cutlass 2★ #792")</f>
        <v>Skull Isle - Cutlass 2★ #792</v>
      </c>
      <c r="P90" s="246">
        <f>IFERROR(__xludf.DUMMYFUNCTION("""COMPUTED_VALUE"""),20.0)</f>
        <v>20</v>
      </c>
      <c r="Q90" s="315">
        <f>IFERROR(__xludf.DUMMYFUNCTION("if(P90="""", """", P90/sum(filter($P$16:$P$949, $P$16:$P$949&lt;&gt;"""")))"),9.769441187964048E-4)</f>
        <v>0.0009769441188</v>
      </c>
    </row>
    <row r="91" ht="12.75" customHeight="1">
      <c r="A91" s="322"/>
      <c r="G91" s="316" t="s">
        <v>828</v>
      </c>
      <c r="H91" s="246">
        <v>20.0</v>
      </c>
      <c r="I91" s="315">
        <v>9.769441187964048E-4</v>
      </c>
      <c r="K91" s="246"/>
      <c r="L91" s="332"/>
      <c r="M91" s="331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329" t="str">
        <f>IFERROR(__xludf.DUMMYFUNCTION("""COMPUTED_VALUE"""),"Skull Isle - Cutlass 2★ #247")</f>
        <v>Skull Isle - Cutlass 2★ #247</v>
      </c>
      <c r="P91" s="246">
        <f>IFERROR(__xludf.DUMMYFUNCTION("""COMPUTED_VALUE"""),20.0)</f>
        <v>20</v>
      </c>
      <c r="Q91" s="315">
        <f>IFERROR(__xludf.DUMMYFUNCTION("if(P91="""", """", P91/sum(filter($P$16:$P$949, $P$16:$P$949&lt;&gt;"""")))"),9.769441187964048E-4)</f>
        <v>0.0009769441188</v>
      </c>
    </row>
    <row r="92" ht="12.75" customHeight="1">
      <c r="A92" s="322"/>
      <c r="G92" s="316" t="s">
        <v>829</v>
      </c>
      <c r="H92" s="246">
        <v>20.0</v>
      </c>
      <c r="I92" s="315">
        <v>9.769441187964048E-4</v>
      </c>
      <c r="K92" s="246"/>
      <c r="L92" s="332"/>
      <c r="M92" s="331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329" t="str">
        <f>IFERROR(__xludf.DUMMYFUNCTION("""COMPUTED_VALUE"""),"Skull Isle - Cutlass 2★ #CFC")</f>
        <v>Skull Isle - Cutlass 2★ #CFC</v>
      </c>
      <c r="P92" s="246">
        <f>IFERROR(__xludf.DUMMYFUNCTION("""COMPUTED_VALUE"""),20.0)</f>
        <v>20</v>
      </c>
      <c r="Q92" s="315">
        <f>IFERROR(__xludf.DUMMYFUNCTION("if(P92="""", """", P92/sum(filter($P$16:$P$949, $P$16:$P$949&lt;&gt;"""")))"),9.769441187964048E-4)</f>
        <v>0.0009769441188</v>
      </c>
    </row>
    <row r="93" ht="12.75" customHeight="1">
      <c r="A93" s="322"/>
      <c r="G93" s="316" t="s">
        <v>830</v>
      </c>
      <c r="H93" s="246">
        <v>20.0</v>
      </c>
      <c r="I93" s="315">
        <v>9.769441187964048E-4</v>
      </c>
      <c r="K93" s="246"/>
      <c r="L93" s="332"/>
      <c r="M93" s="331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329" t="str">
        <f>IFERROR(__xludf.DUMMYFUNCTION("""COMPUTED_VALUE"""),"Skull Isle - Cutlass 2★ #7B1")</f>
        <v>Skull Isle - Cutlass 2★ #7B1</v>
      </c>
      <c r="P93" s="246">
        <f>IFERROR(__xludf.DUMMYFUNCTION("""COMPUTED_VALUE"""),20.0)</f>
        <v>20</v>
      </c>
      <c r="Q93" s="315">
        <f>IFERROR(__xludf.DUMMYFUNCTION("if(P93="""", """", P93/sum(filter($P$16:$P$949, $P$16:$P$949&lt;&gt;"""")))"),9.769441187964048E-4)</f>
        <v>0.0009769441188</v>
      </c>
    </row>
    <row r="94" ht="12.75" customHeight="1">
      <c r="A94" s="322"/>
      <c r="G94" s="316" t="s">
        <v>831</v>
      </c>
      <c r="H94" s="246">
        <v>20.0</v>
      </c>
      <c r="I94" s="315">
        <v>9.769441187964048E-4</v>
      </c>
      <c r="K94" s="246"/>
      <c r="L94" s="332"/>
      <c r="M94" s="331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329" t="str">
        <f>IFERROR(__xludf.DUMMYFUNCTION("""COMPUTED_VALUE"""),"Skull Isle - Cutlass 2★ #266")</f>
        <v>Skull Isle - Cutlass 2★ #266</v>
      </c>
      <c r="P94" s="246">
        <f>IFERROR(__xludf.DUMMYFUNCTION("""COMPUTED_VALUE"""),20.0)</f>
        <v>20</v>
      </c>
      <c r="Q94" s="315">
        <f>IFERROR(__xludf.DUMMYFUNCTION("if(P94="""", """", P94/sum(filter($P$16:$P$949, $P$16:$P$949&lt;&gt;"""")))"),9.769441187964048E-4)</f>
        <v>0.0009769441188</v>
      </c>
    </row>
    <row r="95" ht="12.75" customHeight="1">
      <c r="A95" s="322"/>
      <c r="G95" s="316" t="s">
        <v>832</v>
      </c>
      <c r="H95" s="246">
        <v>20.0</v>
      </c>
      <c r="I95" s="315">
        <v>9.769441187964048E-4</v>
      </c>
      <c r="K95" s="246"/>
      <c r="L95" s="332"/>
      <c r="M95" s="331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329" t="str">
        <f>IFERROR(__xludf.DUMMYFUNCTION("""COMPUTED_VALUE"""),"Skull Isle - Cutlass 2★ #D1B")</f>
        <v>Skull Isle - Cutlass 2★ #D1B</v>
      </c>
      <c r="P95" s="246">
        <f>IFERROR(__xludf.DUMMYFUNCTION("""COMPUTED_VALUE"""),20.0)</f>
        <v>20</v>
      </c>
      <c r="Q95" s="315">
        <f>IFERROR(__xludf.DUMMYFUNCTION("if(P95="""", """", P95/sum(filter($P$16:$P$949, $P$16:$P$949&lt;&gt;"""")))"),9.769441187964048E-4)</f>
        <v>0.0009769441188</v>
      </c>
    </row>
    <row r="96" ht="12.75" customHeight="1">
      <c r="A96" s="322"/>
      <c r="G96" s="316" t="s">
        <v>833</v>
      </c>
      <c r="H96" s="246">
        <v>20.0</v>
      </c>
      <c r="I96" s="315">
        <v>9.769441187964048E-4</v>
      </c>
      <c r="K96" s="246"/>
      <c r="L96" s="332"/>
      <c r="M96" s="331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329" t="str">
        <f>IFERROR(__xludf.DUMMYFUNCTION("""COMPUTED_VALUE"""),"Skull Isle - Cutlass 2★ #7D0")</f>
        <v>Skull Isle - Cutlass 2★ #7D0</v>
      </c>
      <c r="P96" s="246">
        <f>IFERROR(__xludf.DUMMYFUNCTION("""COMPUTED_VALUE"""),20.0)</f>
        <v>20</v>
      </c>
      <c r="Q96" s="315">
        <f>IFERROR(__xludf.DUMMYFUNCTION("if(P96="""", """", P96/sum(filter($P$16:$P$949, $P$16:$P$949&lt;&gt;"""")))"),9.769441187964048E-4)</f>
        <v>0.0009769441188</v>
      </c>
    </row>
    <row r="97" ht="12.75" customHeight="1">
      <c r="A97" s="322"/>
      <c r="G97" s="316" t="s">
        <v>834</v>
      </c>
      <c r="H97" s="246">
        <v>20.0</v>
      </c>
      <c r="I97" s="315">
        <v>9.769441187964048E-4</v>
      </c>
      <c r="K97" s="246"/>
      <c r="L97" s="332"/>
      <c r="M97" s="331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329" t="str">
        <f>IFERROR(__xludf.DUMMYFUNCTION("""COMPUTED_VALUE"""),"Skull Isle - Cutlass 2★ #285")</f>
        <v>Skull Isle - Cutlass 2★ #285</v>
      </c>
      <c r="P97" s="246">
        <f>IFERROR(__xludf.DUMMYFUNCTION("""COMPUTED_VALUE"""),20.0)</f>
        <v>20</v>
      </c>
      <c r="Q97" s="315">
        <f>IFERROR(__xludf.DUMMYFUNCTION("if(P97="""", """", P97/sum(filter($P$16:$P$949, $P$16:$P$949&lt;&gt;"""")))"),9.769441187964048E-4)</f>
        <v>0.0009769441188</v>
      </c>
    </row>
    <row r="98" ht="12.75" customHeight="1">
      <c r="A98" s="322"/>
      <c r="G98" s="316" t="s">
        <v>835</v>
      </c>
      <c r="H98" s="246">
        <v>20.0</v>
      </c>
      <c r="I98" s="315">
        <v>9.769441187964048E-4</v>
      </c>
      <c r="K98" s="246"/>
      <c r="L98" s="332"/>
      <c r="M98" s="331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329" t="str">
        <f>IFERROR(__xludf.DUMMYFUNCTION("""COMPUTED_VALUE"""),"Skull Isle - Parrot 2★ #D3A")</f>
        <v>Skull Isle - Parrot 2★ #D3A</v>
      </c>
      <c r="P98" s="246">
        <f>IFERROR(__xludf.DUMMYFUNCTION("""COMPUTED_VALUE"""),20.0)</f>
        <v>20</v>
      </c>
      <c r="Q98" s="315">
        <f>IFERROR(__xludf.DUMMYFUNCTION("if(P98="""", """", P98/sum(filter($P$16:$P$949, $P$16:$P$949&lt;&gt;"""")))"),9.769441187964048E-4)</f>
        <v>0.0009769441188</v>
      </c>
    </row>
    <row r="99" ht="12.75" customHeight="1">
      <c r="A99" s="322"/>
      <c r="G99" s="316" t="s">
        <v>836</v>
      </c>
      <c r="H99" s="246">
        <v>20.0</v>
      </c>
      <c r="I99" s="315">
        <v>9.769441187964048E-4</v>
      </c>
      <c r="K99" s="246"/>
      <c r="L99" s="332"/>
      <c r="M99" s="331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329" t="str">
        <f>IFERROR(__xludf.DUMMYFUNCTION("""COMPUTED_VALUE"""),"Skull Isle - Parrot 2★ #7EF")</f>
        <v>Skull Isle - Parrot 2★ #7EF</v>
      </c>
      <c r="P99" s="246">
        <f>IFERROR(__xludf.DUMMYFUNCTION("""COMPUTED_VALUE"""),20.0)</f>
        <v>20</v>
      </c>
      <c r="Q99" s="315">
        <f>IFERROR(__xludf.DUMMYFUNCTION("if(P99="""", """", P99/sum(filter($P$16:$P$949, $P$16:$P$949&lt;&gt;"""")))"),9.769441187964048E-4)</f>
        <v>0.0009769441188</v>
      </c>
    </row>
    <row r="100" ht="12.75" customHeight="1">
      <c r="A100" s="322"/>
      <c r="G100" s="316" t="s">
        <v>837</v>
      </c>
      <c r="H100" s="246">
        <v>20.0</v>
      </c>
      <c r="I100" s="315">
        <v>9.769441187964048E-4</v>
      </c>
      <c r="K100" s="246"/>
      <c r="L100" s="332"/>
      <c r="M100" s="331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329" t="str">
        <f>IFERROR(__xludf.DUMMYFUNCTION("""COMPUTED_VALUE"""),"Skull Isle - Parrot 2★ #2A4")</f>
        <v>Skull Isle - Parrot 2★ #2A4</v>
      </c>
      <c r="P100" s="246">
        <f>IFERROR(__xludf.DUMMYFUNCTION("""COMPUTED_VALUE"""),20.0)</f>
        <v>20</v>
      </c>
      <c r="Q100" s="315">
        <f>IFERROR(__xludf.DUMMYFUNCTION("if(P100="""", """", P100/sum(filter($P$16:$P$949, $P$16:$P$949&lt;&gt;"""")))"),9.769441187964048E-4)</f>
        <v>0.0009769441188</v>
      </c>
    </row>
    <row r="101" ht="12.75" customHeight="1">
      <c r="G101" s="316" t="s">
        <v>838</v>
      </c>
      <c r="H101" s="246">
        <v>20.0</v>
      </c>
      <c r="I101" s="315">
        <v>9.769441187964048E-4</v>
      </c>
      <c r="K101" s="246"/>
      <c r="L101" s="332"/>
      <c r="M101" s="331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329" t="str">
        <f>IFERROR(__xludf.DUMMYFUNCTION("""COMPUTED_VALUE"""),"Skull Isle - Parrot 2★ #D59")</f>
        <v>Skull Isle - Parrot 2★ #D59</v>
      </c>
      <c r="P101" s="246">
        <f>IFERROR(__xludf.DUMMYFUNCTION("""COMPUTED_VALUE"""),20.0)</f>
        <v>20</v>
      </c>
      <c r="Q101" s="315">
        <f>IFERROR(__xludf.DUMMYFUNCTION("if(P101="""", """", P101/sum(filter($P$16:$P$949, $P$16:$P$949&lt;&gt;"""")))"),9.769441187964048E-4)</f>
        <v>0.0009769441188</v>
      </c>
    </row>
    <row r="102" ht="12.75" customHeight="1">
      <c r="G102" s="316" t="s">
        <v>839</v>
      </c>
      <c r="H102" s="246">
        <v>20.0</v>
      </c>
      <c r="I102" s="315">
        <v>9.769441187964048E-4</v>
      </c>
      <c r="K102" s="246"/>
      <c r="L102" s="332"/>
      <c r="M102" s="331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329" t="str">
        <f>IFERROR(__xludf.DUMMYFUNCTION("""COMPUTED_VALUE"""),"Skull Isle - Parrot 2★ #80E")</f>
        <v>Skull Isle - Parrot 2★ #80E</v>
      </c>
      <c r="P102" s="246">
        <f>IFERROR(__xludf.DUMMYFUNCTION("""COMPUTED_VALUE"""),20.0)</f>
        <v>20</v>
      </c>
      <c r="Q102" s="315">
        <f>IFERROR(__xludf.DUMMYFUNCTION("if(P102="""", """", P102/sum(filter($P$16:$P$949, $P$16:$P$949&lt;&gt;"""")))"),9.769441187964048E-4)</f>
        <v>0.0009769441188</v>
      </c>
    </row>
    <row r="103" ht="12.75" customHeight="1">
      <c r="G103" s="316" t="s">
        <v>840</v>
      </c>
      <c r="H103" s="246">
        <v>20.0</v>
      </c>
      <c r="I103" s="315">
        <v>9.769441187964048E-4</v>
      </c>
      <c r="K103" s="246"/>
      <c r="L103" s="332"/>
      <c r="M103" s="331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329" t="str">
        <f>IFERROR(__xludf.DUMMYFUNCTION("""COMPUTED_VALUE"""),"Skull Isle - Parrot 2★ #2C3")</f>
        <v>Skull Isle - Parrot 2★ #2C3</v>
      </c>
      <c r="P103" s="246">
        <f>IFERROR(__xludf.DUMMYFUNCTION("""COMPUTED_VALUE"""),20.0)</f>
        <v>20</v>
      </c>
      <c r="Q103" s="315">
        <f>IFERROR(__xludf.DUMMYFUNCTION("if(P103="""", """", P103/sum(filter($P$16:$P$949, $P$16:$P$949&lt;&gt;"""")))"),9.769441187964048E-4)</f>
        <v>0.0009769441188</v>
      </c>
    </row>
    <row r="104" ht="12.75" customHeight="1">
      <c r="G104" s="316" t="s">
        <v>841</v>
      </c>
      <c r="H104" s="246">
        <v>20.0</v>
      </c>
      <c r="I104" s="315">
        <v>9.769441187964048E-4</v>
      </c>
      <c r="K104" s="246"/>
      <c r="L104" s="316"/>
      <c r="M104" s="331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329" t="str">
        <f>IFERROR(__xludf.DUMMYFUNCTION("""COMPUTED_VALUE"""),"Skull Isle - Parrot 2★ #D78")</f>
        <v>Skull Isle - Parrot 2★ #D78</v>
      </c>
      <c r="P104" s="246">
        <f>IFERROR(__xludf.DUMMYFUNCTION("""COMPUTED_VALUE"""),20.0)</f>
        <v>20</v>
      </c>
      <c r="Q104" s="315">
        <f>IFERROR(__xludf.DUMMYFUNCTION("if(P104="""", """", P104/sum(filter($P$16:$P$949, $P$16:$P$949&lt;&gt;"""")))"),9.769441187964048E-4)</f>
        <v>0.0009769441188</v>
      </c>
    </row>
    <row r="105" ht="12.75" customHeight="1">
      <c r="G105" s="316" t="s">
        <v>842</v>
      </c>
      <c r="H105" s="246">
        <v>20.0</v>
      </c>
      <c r="I105" s="315">
        <v>9.769441187964048E-4</v>
      </c>
      <c r="K105" s="246"/>
      <c r="L105" s="316"/>
      <c r="M105" s="331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329" t="str">
        <f>IFERROR(__xludf.DUMMYFUNCTION("""COMPUTED_VALUE"""),"Skull Isle - Parrot 2★ #82D")</f>
        <v>Skull Isle - Parrot 2★ #82D</v>
      </c>
      <c r="P105" s="246">
        <f>IFERROR(__xludf.DUMMYFUNCTION("""COMPUTED_VALUE"""),20.0)</f>
        <v>20</v>
      </c>
      <c r="Q105" s="315">
        <f>IFERROR(__xludf.DUMMYFUNCTION("if(P105="""", """", P105/sum(filter($P$16:$P$949, $P$16:$P$949&lt;&gt;"""")))"),9.769441187964048E-4)</f>
        <v>0.0009769441188</v>
      </c>
    </row>
    <row r="106" ht="12.75" customHeight="1">
      <c r="G106" s="316" t="s">
        <v>843</v>
      </c>
      <c r="H106" s="246">
        <v>20.0</v>
      </c>
      <c r="I106" s="315">
        <v>9.769441187964048E-4</v>
      </c>
      <c r="K106" s="246"/>
      <c r="L106" s="316"/>
      <c r="M106" s="331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329" t="str">
        <f>IFERROR(__xludf.DUMMYFUNCTION("""COMPUTED_VALUE"""),"Skull Isle - Parrot 2★ #2E2")</f>
        <v>Skull Isle - Parrot 2★ #2E2</v>
      </c>
      <c r="P106" s="246">
        <f>IFERROR(__xludf.DUMMYFUNCTION("""COMPUTED_VALUE"""),20.0)</f>
        <v>20</v>
      </c>
      <c r="Q106" s="315">
        <f>IFERROR(__xludf.DUMMYFUNCTION("if(P106="""", """", P106/sum(filter($P$16:$P$949, $P$16:$P$949&lt;&gt;"""")))"),9.769441187964048E-4)</f>
        <v>0.0009769441188</v>
      </c>
    </row>
    <row r="107" ht="12.75" customHeight="1">
      <c r="G107" s="316" t="s">
        <v>844</v>
      </c>
      <c r="H107" s="246">
        <v>20.0</v>
      </c>
      <c r="I107" s="315">
        <v>9.769441187964048E-4</v>
      </c>
      <c r="K107" s="246"/>
      <c r="L107" s="316"/>
      <c r="M107" s="331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329" t="str">
        <f>IFERROR(__xludf.DUMMYFUNCTION("""COMPUTED_VALUE"""),"Skull Isle - Parrot 2★ #D97")</f>
        <v>Skull Isle - Parrot 2★ #D97</v>
      </c>
      <c r="P107" s="246">
        <f>IFERROR(__xludf.DUMMYFUNCTION("""COMPUTED_VALUE"""),20.0)</f>
        <v>20</v>
      </c>
      <c r="Q107" s="315">
        <f>IFERROR(__xludf.DUMMYFUNCTION("if(P107="""", """", P107/sum(filter($P$16:$P$949, $P$16:$P$949&lt;&gt;"""")))"),9.769441187964048E-4)</f>
        <v>0.0009769441188</v>
      </c>
    </row>
    <row r="108" ht="12.75" customHeight="1">
      <c r="G108" s="316" t="s">
        <v>845</v>
      </c>
      <c r="H108" s="246">
        <v>20.0</v>
      </c>
      <c r="I108" s="315">
        <v>9.769441187964048E-4</v>
      </c>
      <c r="K108" s="246"/>
      <c r="L108" s="316"/>
      <c r="M108" s="331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329" t="str">
        <f>IFERROR(__xludf.DUMMYFUNCTION("""COMPUTED_VALUE"""),"Skull Isle - Parrot 2★ #84C")</f>
        <v>Skull Isle - Parrot 2★ #84C</v>
      </c>
      <c r="P108" s="246">
        <f>IFERROR(__xludf.DUMMYFUNCTION("""COMPUTED_VALUE"""),20.0)</f>
        <v>20</v>
      </c>
      <c r="Q108" s="315">
        <f>IFERROR(__xludf.DUMMYFUNCTION("if(P108="""", """", P108/sum(filter($P$16:$P$949, $P$16:$P$949&lt;&gt;"""")))"),9.769441187964048E-4)</f>
        <v>0.0009769441188</v>
      </c>
    </row>
    <row r="109" ht="12.75" customHeight="1">
      <c r="G109" s="316" t="s">
        <v>846</v>
      </c>
      <c r="H109" s="246">
        <v>20.0</v>
      </c>
      <c r="I109" s="315">
        <v>9.769441187964048E-4</v>
      </c>
      <c r="K109" s="246"/>
      <c r="L109" s="316"/>
      <c r="M109" s="331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329" t="str">
        <f>IFERROR(__xludf.DUMMYFUNCTION("""COMPUTED_VALUE"""),"Skull Isle - Parrot 2★ #301")</f>
        <v>Skull Isle - Parrot 2★ #301</v>
      </c>
      <c r="P109" s="246">
        <f>IFERROR(__xludf.DUMMYFUNCTION("""COMPUTED_VALUE"""),20.0)</f>
        <v>20</v>
      </c>
      <c r="Q109" s="315">
        <f>IFERROR(__xludf.DUMMYFUNCTION("if(P109="""", """", P109/sum(filter($P$16:$P$949, $P$16:$P$949&lt;&gt;"""")))"),9.769441187964048E-4)</f>
        <v>0.0009769441188</v>
      </c>
    </row>
    <row r="110" ht="12.75" customHeight="1">
      <c r="G110" s="316" t="s">
        <v>847</v>
      </c>
      <c r="H110" s="246">
        <v>20.0</v>
      </c>
      <c r="I110" s="315">
        <v>9.769441187964048E-4</v>
      </c>
      <c r="K110" s="246"/>
      <c r="L110" s="316"/>
      <c r="M110" s="331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329" t="str">
        <f>IFERROR(__xludf.DUMMYFUNCTION("""COMPUTED_VALUE"""),"Skull Isle - Parrot 2★ #DB6")</f>
        <v>Skull Isle - Parrot 2★ #DB6</v>
      </c>
      <c r="P110" s="246">
        <f>IFERROR(__xludf.DUMMYFUNCTION("""COMPUTED_VALUE"""),20.0)</f>
        <v>20</v>
      </c>
      <c r="Q110" s="315">
        <f>IFERROR(__xludf.DUMMYFUNCTION("if(P110="""", """", P110/sum(filter($P$16:$P$949, $P$16:$P$949&lt;&gt;"""")))"),9.769441187964048E-4)</f>
        <v>0.0009769441188</v>
      </c>
    </row>
    <row r="111" ht="12.75" customHeight="1">
      <c r="G111" s="316" t="s">
        <v>848</v>
      </c>
      <c r="H111" s="246">
        <v>10.0</v>
      </c>
      <c r="I111" s="315">
        <v>4.884720593982024E-4</v>
      </c>
      <c r="K111" s="246"/>
      <c r="L111" s="316"/>
      <c r="M111" s="331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329" t="str">
        <f>IFERROR(__xludf.DUMMYFUNCTION("""COMPUTED_VALUE"""),"Skull Isle - Chest 3★ #86B")</f>
        <v>Skull Isle - Chest 3★ #86B</v>
      </c>
      <c r="P111" s="246">
        <f>IFERROR(__xludf.DUMMYFUNCTION("""COMPUTED_VALUE"""),10.0)</f>
        <v>10</v>
      </c>
      <c r="Q111" s="315">
        <f>IFERROR(__xludf.DUMMYFUNCTION("if(P111="""", """", P111/sum(filter($P$16:$P$949, $P$16:$P$949&lt;&gt;"""")))"),4.884720593982024E-4)</f>
        <v>0.0004884720594</v>
      </c>
    </row>
    <row r="112" ht="12.75" customHeight="1">
      <c r="G112" s="316" t="s">
        <v>849</v>
      </c>
      <c r="H112" s="246">
        <v>10.0</v>
      </c>
      <c r="I112" s="315">
        <v>4.884720593982024E-4</v>
      </c>
      <c r="K112" s="246"/>
      <c r="L112" s="316"/>
      <c r="M112" s="331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329" t="str">
        <f>IFERROR(__xludf.DUMMYFUNCTION("""COMPUTED_VALUE"""),"Skull Isle - Chest 3★ #320")</f>
        <v>Skull Isle - Chest 3★ #320</v>
      </c>
      <c r="P112" s="246">
        <f>IFERROR(__xludf.DUMMYFUNCTION("""COMPUTED_VALUE"""),10.0)</f>
        <v>10</v>
      </c>
      <c r="Q112" s="315">
        <f>IFERROR(__xludf.DUMMYFUNCTION("if(P112="""", """", P112/sum(filter($P$16:$P$949, $P$16:$P$949&lt;&gt;"""")))"),4.884720593982024E-4)</f>
        <v>0.0004884720594</v>
      </c>
    </row>
    <row r="113" ht="12.75" customHeight="1">
      <c r="G113" s="316" t="s">
        <v>850</v>
      </c>
      <c r="H113" s="246">
        <v>10.0</v>
      </c>
      <c r="I113" s="315">
        <v>4.884720593982024E-4</v>
      </c>
      <c r="K113" s="246"/>
      <c r="L113" s="316"/>
      <c r="M113" s="331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329" t="str">
        <f>IFERROR(__xludf.DUMMYFUNCTION("""COMPUTED_VALUE"""),"Skull Isle - Chest 3★ #DD5")</f>
        <v>Skull Isle - Chest 3★ #DD5</v>
      </c>
      <c r="P113" s="246">
        <f>IFERROR(__xludf.DUMMYFUNCTION("""COMPUTED_VALUE"""),10.0)</f>
        <v>10</v>
      </c>
      <c r="Q113" s="315">
        <f>IFERROR(__xludf.DUMMYFUNCTION("if(P113="""", """", P113/sum(filter($P$16:$P$949, $P$16:$P$949&lt;&gt;"""")))"),4.884720593982024E-4)</f>
        <v>0.0004884720594</v>
      </c>
    </row>
    <row r="114" ht="12.75" customHeight="1">
      <c r="G114" s="316" t="s">
        <v>851</v>
      </c>
      <c r="H114" s="246">
        <v>10.0</v>
      </c>
      <c r="I114" s="315">
        <v>4.884720593982024E-4</v>
      </c>
      <c r="K114" s="246"/>
      <c r="L114" s="316"/>
      <c r="M114" s="331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329" t="str">
        <f>IFERROR(__xludf.DUMMYFUNCTION("""COMPUTED_VALUE"""),"Skull Isle - Chest 3★ #88A")</f>
        <v>Skull Isle - Chest 3★ #88A</v>
      </c>
      <c r="P114" s="246">
        <f>IFERROR(__xludf.DUMMYFUNCTION("""COMPUTED_VALUE"""),10.0)</f>
        <v>10</v>
      </c>
      <c r="Q114" s="315">
        <f>IFERROR(__xludf.DUMMYFUNCTION("if(P114="""", """", P114/sum(filter($P$16:$P$949, $P$16:$P$949&lt;&gt;"""")))"),4.884720593982024E-4)</f>
        <v>0.0004884720594</v>
      </c>
    </row>
    <row r="115" ht="12.75" customHeight="1">
      <c r="G115" s="316" t="s">
        <v>852</v>
      </c>
      <c r="H115" s="246">
        <v>10.0</v>
      </c>
      <c r="I115" s="315">
        <v>4.884720593982024E-4</v>
      </c>
      <c r="K115" s="246"/>
      <c r="L115" s="316"/>
      <c r="M115" s="331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329" t="str">
        <f>IFERROR(__xludf.DUMMYFUNCTION("""COMPUTED_VALUE"""),"Skull Isle - Chest 3★ #33F")</f>
        <v>Skull Isle - Chest 3★ #33F</v>
      </c>
      <c r="P115" s="246">
        <f>IFERROR(__xludf.DUMMYFUNCTION("""COMPUTED_VALUE"""),10.0)</f>
        <v>10</v>
      </c>
      <c r="Q115" s="315">
        <f>IFERROR(__xludf.DUMMYFUNCTION("if(P115="""", """", P115/sum(filter($P$16:$P$949, $P$16:$P$949&lt;&gt;"""")))"),4.884720593982024E-4)</f>
        <v>0.0004884720594</v>
      </c>
    </row>
    <row r="116" ht="12.75" customHeight="1">
      <c r="G116" s="316" t="s">
        <v>853</v>
      </c>
      <c r="H116" s="246">
        <v>10.0</v>
      </c>
      <c r="I116" s="315">
        <v>4.884720593982024E-4</v>
      </c>
      <c r="K116" s="246"/>
      <c r="L116" s="316"/>
      <c r="M116" s="331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329" t="str">
        <f>IFERROR(__xludf.DUMMYFUNCTION("""COMPUTED_VALUE"""),"Skull Isle - Chest 3★ #DF4")</f>
        <v>Skull Isle - Chest 3★ #DF4</v>
      </c>
      <c r="P116" s="246">
        <f>IFERROR(__xludf.DUMMYFUNCTION("""COMPUTED_VALUE"""),10.0)</f>
        <v>10</v>
      </c>
      <c r="Q116" s="315">
        <f>IFERROR(__xludf.DUMMYFUNCTION("if(P116="""", """", P116/sum(filter($P$16:$P$949, $P$16:$P$949&lt;&gt;"""")))"),4.884720593982024E-4)</f>
        <v>0.0004884720594</v>
      </c>
    </row>
    <row r="117" ht="12.75" customHeight="1">
      <c r="G117" s="316" t="s">
        <v>854</v>
      </c>
      <c r="H117" s="246">
        <v>10.0</v>
      </c>
      <c r="I117" s="315">
        <v>4.884720593982024E-4</v>
      </c>
      <c r="K117" s="246"/>
      <c r="L117" s="316"/>
      <c r="M117" s="331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329" t="str">
        <f>IFERROR(__xludf.DUMMYFUNCTION("""COMPUTED_VALUE"""),"Skull Isle - Chest 3★ #8A9")</f>
        <v>Skull Isle - Chest 3★ #8A9</v>
      </c>
      <c r="P117" s="246">
        <f>IFERROR(__xludf.DUMMYFUNCTION("""COMPUTED_VALUE"""),10.0)</f>
        <v>10</v>
      </c>
      <c r="Q117" s="315">
        <f>IFERROR(__xludf.DUMMYFUNCTION("if(P117="""", """", P117/sum(filter($P$16:$P$949, $P$16:$P$949&lt;&gt;"""")))"),4.884720593982024E-4)</f>
        <v>0.0004884720594</v>
      </c>
    </row>
    <row r="118" ht="12.75" customHeight="1">
      <c r="G118" s="316" t="s">
        <v>855</v>
      </c>
      <c r="H118" s="246">
        <v>10.0</v>
      </c>
      <c r="I118" s="315">
        <v>4.884720593982024E-4</v>
      </c>
      <c r="K118" s="246"/>
      <c r="L118" s="316"/>
      <c r="M118" s="331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329" t="str">
        <f>IFERROR(__xludf.DUMMYFUNCTION("""COMPUTED_VALUE"""),"Skull Isle - Chest 3★ #35E")</f>
        <v>Skull Isle - Chest 3★ #35E</v>
      </c>
      <c r="P118" s="246">
        <f>IFERROR(__xludf.DUMMYFUNCTION("""COMPUTED_VALUE"""),10.0)</f>
        <v>10</v>
      </c>
      <c r="Q118" s="315">
        <f>IFERROR(__xludf.DUMMYFUNCTION("if(P118="""", """", P118/sum(filter($P$16:$P$949, $P$16:$P$949&lt;&gt;"""")))"),4.884720593982024E-4)</f>
        <v>0.0004884720594</v>
      </c>
    </row>
    <row r="119" ht="12.75" customHeight="1">
      <c r="G119" s="316" t="s">
        <v>856</v>
      </c>
      <c r="H119" s="246">
        <v>10.0</v>
      </c>
      <c r="I119" s="315">
        <v>4.884720593982024E-4</v>
      </c>
      <c r="K119" s="246"/>
      <c r="L119" s="316"/>
      <c r="M119" s="331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329" t="str">
        <f>IFERROR(__xludf.DUMMYFUNCTION("""COMPUTED_VALUE"""),"Skull Isle - Chest 3★ #E13")</f>
        <v>Skull Isle - Chest 3★ #E13</v>
      </c>
      <c r="P119" s="246">
        <f>IFERROR(__xludf.DUMMYFUNCTION("""COMPUTED_VALUE"""),10.0)</f>
        <v>10</v>
      </c>
      <c r="Q119" s="315">
        <f>IFERROR(__xludf.DUMMYFUNCTION("if(P119="""", """", P119/sum(filter($P$16:$P$949, $P$16:$P$949&lt;&gt;"""")))"),4.884720593982024E-4)</f>
        <v>0.0004884720594</v>
      </c>
    </row>
    <row r="120" ht="12.75" customHeight="1">
      <c r="G120" s="316" t="s">
        <v>857</v>
      </c>
      <c r="H120" s="246">
        <v>10.0</v>
      </c>
      <c r="I120" s="315">
        <v>4.884720593982024E-4</v>
      </c>
      <c r="K120" s="246"/>
      <c r="L120" s="316"/>
      <c r="M120" s="331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329" t="str">
        <f>IFERROR(__xludf.DUMMYFUNCTION("""COMPUTED_VALUE"""),"Skull Isle - Chest 3★ #8C8")</f>
        <v>Skull Isle - Chest 3★ #8C8</v>
      </c>
      <c r="P120" s="246">
        <f>IFERROR(__xludf.DUMMYFUNCTION("""COMPUTED_VALUE"""),10.0)</f>
        <v>10</v>
      </c>
      <c r="Q120" s="315">
        <f>IFERROR(__xludf.DUMMYFUNCTION("if(P120="""", """", P120/sum(filter($P$16:$P$949, $P$16:$P$949&lt;&gt;"""")))"),4.884720593982024E-4)</f>
        <v>0.0004884720594</v>
      </c>
    </row>
    <row r="121" ht="12.75" customHeight="1">
      <c r="G121" s="316" t="s">
        <v>858</v>
      </c>
      <c r="H121" s="246">
        <v>10.0</v>
      </c>
      <c r="I121" s="315">
        <v>4.884720593982024E-4</v>
      </c>
      <c r="K121" s="246"/>
      <c r="L121" s="316"/>
      <c r="M121" s="331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329" t="str">
        <f>IFERROR(__xludf.DUMMYFUNCTION("""COMPUTED_VALUE"""),"Skull Isle - Chest 3★ #37D")</f>
        <v>Skull Isle - Chest 3★ #37D</v>
      </c>
      <c r="P121" s="246">
        <f>IFERROR(__xludf.DUMMYFUNCTION("""COMPUTED_VALUE"""),10.0)</f>
        <v>10</v>
      </c>
      <c r="Q121" s="315">
        <f>IFERROR(__xludf.DUMMYFUNCTION("if(P121="""", """", P121/sum(filter($P$16:$P$949, $P$16:$P$949&lt;&gt;"""")))"),4.884720593982024E-4)</f>
        <v>0.0004884720594</v>
      </c>
    </row>
    <row r="122" ht="12.75" customHeight="1">
      <c r="G122" s="316" t="s">
        <v>859</v>
      </c>
      <c r="H122" s="246">
        <v>10.0</v>
      </c>
      <c r="I122" s="315">
        <v>4.884720593982024E-4</v>
      </c>
      <c r="K122" s="246"/>
      <c r="L122" s="316"/>
      <c r="M122" s="331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329" t="str">
        <f>IFERROR(__xludf.DUMMYFUNCTION("""COMPUTED_VALUE"""),"Skull Isle - Chest 3★ #E32")</f>
        <v>Skull Isle - Chest 3★ #E32</v>
      </c>
      <c r="P122" s="246">
        <f>IFERROR(__xludf.DUMMYFUNCTION("""COMPUTED_VALUE"""),10.0)</f>
        <v>10</v>
      </c>
      <c r="Q122" s="315">
        <f>IFERROR(__xludf.DUMMYFUNCTION("if(P122="""", """", P122/sum(filter($P$16:$P$949, $P$16:$P$949&lt;&gt;"""")))"),4.884720593982024E-4)</f>
        <v>0.0004884720594</v>
      </c>
    </row>
    <row r="123" ht="12.75" customHeight="1">
      <c r="G123" s="316" t="s">
        <v>860</v>
      </c>
      <c r="H123" s="246">
        <v>10.0</v>
      </c>
      <c r="I123" s="315">
        <v>4.884720593982024E-4</v>
      </c>
      <c r="K123" s="246"/>
      <c r="L123" s="316"/>
      <c r="M123" s="331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329" t="str">
        <f>IFERROR(__xludf.DUMMYFUNCTION("""COMPUTED_VALUE"""),"Skull Isle - Chest 3★ #8E7")</f>
        <v>Skull Isle - Chest 3★ #8E7</v>
      </c>
      <c r="P123" s="246">
        <f>IFERROR(__xludf.DUMMYFUNCTION("""COMPUTED_VALUE"""),10.0)</f>
        <v>10</v>
      </c>
      <c r="Q123" s="315">
        <f>IFERROR(__xludf.DUMMYFUNCTION("if(P123="""", """", P123/sum(filter($P$16:$P$949, $P$16:$P$949&lt;&gt;"""")))"),4.884720593982024E-4)</f>
        <v>0.0004884720594</v>
      </c>
    </row>
    <row r="124" ht="12.75" customHeight="1">
      <c r="G124" s="316" t="s">
        <v>861</v>
      </c>
      <c r="H124" s="246">
        <v>10.0</v>
      </c>
      <c r="I124" s="315">
        <v>4.884720593982024E-4</v>
      </c>
      <c r="K124" s="246"/>
      <c r="L124" s="316"/>
      <c r="M124" s="331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329" t="str">
        <f>IFERROR(__xludf.DUMMYFUNCTION("""COMPUTED_VALUE"""),"Skull Isle - Skull 3★ #39C")</f>
        <v>Skull Isle - Skull 3★ #39C</v>
      </c>
      <c r="P124" s="246">
        <f>IFERROR(__xludf.DUMMYFUNCTION("""COMPUTED_VALUE"""),10.0)</f>
        <v>10</v>
      </c>
      <c r="Q124" s="315">
        <f>IFERROR(__xludf.DUMMYFUNCTION("if(P124="""", """", P124/sum(filter($P$16:$P$949, $P$16:$P$949&lt;&gt;"""")))"),4.884720593982024E-4)</f>
        <v>0.0004884720594</v>
      </c>
    </row>
    <row r="125" ht="12.75" customHeight="1">
      <c r="G125" s="316" t="s">
        <v>862</v>
      </c>
      <c r="H125" s="246">
        <v>10.0</v>
      </c>
      <c r="I125" s="315">
        <v>4.884720593982024E-4</v>
      </c>
      <c r="K125" s="246"/>
      <c r="L125" s="316"/>
      <c r="M125" s="331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329" t="str">
        <f>IFERROR(__xludf.DUMMYFUNCTION("""COMPUTED_VALUE"""),"Skull Isle - Skull 3★ #E51")</f>
        <v>Skull Isle - Skull 3★ #E51</v>
      </c>
      <c r="P125" s="246">
        <f>IFERROR(__xludf.DUMMYFUNCTION("""COMPUTED_VALUE"""),10.0)</f>
        <v>10</v>
      </c>
      <c r="Q125" s="315">
        <f>IFERROR(__xludf.DUMMYFUNCTION("if(P125="""", """", P125/sum(filter($P$16:$P$949, $P$16:$P$949&lt;&gt;"""")))"),4.884720593982024E-4)</f>
        <v>0.0004884720594</v>
      </c>
    </row>
    <row r="126" ht="12.75" customHeight="1">
      <c r="G126" s="316" t="s">
        <v>863</v>
      </c>
      <c r="H126" s="246">
        <v>10.0</v>
      </c>
      <c r="I126" s="315">
        <v>4.884720593982024E-4</v>
      </c>
      <c r="K126" s="246"/>
      <c r="L126" s="316"/>
      <c r="M126" s="331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329" t="str">
        <f>IFERROR(__xludf.DUMMYFUNCTION("""COMPUTED_VALUE"""),"Skull Isle - Skull 3★ #906")</f>
        <v>Skull Isle - Skull 3★ #906</v>
      </c>
      <c r="P126" s="246">
        <f>IFERROR(__xludf.DUMMYFUNCTION("""COMPUTED_VALUE"""),10.0)</f>
        <v>10</v>
      </c>
      <c r="Q126" s="315">
        <f>IFERROR(__xludf.DUMMYFUNCTION("if(P126="""", """", P126/sum(filter($P$16:$P$949, $P$16:$P$949&lt;&gt;"""")))"),4.884720593982024E-4)</f>
        <v>0.0004884720594</v>
      </c>
    </row>
    <row r="127" ht="12.75" customHeight="1">
      <c r="G127" s="316" t="s">
        <v>864</v>
      </c>
      <c r="H127" s="246">
        <v>10.0</v>
      </c>
      <c r="I127" s="315">
        <v>4.884720593982024E-4</v>
      </c>
      <c r="K127" s="246"/>
      <c r="L127" s="316"/>
      <c r="M127" s="331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329" t="str">
        <f>IFERROR(__xludf.DUMMYFUNCTION("""COMPUTED_VALUE"""),"Skull Isle - Skull 3★ #3BB")</f>
        <v>Skull Isle - Skull 3★ #3BB</v>
      </c>
      <c r="P127" s="246">
        <f>IFERROR(__xludf.DUMMYFUNCTION("""COMPUTED_VALUE"""),10.0)</f>
        <v>10</v>
      </c>
      <c r="Q127" s="315">
        <f>IFERROR(__xludf.DUMMYFUNCTION("if(P127="""", """", P127/sum(filter($P$16:$P$949, $P$16:$P$949&lt;&gt;"""")))"),4.884720593982024E-4)</f>
        <v>0.0004884720594</v>
      </c>
    </row>
    <row r="128" ht="12.75" customHeight="1">
      <c r="G128" s="316" t="s">
        <v>865</v>
      </c>
      <c r="H128" s="246">
        <v>10.0</v>
      </c>
      <c r="I128" s="315">
        <v>4.884720593982024E-4</v>
      </c>
      <c r="K128" s="246"/>
      <c r="L128" s="316"/>
      <c r="M128" s="331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329" t="str">
        <f>IFERROR(__xludf.DUMMYFUNCTION("""COMPUTED_VALUE"""),"Skull Isle - Skull 3★ #E70")</f>
        <v>Skull Isle - Skull 3★ #E70</v>
      </c>
      <c r="P128" s="246">
        <f>IFERROR(__xludf.DUMMYFUNCTION("""COMPUTED_VALUE"""),10.0)</f>
        <v>10</v>
      </c>
      <c r="Q128" s="315">
        <f>IFERROR(__xludf.DUMMYFUNCTION("if(P128="""", """", P128/sum(filter($P$16:$P$949, $P$16:$P$949&lt;&gt;"""")))"),4.884720593982024E-4)</f>
        <v>0.0004884720594</v>
      </c>
    </row>
    <row r="129" ht="12.75" customHeight="1">
      <c r="G129" s="316" t="s">
        <v>866</v>
      </c>
      <c r="H129" s="246">
        <v>10.0</v>
      </c>
      <c r="I129" s="315">
        <v>4.884720593982024E-4</v>
      </c>
      <c r="K129" s="246"/>
      <c r="L129" s="316"/>
      <c r="M129" s="331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329" t="str">
        <f>IFERROR(__xludf.DUMMYFUNCTION("""COMPUTED_VALUE"""),"Skull Isle - Skull 3★ #925")</f>
        <v>Skull Isle - Skull 3★ #925</v>
      </c>
      <c r="P129" s="246">
        <f>IFERROR(__xludf.DUMMYFUNCTION("""COMPUTED_VALUE"""),10.0)</f>
        <v>10</v>
      </c>
      <c r="Q129" s="315">
        <f>IFERROR(__xludf.DUMMYFUNCTION("if(P129="""", """", P129/sum(filter($P$16:$P$949, $P$16:$P$949&lt;&gt;"""")))"),4.884720593982024E-4)</f>
        <v>0.0004884720594</v>
      </c>
    </row>
    <row r="130" ht="12.75" customHeight="1">
      <c r="G130" s="316" t="s">
        <v>867</v>
      </c>
      <c r="H130" s="246">
        <v>10.0</v>
      </c>
      <c r="I130" s="315">
        <v>4.884720593982024E-4</v>
      </c>
      <c r="K130" s="246"/>
      <c r="L130" s="316"/>
      <c r="M130" s="331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329" t="str">
        <f>IFERROR(__xludf.DUMMYFUNCTION("""COMPUTED_VALUE"""),"Skull Isle - Skull 3★ #3DA")</f>
        <v>Skull Isle - Skull 3★ #3DA</v>
      </c>
      <c r="P130" s="246">
        <f>IFERROR(__xludf.DUMMYFUNCTION("""COMPUTED_VALUE"""),10.0)</f>
        <v>10</v>
      </c>
      <c r="Q130" s="315">
        <f>IFERROR(__xludf.DUMMYFUNCTION("if(P130="""", """", P130/sum(filter($P$16:$P$949, $P$16:$P$949&lt;&gt;"""")))"),4.884720593982024E-4)</f>
        <v>0.0004884720594</v>
      </c>
    </row>
    <row r="131" ht="12.75" customHeight="1">
      <c r="G131" s="316" t="s">
        <v>868</v>
      </c>
      <c r="H131" s="246">
        <v>10.0</v>
      </c>
      <c r="I131" s="315">
        <v>4.884720593982024E-4</v>
      </c>
      <c r="K131" s="246"/>
      <c r="L131" s="316"/>
      <c r="M131" s="331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329" t="str">
        <f>IFERROR(__xludf.DUMMYFUNCTION("""COMPUTED_VALUE"""),"Skull Isle - Skull 3★ #E8F")</f>
        <v>Skull Isle - Skull 3★ #E8F</v>
      </c>
      <c r="P131" s="246">
        <f>IFERROR(__xludf.DUMMYFUNCTION("""COMPUTED_VALUE"""),10.0)</f>
        <v>10</v>
      </c>
      <c r="Q131" s="315">
        <f>IFERROR(__xludf.DUMMYFUNCTION("if(P131="""", """", P131/sum(filter($P$16:$P$949, $P$16:$P$949&lt;&gt;"""")))"),4.884720593982024E-4)</f>
        <v>0.0004884720594</v>
      </c>
    </row>
    <row r="132" ht="12.75" customHeight="1">
      <c r="G132" s="316" t="s">
        <v>869</v>
      </c>
      <c r="H132" s="246">
        <v>10.0</v>
      </c>
      <c r="I132" s="315">
        <v>4.884720593982024E-4</v>
      </c>
      <c r="K132" s="246"/>
      <c r="L132" s="316"/>
      <c r="M132" s="331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329" t="str">
        <f>IFERROR(__xludf.DUMMYFUNCTION("""COMPUTED_VALUE"""),"Skull Isle - Skull 3★ #944")</f>
        <v>Skull Isle - Skull 3★ #944</v>
      </c>
      <c r="P132" s="246">
        <f>IFERROR(__xludf.DUMMYFUNCTION("""COMPUTED_VALUE"""),10.0)</f>
        <v>10</v>
      </c>
      <c r="Q132" s="315">
        <f>IFERROR(__xludf.DUMMYFUNCTION("if(P132="""", """", P132/sum(filter($P$16:$P$949, $P$16:$P$949&lt;&gt;"""")))"),4.884720593982024E-4)</f>
        <v>0.0004884720594</v>
      </c>
    </row>
    <row r="133" ht="12.75" customHeight="1">
      <c r="G133" s="316" t="s">
        <v>870</v>
      </c>
      <c r="H133" s="246">
        <v>10.0</v>
      </c>
      <c r="I133" s="315">
        <v>4.884720593982024E-4</v>
      </c>
      <c r="K133" s="246"/>
      <c r="L133" s="316"/>
      <c r="M133" s="331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329" t="str">
        <f>IFERROR(__xludf.DUMMYFUNCTION("""COMPUTED_VALUE"""),"Skull Isle - Skull 3★ #3F9")</f>
        <v>Skull Isle - Skull 3★ #3F9</v>
      </c>
      <c r="P133" s="246">
        <f>IFERROR(__xludf.DUMMYFUNCTION("""COMPUTED_VALUE"""),10.0)</f>
        <v>10</v>
      </c>
      <c r="Q133" s="315">
        <f>IFERROR(__xludf.DUMMYFUNCTION("if(P133="""", """", P133/sum(filter($P$16:$P$949, $P$16:$P$949&lt;&gt;"""")))"),4.884720593982024E-4)</f>
        <v>0.0004884720594</v>
      </c>
    </row>
    <row r="134" ht="12.75" customHeight="1">
      <c r="G134" s="316" t="s">
        <v>871</v>
      </c>
      <c r="H134" s="246">
        <v>10.0</v>
      </c>
      <c r="I134" s="315">
        <v>4.884720593982024E-4</v>
      </c>
      <c r="K134" s="246"/>
      <c r="L134" s="316"/>
      <c r="M134" s="331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329" t="str">
        <f>IFERROR(__xludf.DUMMYFUNCTION("""COMPUTED_VALUE"""),"Skull Isle - Skull 3★ #EAE")</f>
        <v>Skull Isle - Skull 3★ #EAE</v>
      </c>
      <c r="P134" s="246">
        <f>IFERROR(__xludf.DUMMYFUNCTION("""COMPUTED_VALUE"""),10.0)</f>
        <v>10</v>
      </c>
      <c r="Q134" s="315">
        <f>IFERROR(__xludf.DUMMYFUNCTION("if(P134="""", """", P134/sum(filter($P$16:$P$949, $P$16:$P$949&lt;&gt;"""")))"),4.884720593982024E-4)</f>
        <v>0.0004884720594</v>
      </c>
    </row>
    <row r="135" ht="12.75" customHeight="1">
      <c r="G135" s="316" t="s">
        <v>872</v>
      </c>
      <c r="H135" s="246">
        <v>10.0</v>
      </c>
      <c r="I135" s="315">
        <v>4.884720593982024E-4</v>
      </c>
      <c r="K135" s="246"/>
      <c r="L135" s="316"/>
      <c r="M135" s="331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329" t="str">
        <f>IFERROR(__xludf.DUMMYFUNCTION("""COMPUTED_VALUE"""),"Skull Isle - Skull 3★ #963")</f>
        <v>Skull Isle - Skull 3★ #963</v>
      </c>
      <c r="P135" s="246">
        <f>IFERROR(__xludf.DUMMYFUNCTION("""COMPUTED_VALUE"""),10.0)</f>
        <v>10</v>
      </c>
      <c r="Q135" s="315">
        <f>IFERROR(__xludf.DUMMYFUNCTION("if(P135="""", """", P135/sum(filter($P$16:$P$949, $P$16:$P$949&lt;&gt;"""")))"),4.884720593982024E-4)</f>
        <v>0.0004884720594</v>
      </c>
    </row>
    <row r="136" ht="12.75" customHeight="1">
      <c r="G136" s="316" t="s">
        <v>873</v>
      </c>
      <c r="H136" s="246">
        <v>10.0</v>
      </c>
      <c r="I136" s="315">
        <v>4.884720593982024E-4</v>
      </c>
      <c r="K136" s="246"/>
      <c r="L136" s="316"/>
      <c r="M136" s="331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329" t="str">
        <f>IFERROR(__xludf.DUMMYFUNCTION("""COMPUTED_VALUE"""),"Skull Isle - Skull 3★ #418")</f>
        <v>Skull Isle - Skull 3★ #418</v>
      </c>
      <c r="P136" s="246">
        <f>IFERROR(__xludf.DUMMYFUNCTION("""COMPUTED_VALUE"""),10.0)</f>
        <v>10</v>
      </c>
      <c r="Q136" s="315">
        <f>IFERROR(__xludf.DUMMYFUNCTION("if(P136="""", """", P136/sum(filter($P$16:$P$949, $P$16:$P$949&lt;&gt;"""")))"),4.884720593982024E-4)</f>
        <v>0.0004884720594</v>
      </c>
    </row>
    <row r="137" ht="12.75" customHeight="1">
      <c r="G137" s="316" t="s">
        <v>874</v>
      </c>
      <c r="H137" s="246">
        <v>50.0</v>
      </c>
      <c r="I137" s="315">
        <v>0.0024423602969910123</v>
      </c>
      <c r="K137" s="246"/>
      <c r="L137" s="316"/>
      <c r="M137" s="331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329" t="str">
        <f>IFERROR(__xludf.DUMMYFUNCTION("""COMPUTED_VALUE"""),"Kraken Lair - Tentacle 1★ #ECD")</f>
        <v>Kraken Lair - Tentacle 1★ #ECD</v>
      </c>
      <c r="P137" s="246">
        <f>IFERROR(__xludf.DUMMYFUNCTION("""COMPUTED_VALUE"""),50.0)</f>
        <v>50</v>
      </c>
      <c r="Q137" s="315">
        <f>IFERROR(__xludf.DUMMYFUNCTION("if(P137="""", """", P137/sum(filter($P$16:$P$949, $P$16:$P$949&lt;&gt;"""")))"),0.0024423602969910123)</f>
        <v>0.002442360297</v>
      </c>
    </row>
    <row r="138" ht="12.75" customHeight="1">
      <c r="G138" s="316" t="s">
        <v>875</v>
      </c>
      <c r="H138" s="246">
        <v>50.0</v>
      </c>
      <c r="I138" s="315">
        <v>0.0024423602969910123</v>
      </c>
      <c r="K138" s="246"/>
      <c r="L138" s="316"/>
      <c r="M138" s="331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329" t="str">
        <f>IFERROR(__xludf.DUMMYFUNCTION("""COMPUTED_VALUE"""),"Kraken Lair - Tentacle 1★ #982")</f>
        <v>Kraken Lair - Tentacle 1★ #982</v>
      </c>
      <c r="P138" s="246">
        <f>IFERROR(__xludf.DUMMYFUNCTION("""COMPUTED_VALUE"""),50.0)</f>
        <v>50</v>
      </c>
      <c r="Q138" s="315">
        <f>IFERROR(__xludf.DUMMYFUNCTION("if(P138="""", """", P138/sum(filter($P$16:$P$949, $P$16:$P$949&lt;&gt;"""")))"),0.0024423602969910123)</f>
        <v>0.002442360297</v>
      </c>
    </row>
    <row r="139" ht="12.75" customHeight="1">
      <c r="G139" s="316" t="s">
        <v>876</v>
      </c>
      <c r="H139" s="246">
        <v>50.0</v>
      </c>
      <c r="I139" s="315">
        <v>0.0024423602969910123</v>
      </c>
      <c r="K139" s="246"/>
      <c r="L139" s="316"/>
      <c r="M139" s="331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329" t="str">
        <f>IFERROR(__xludf.DUMMYFUNCTION("""COMPUTED_VALUE"""),"Kraken Lair - Tentacle 1★ #437")</f>
        <v>Kraken Lair - Tentacle 1★ #437</v>
      </c>
      <c r="P139" s="246">
        <f>IFERROR(__xludf.DUMMYFUNCTION("""COMPUTED_VALUE"""),50.0)</f>
        <v>50</v>
      </c>
      <c r="Q139" s="315">
        <f>IFERROR(__xludf.DUMMYFUNCTION("if(P139="""", """", P139/sum(filter($P$16:$P$949, $P$16:$P$949&lt;&gt;"""")))"),0.0024423602969910123)</f>
        <v>0.002442360297</v>
      </c>
    </row>
    <row r="140" ht="12.75" customHeight="1">
      <c r="G140" s="316" t="s">
        <v>877</v>
      </c>
      <c r="H140" s="246">
        <v>50.0</v>
      </c>
      <c r="I140" s="315">
        <v>0.0024423602969910123</v>
      </c>
      <c r="K140" s="246"/>
      <c r="L140" s="316"/>
      <c r="M140" s="331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329" t="str">
        <f>IFERROR(__xludf.DUMMYFUNCTION("""COMPUTED_VALUE"""),"Kraken Lair - Tentacle 1★ #EEC")</f>
        <v>Kraken Lair - Tentacle 1★ #EEC</v>
      </c>
      <c r="P140" s="246">
        <f>IFERROR(__xludf.DUMMYFUNCTION("""COMPUTED_VALUE"""),50.0)</f>
        <v>50</v>
      </c>
      <c r="Q140" s="315">
        <f>IFERROR(__xludf.DUMMYFUNCTION("if(P140="""", """", P140/sum(filter($P$16:$P$949, $P$16:$P$949&lt;&gt;"""")))"),0.0024423602969910123)</f>
        <v>0.002442360297</v>
      </c>
    </row>
    <row r="141" ht="12.75" customHeight="1">
      <c r="G141" s="316" t="s">
        <v>878</v>
      </c>
      <c r="H141" s="246">
        <v>50.0</v>
      </c>
      <c r="I141" s="315">
        <v>0.0024423602969910123</v>
      </c>
      <c r="K141" s="246"/>
      <c r="L141" s="316"/>
      <c r="M141" s="331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329" t="str">
        <f>IFERROR(__xludf.DUMMYFUNCTION("""COMPUTED_VALUE"""),"Kraken Lair - Tentacle 1★ #9A1")</f>
        <v>Kraken Lair - Tentacle 1★ #9A1</v>
      </c>
      <c r="P141" s="246">
        <f>IFERROR(__xludf.DUMMYFUNCTION("""COMPUTED_VALUE"""),50.0)</f>
        <v>50</v>
      </c>
      <c r="Q141" s="315">
        <f>IFERROR(__xludf.DUMMYFUNCTION("if(P141="""", """", P141/sum(filter($P$16:$P$949, $P$16:$P$949&lt;&gt;"""")))"),0.0024423602969910123)</f>
        <v>0.002442360297</v>
      </c>
    </row>
    <row r="142" ht="12.75" customHeight="1">
      <c r="G142" s="316" t="s">
        <v>879</v>
      </c>
      <c r="H142" s="246">
        <v>50.0</v>
      </c>
      <c r="I142" s="315">
        <v>0.0024423602969910123</v>
      </c>
      <c r="K142" s="246"/>
      <c r="L142" s="316"/>
      <c r="M142" s="331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329" t="str">
        <f>IFERROR(__xludf.DUMMYFUNCTION("""COMPUTED_VALUE"""),"Kraken Lair - Tentacle 1★ #456")</f>
        <v>Kraken Lair - Tentacle 1★ #456</v>
      </c>
      <c r="P142" s="246">
        <f>IFERROR(__xludf.DUMMYFUNCTION("""COMPUTED_VALUE"""),50.0)</f>
        <v>50</v>
      </c>
      <c r="Q142" s="315">
        <f>IFERROR(__xludf.DUMMYFUNCTION("if(P142="""", """", P142/sum(filter($P$16:$P$949, $P$16:$P$949&lt;&gt;"""")))"),0.0024423602969910123)</f>
        <v>0.002442360297</v>
      </c>
    </row>
    <row r="143" ht="12.75" customHeight="1">
      <c r="G143" s="316" t="s">
        <v>880</v>
      </c>
      <c r="H143" s="246">
        <v>50.0</v>
      </c>
      <c r="I143" s="315">
        <v>0.0024423602969910123</v>
      </c>
      <c r="K143" s="246"/>
      <c r="L143" s="316"/>
      <c r="M143" s="331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329" t="str">
        <f>IFERROR(__xludf.DUMMYFUNCTION("""COMPUTED_VALUE"""),"Kraken Lair - Tentacle 1★ #F0B")</f>
        <v>Kraken Lair - Tentacle 1★ #F0B</v>
      </c>
      <c r="P143" s="246">
        <f>IFERROR(__xludf.DUMMYFUNCTION("""COMPUTED_VALUE"""),50.0)</f>
        <v>50</v>
      </c>
      <c r="Q143" s="315">
        <f>IFERROR(__xludf.DUMMYFUNCTION("if(P143="""", """", P143/sum(filter($P$16:$P$949, $P$16:$P$949&lt;&gt;"""")))"),0.0024423602969910123)</f>
        <v>0.002442360297</v>
      </c>
    </row>
    <row r="144" ht="12.75" customHeight="1">
      <c r="G144" s="316" t="s">
        <v>881</v>
      </c>
      <c r="H144" s="246">
        <v>50.0</v>
      </c>
      <c r="I144" s="315">
        <v>0.0024423602969910123</v>
      </c>
      <c r="K144" s="246"/>
      <c r="L144" s="316"/>
      <c r="M144" s="331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329" t="str">
        <f>IFERROR(__xludf.DUMMYFUNCTION("""COMPUTED_VALUE"""),"Kraken Lair - Tentacle 1★ #9C0")</f>
        <v>Kraken Lair - Tentacle 1★ #9C0</v>
      </c>
      <c r="P144" s="246">
        <f>IFERROR(__xludf.DUMMYFUNCTION("""COMPUTED_VALUE"""),50.0)</f>
        <v>50</v>
      </c>
      <c r="Q144" s="315">
        <f>IFERROR(__xludf.DUMMYFUNCTION("if(P144="""", """", P144/sum(filter($P$16:$P$949, $P$16:$P$949&lt;&gt;"""")))"),0.0024423602969910123)</f>
        <v>0.002442360297</v>
      </c>
    </row>
    <row r="145" ht="12.75" customHeight="1">
      <c r="G145" s="316" t="s">
        <v>882</v>
      </c>
      <c r="H145" s="246">
        <v>50.0</v>
      </c>
      <c r="I145" s="315">
        <v>0.0024423602969910123</v>
      </c>
      <c r="K145" s="246"/>
      <c r="L145" s="316"/>
      <c r="M145" s="331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329" t="str">
        <f>IFERROR(__xludf.DUMMYFUNCTION("""COMPUTED_VALUE"""),"Kraken Lair - Tentacle 1★ #475")</f>
        <v>Kraken Lair - Tentacle 1★ #475</v>
      </c>
      <c r="P145" s="246">
        <f>IFERROR(__xludf.DUMMYFUNCTION("""COMPUTED_VALUE"""),50.0)</f>
        <v>50</v>
      </c>
      <c r="Q145" s="315">
        <f>IFERROR(__xludf.DUMMYFUNCTION("if(P145="""", """", P145/sum(filter($P$16:$P$949, $P$16:$P$949&lt;&gt;"""")))"),0.0024423602969910123)</f>
        <v>0.002442360297</v>
      </c>
    </row>
    <row r="146" ht="12.75" customHeight="1">
      <c r="G146" s="316" t="s">
        <v>883</v>
      </c>
      <c r="H146" s="246">
        <v>50.0</v>
      </c>
      <c r="I146" s="315">
        <v>0.0024423602969910123</v>
      </c>
      <c r="K146" s="246"/>
      <c r="L146" s="316"/>
      <c r="M146" s="331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329" t="str">
        <f>IFERROR(__xludf.DUMMYFUNCTION("""COMPUTED_VALUE"""),"Kraken Lair - Tentacle 1★ #F2A")</f>
        <v>Kraken Lair - Tentacle 1★ #F2A</v>
      </c>
      <c r="P146" s="246">
        <f>IFERROR(__xludf.DUMMYFUNCTION("""COMPUTED_VALUE"""),50.0)</f>
        <v>50</v>
      </c>
      <c r="Q146" s="315">
        <f>IFERROR(__xludf.DUMMYFUNCTION("if(P146="""", """", P146/sum(filter($P$16:$P$949, $P$16:$P$949&lt;&gt;"""")))"),0.0024423602969910123)</f>
        <v>0.002442360297</v>
      </c>
    </row>
    <row r="147" ht="12.75" customHeight="1">
      <c r="G147" s="316" t="s">
        <v>884</v>
      </c>
      <c r="H147" s="246">
        <v>50.0</v>
      </c>
      <c r="I147" s="315">
        <v>0.0024423602969910123</v>
      </c>
      <c r="K147" s="246"/>
      <c r="L147" s="316"/>
      <c r="M147" s="331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329" t="str">
        <f>IFERROR(__xludf.DUMMYFUNCTION("""COMPUTED_VALUE"""),"Kraken Lair - Tentacle 1★ #9DF")</f>
        <v>Kraken Lair - Tentacle 1★ #9DF</v>
      </c>
      <c r="P147" s="246">
        <f>IFERROR(__xludf.DUMMYFUNCTION("""COMPUTED_VALUE"""),50.0)</f>
        <v>50</v>
      </c>
      <c r="Q147" s="315">
        <f>IFERROR(__xludf.DUMMYFUNCTION("if(P147="""", """", P147/sum(filter($P$16:$P$949, $P$16:$P$949&lt;&gt;"""")))"),0.0024423602969910123)</f>
        <v>0.002442360297</v>
      </c>
    </row>
    <row r="148" ht="12.75" customHeight="1">
      <c r="G148" s="316" t="s">
        <v>885</v>
      </c>
      <c r="H148" s="246">
        <v>50.0</v>
      </c>
      <c r="I148" s="315">
        <v>0.0024423602969910123</v>
      </c>
      <c r="K148" s="246"/>
      <c r="L148" s="316"/>
      <c r="M148" s="331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329" t="str">
        <f>IFERROR(__xludf.DUMMYFUNCTION("""COMPUTED_VALUE"""),"Kraken Lair - Tentacle 1★ #494")</f>
        <v>Kraken Lair - Tentacle 1★ #494</v>
      </c>
      <c r="P148" s="246">
        <f>IFERROR(__xludf.DUMMYFUNCTION("""COMPUTED_VALUE"""),50.0)</f>
        <v>50</v>
      </c>
      <c r="Q148" s="315">
        <f>IFERROR(__xludf.DUMMYFUNCTION("if(P148="""", """", P148/sum(filter($P$16:$P$949, $P$16:$P$949&lt;&gt;"""")))"),0.0024423602969910123)</f>
        <v>0.002442360297</v>
      </c>
    </row>
    <row r="149" ht="12.75" customHeight="1">
      <c r="G149" s="316" t="s">
        <v>886</v>
      </c>
      <c r="H149" s="246">
        <v>50.0</v>
      </c>
      <c r="I149" s="315">
        <v>0.0024423602969910123</v>
      </c>
      <c r="K149" s="246"/>
      <c r="L149" s="316"/>
      <c r="M149" s="331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329" t="str">
        <f>IFERROR(__xludf.DUMMYFUNCTION("""COMPUTED_VALUE"""),"Kraken Lair - Tentacle 1★ #F49")</f>
        <v>Kraken Lair - Tentacle 1★ #F49</v>
      </c>
      <c r="P149" s="246">
        <f>IFERROR(__xludf.DUMMYFUNCTION("""COMPUTED_VALUE"""),50.0)</f>
        <v>50</v>
      </c>
      <c r="Q149" s="315">
        <f>IFERROR(__xludf.DUMMYFUNCTION("if(P149="""", """", P149/sum(filter($P$16:$P$949, $P$16:$P$949&lt;&gt;"""")))"),0.0024423602969910123)</f>
        <v>0.002442360297</v>
      </c>
    </row>
    <row r="150" ht="12.75" customHeight="1">
      <c r="G150" s="316" t="s">
        <v>887</v>
      </c>
      <c r="H150" s="246">
        <v>50.0</v>
      </c>
      <c r="I150" s="315">
        <v>0.0024423602969910123</v>
      </c>
      <c r="K150" s="246"/>
      <c r="L150" s="316"/>
      <c r="M150" s="331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329" t="str">
        <f>IFERROR(__xludf.DUMMYFUNCTION("""COMPUTED_VALUE"""),"Kraken Lair - Tentacle 1★ #9FE")</f>
        <v>Kraken Lair - Tentacle 1★ #9FE</v>
      </c>
      <c r="P150" s="246">
        <f>IFERROR(__xludf.DUMMYFUNCTION("""COMPUTED_VALUE"""),50.0)</f>
        <v>50</v>
      </c>
      <c r="Q150" s="315">
        <f>IFERROR(__xludf.DUMMYFUNCTION("if(P150="""", """", P150/sum(filter($P$16:$P$949, $P$16:$P$949&lt;&gt;"""")))"),0.0024423602969910123)</f>
        <v>0.002442360297</v>
      </c>
    </row>
    <row r="151" ht="12.75" customHeight="1">
      <c r="G151" s="316" t="s">
        <v>888</v>
      </c>
      <c r="H151" s="246">
        <v>50.0</v>
      </c>
      <c r="I151" s="315">
        <v>0.0024423602969910123</v>
      </c>
      <c r="K151" s="246"/>
      <c r="L151" s="316"/>
      <c r="M151" s="331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329" t="str">
        <f>IFERROR(__xludf.DUMMYFUNCTION("""COMPUTED_VALUE"""),"Kraken Lair - Ink Cloud 1★ #4B3")</f>
        <v>Kraken Lair - Ink Cloud 1★ #4B3</v>
      </c>
      <c r="P151" s="246">
        <f>IFERROR(__xludf.DUMMYFUNCTION("""COMPUTED_VALUE"""),50.0)</f>
        <v>50</v>
      </c>
      <c r="Q151" s="315">
        <f>IFERROR(__xludf.DUMMYFUNCTION("if(P151="""", """", P151/sum(filter($P$16:$P$949, $P$16:$P$949&lt;&gt;"""")))"),0.0024423602969910123)</f>
        <v>0.002442360297</v>
      </c>
    </row>
    <row r="152" ht="12.75" customHeight="1">
      <c r="G152" s="316" t="s">
        <v>889</v>
      </c>
      <c r="H152" s="246">
        <v>50.0</v>
      </c>
      <c r="I152" s="315">
        <v>0.0024423602969910123</v>
      </c>
      <c r="K152" s="246"/>
      <c r="L152" s="316"/>
      <c r="M152" s="317"/>
      <c r="O152" s="329" t="str">
        <f>IFERROR(__xludf.DUMMYFUNCTION("""COMPUTED_VALUE"""),"Kraken Lair - Ink Cloud 1★ #F68")</f>
        <v>Kraken Lair - Ink Cloud 1★ #F68</v>
      </c>
      <c r="P152" s="246">
        <f>IFERROR(__xludf.DUMMYFUNCTION("""COMPUTED_VALUE"""),50.0)</f>
        <v>50</v>
      </c>
      <c r="Q152" s="315">
        <f>IFERROR(__xludf.DUMMYFUNCTION("if(P152="""", """", P152/sum(filter($P$16:$P$949, $P$16:$P$949&lt;&gt;"""")))"),0.0024423602969910123)</f>
        <v>0.002442360297</v>
      </c>
    </row>
    <row r="153" ht="12.75" customHeight="1">
      <c r="G153" s="316" t="s">
        <v>890</v>
      </c>
      <c r="H153" s="246">
        <v>50.0</v>
      </c>
      <c r="I153" s="315">
        <v>0.0024423602969910123</v>
      </c>
      <c r="K153" s="246"/>
      <c r="L153" s="316"/>
      <c r="M153" s="317"/>
      <c r="O153" s="329" t="str">
        <f>IFERROR(__xludf.DUMMYFUNCTION("""COMPUTED_VALUE"""),"Kraken Lair - Ink Cloud 1★ #A1D")</f>
        <v>Kraken Lair - Ink Cloud 1★ #A1D</v>
      </c>
      <c r="P153" s="246">
        <f>IFERROR(__xludf.DUMMYFUNCTION("""COMPUTED_VALUE"""),50.0)</f>
        <v>50</v>
      </c>
      <c r="Q153" s="315">
        <f>IFERROR(__xludf.DUMMYFUNCTION("if(P153="""", """", P153/sum(filter($P$16:$P$949, $P$16:$P$949&lt;&gt;"""")))"),0.0024423602969910123)</f>
        <v>0.002442360297</v>
      </c>
    </row>
    <row r="154" ht="12.75" customHeight="1">
      <c r="G154" s="316" t="s">
        <v>891</v>
      </c>
      <c r="H154" s="246">
        <v>50.0</v>
      </c>
      <c r="I154" s="315">
        <v>0.0024423602969910123</v>
      </c>
      <c r="K154" s="246"/>
      <c r="L154" s="316"/>
      <c r="M154" s="317"/>
      <c r="O154" s="329" t="str">
        <f>IFERROR(__xludf.DUMMYFUNCTION("""COMPUTED_VALUE"""),"Kraken Lair - Ink Cloud 1★ #4D2")</f>
        <v>Kraken Lair - Ink Cloud 1★ #4D2</v>
      </c>
      <c r="P154" s="246">
        <f>IFERROR(__xludf.DUMMYFUNCTION("""COMPUTED_VALUE"""),50.0)</f>
        <v>50</v>
      </c>
      <c r="Q154" s="315">
        <f>IFERROR(__xludf.DUMMYFUNCTION("if(P154="""", """", P154/sum(filter($P$16:$P$949, $P$16:$P$949&lt;&gt;"""")))"),0.0024423602969910123)</f>
        <v>0.002442360297</v>
      </c>
    </row>
    <row r="155" ht="12.75" customHeight="1">
      <c r="G155" s="316" t="s">
        <v>892</v>
      </c>
      <c r="H155" s="246">
        <v>50.0</v>
      </c>
      <c r="I155" s="315">
        <v>0.0024423602969910123</v>
      </c>
      <c r="K155" s="246"/>
      <c r="L155" s="316"/>
      <c r="M155" s="317"/>
      <c r="O155" s="329" t="str">
        <f>IFERROR(__xludf.DUMMYFUNCTION("""COMPUTED_VALUE"""),"Kraken Lair - Ink Cloud 1★ #F87")</f>
        <v>Kraken Lair - Ink Cloud 1★ #F87</v>
      </c>
      <c r="P155" s="246">
        <f>IFERROR(__xludf.DUMMYFUNCTION("""COMPUTED_VALUE"""),50.0)</f>
        <v>50</v>
      </c>
      <c r="Q155" s="315">
        <f>IFERROR(__xludf.DUMMYFUNCTION("if(P155="""", """", P155/sum(filter($P$16:$P$949, $P$16:$P$949&lt;&gt;"""")))"),0.0024423602969910123)</f>
        <v>0.002442360297</v>
      </c>
    </row>
    <row r="156" ht="12.75" customHeight="1">
      <c r="G156" s="316" t="s">
        <v>893</v>
      </c>
      <c r="H156" s="246">
        <v>50.0</v>
      </c>
      <c r="I156" s="315">
        <v>0.0024423602969910123</v>
      </c>
      <c r="K156" s="246"/>
      <c r="L156" s="316"/>
      <c r="M156" s="317"/>
      <c r="O156" s="329" t="str">
        <f>IFERROR(__xludf.DUMMYFUNCTION("""COMPUTED_VALUE"""),"Kraken Lair - Ink Cloud 1★ #A3C")</f>
        <v>Kraken Lair - Ink Cloud 1★ #A3C</v>
      </c>
      <c r="P156" s="246">
        <f>IFERROR(__xludf.DUMMYFUNCTION("""COMPUTED_VALUE"""),50.0)</f>
        <v>50</v>
      </c>
      <c r="Q156" s="315">
        <f>IFERROR(__xludf.DUMMYFUNCTION("if(P156="""", """", P156/sum(filter($P$16:$P$949, $P$16:$P$949&lt;&gt;"""")))"),0.0024423602969910123)</f>
        <v>0.002442360297</v>
      </c>
    </row>
    <row r="157" ht="12.75" customHeight="1">
      <c r="G157" s="316" t="s">
        <v>894</v>
      </c>
      <c r="H157" s="246">
        <v>50.0</v>
      </c>
      <c r="I157" s="315">
        <v>0.0024423602969910123</v>
      </c>
      <c r="K157" s="246"/>
      <c r="L157" s="316"/>
      <c r="M157" s="317"/>
      <c r="O157" s="329" t="str">
        <f>IFERROR(__xludf.DUMMYFUNCTION("""COMPUTED_VALUE"""),"Kraken Lair - Ink Cloud 1★ #4F1")</f>
        <v>Kraken Lair - Ink Cloud 1★ #4F1</v>
      </c>
      <c r="P157" s="246">
        <f>IFERROR(__xludf.DUMMYFUNCTION("""COMPUTED_VALUE"""),50.0)</f>
        <v>50</v>
      </c>
      <c r="Q157" s="315">
        <f>IFERROR(__xludf.DUMMYFUNCTION("if(P157="""", """", P157/sum(filter($P$16:$P$949, $P$16:$P$949&lt;&gt;"""")))"),0.0024423602969910123)</f>
        <v>0.002442360297</v>
      </c>
    </row>
    <row r="158" ht="12.75" customHeight="1">
      <c r="G158" s="316" t="s">
        <v>895</v>
      </c>
      <c r="H158" s="246">
        <v>50.0</v>
      </c>
      <c r="I158" s="315">
        <v>0.0024423602969910123</v>
      </c>
      <c r="K158" s="246"/>
      <c r="L158" s="316"/>
      <c r="M158" s="317"/>
      <c r="O158" s="329" t="str">
        <f>IFERROR(__xludf.DUMMYFUNCTION("""COMPUTED_VALUE"""),"Kraken Lair - Ink Cloud 1★ #FA6")</f>
        <v>Kraken Lair - Ink Cloud 1★ #FA6</v>
      </c>
      <c r="P158" s="246">
        <f>IFERROR(__xludf.DUMMYFUNCTION("""COMPUTED_VALUE"""),50.0)</f>
        <v>50</v>
      </c>
      <c r="Q158" s="315">
        <f>IFERROR(__xludf.DUMMYFUNCTION("if(P158="""", """", P158/sum(filter($P$16:$P$949, $P$16:$P$949&lt;&gt;"""")))"),0.0024423602969910123)</f>
        <v>0.002442360297</v>
      </c>
    </row>
    <row r="159" ht="12.75" customHeight="1">
      <c r="G159" s="316" t="s">
        <v>896</v>
      </c>
      <c r="H159" s="246">
        <v>50.0</v>
      </c>
      <c r="I159" s="315">
        <v>0.0024423602969910123</v>
      </c>
      <c r="K159" s="246"/>
      <c r="L159" s="316"/>
      <c r="M159" s="317"/>
      <c r="O159" s="329" t="str">
        <f>IFERROR(__xludf.DUMMYFUNCTION("""COMPUTED_VALUE"""),"Kraken Lair - Ink Cloud 1★ #A5B")</f>
        <v>Kraken Lair - Ink Cloud 1★ #A5B</v>
      </c>
      <c r="P159" s="246">
        <f>IFERROR(__xludf.DUMMYFUNCTION("""COMPUTED_VALUE"""),50.0)</f>
        <v>50</v>
      </c>
      <c r="Q159" s="315">
        <f>IFERROR(__xludf.DUMMYFUNCTION("if(P159="""", """", P159/sum(filter($P$16:$P$949, $P$16:$P$949&lt;&gt;"""")))"),0.0024423602969910123)</f>
        <v>0.002442360297</v>
      </c>
    </row>
    <row r="160" ht="12.75" customHeight="1">
      <c r="G160" s="316" t="s">
        <v>897</v>
      </c>
      <c r="H160" s="246">
        <v>50.0</v>
      </c>
      <c r="I160" s="315">
        <v>0.0024423602969910123</v>
      </c>
      <c r="K160" s="246"/>
      <c r="L160" s="316"/>
      <c r="M160" s="317"/>
      <c r="O160" s="329" t="str">
        <f>IFERROR(__xludf.DUMMYFUNCTION("""COMPUTED_VALUE"""),"Kraken Lair - Ink Cloud 1★ #510")</f>
        <v>Kraken Lair - Ink Cloud 1★ #510</v>
      </c>
      <c r="P160" s="246">
        <f>IFERROR(__xludf.DUMMYFUNCTION("""COMPUTED_VALUE"""),50.0)</f>
        <v>50</v>
      </c>
      <c r="Q160" s="315">
        <f>IFERROR(__xludf.DUMMYFUNCTION("if(P160="""", """", P160/sum(filter($P$16:$P$949, $P$16:$P$949&lt;&gt;"""")))"),0.0024423602969910123)</f>
        <v>0.002442360297</v>
      </c>
    </row>
    <row r="161" ht="12.75" customHeight="1">
      <c r="G161" s="316" t="s">
        <v>898</v>
      </c>
      <c r="H161" s="246">
        <v>50.0</v>
      </c>
      <c r="I161" s="315">
        <v>0.0024423602969910123</v>
      </c>
      <c r="K161" s="246"/>
      <c r="L161" s="316"/>
      <c r="M161" s="317"/>
      <c r="O161" s="329" t="str">
        <f>IFERROR(__xludf.DUMMYFUNCTION("""COMPUTED_VALUE"""),"Kraken Lair - Ink Cloud 1★ #FC5")</f>
        <v>Kraken Lair - Ink Cloud 1★ #FC5</v>
      </c>
      <c r="P161" s="246">
        <f>IFERROR(__xludf.DUMMYFUNCTION("""COMPUTED_VALUE"""),50.0)</f>
        <v>50</v>
      </c>
      <c r="Q161" s="317"/>
    </row>
    <row r="162" ht="12.75" customHeight="1">
      <c r="G162" s="316" t="s">
        <v>899</v>
      </c>
      <c r="H162" s="246">
        <v>50.0</v>
      </c>
      <c r="I162" s="315">
        <v>0.0024423602969910123</v>
      </c>
      <c r="K162" s="246"/>
      <c r="L162" s="316"/>
      <c r="M162" s="317"/>
      <c r="O162" s="329" t="str">
        <f>IFERROR(__xludf.DUMMYFUNCTION("""COMPUTED_VALUE"""),"Kraken Lair - Ink Cloud 1★ #A7A")</f>
        <v>Kraken Lair - Ink Cloud 1★ #A7A</v>
      </c>
      <c r="P162" s="246">
        <f>IFERROR(__xludf.DUMMYFUNCTION("""COMPUTED_VALUE"""),50.0)</f>
        <v>50</v>
      </c>
      <c r="Q162" s="317"/>
    </row>
    <row r="163" ht="12.75" customHeight="1">
      <c r="G163" s="316" t="s">
        <v>900</v>
      </c>
      <c r="H163" s="246">
        <v>50.0</v>
      </c>
      <c r="I163" s="315">
        <v>0.0024423602969910123</v>
      </c>
      <c r="K163" s="246"/>
      <c r="L163" s="316"/>
      <c r="M163" s="317"/>
      <c r="O163" s="329" t="str">
        <f>IFERROR(__xludf.DUMMYFUNCTION("""COMPUTED_VALUE"""),"Kraken Lair - Ink Cloud 1★ #52F")</f>
        <v>Kraken Lair - Ink Cloud 1★ #52F</v>
      </c>
      <c r="P163" s="246">
        <f>IFERROR(__xludf.DUMMYFUNCTION("""COMPUTED_VALUE"""),50.0)</f>
        <v>50</v>
      </c>
      <c r="Q163" s="317"/>
    </row>
    <row r="164" ht="12.75" customHeight="1">
      <c r="G164" s="316" t="s">
        <v>901</v>
      </c>
      <c r="H164" s="246">
        <v>50.0</v>
      </c>
      <c r="I164" s="315">
        <v>0.0024423602969910123</v>
      </c>
      <c r="K164" s="246"/>
      <c r="L164" s="316"/>
      <c r="M164" s="317"/>
      <c r="O164" s="329" t="str">
        <f>IFERROR(__xludf.DUMMYFUNCTION("""COMPUTED_VALUE"""),"Kraken Lair - Ink Cloud 1★ #FE4")</f>
        <v>Kraken Lair - Ink Cloud 1★ #FE4</v>
      </c>
      <c r="P164" s="246">
        <f>IFERROR(__xludf.DUMMYFUNCTION("""COMPUTED_VALUE"""),50.0)</f>
        <v>50</v>
      </c>
      <c r="Q164" s="317"/>
    </row>
    <row r="165" ht="12.75" customHeight="1">
      <c r="G165" s="316" t="s">
        <v>902</v>
      </c>
      <c r="H165" s="246">
        <v>50.0</v>
      </c>
      <c r="I165" s="315">
        <v>0.0024423602969910123</v>
      </c>
      <c r="K165" s="246"/>
      <c r="L165" s="316"/>
      <c r="M165" s="317"/>
      <c r="O165" s="329" t="str">
        <f>IFERROR(__xludf.DUMMYFUNCTION("""COMPUTED_VALUE"""),"Kraken Lair - Pearl 1★ #A99")</f>
        <v>Kraken Lair - Pearl 1★ #A99</v>
      </c>
      <c r="P165" s="246">
        <f>IFERROR(__xludf.DUMMYFUNCTION("""COMPUTED_VALUE"""),50.0)</f>
        <v>50</v>
      </c>
      <c r="Q165" s="317"/>
    </row>
    <row r="166" ht="12.75" customHeight="1">
      <c r="G166" s="316" t="s">
        <v>903</v>
      </c>
      <c r="H166" s="246">
        <v>50.0</v>
      </c>
      <c r="I166" s="315">
        <v>0.0024423602969910123</v>
      </c>
      <c r="K166" s="246"/>
      <c r="L166" s="316"/>
      <c r="M166" s="317"/>
      <c r="O166" s="329" t="str">
        <f>IFERROR(__xludf.DUMMYFUNCTION("""COMPUTED_VALUE"""),"Kraken Lair - Pearl 1★ #54E")</f>
        <v>Kraken Lair - Pearl 1★ #54E</v>
      </c>
      <c r="P166" s="246">
        <f>IFERROR(__xludf.DUMMYFUNCTION("""COMPUTED_VALUE"""),50.0)</f>
        <v>50</v>
      </c>
      <c r="Q166" s="317"/>
    </row>
    <row r="167" ht="12.75" customHeight="1">
      <c r="G167" s="316" t="s">
        <v>904</v>
      </c>
      <c r="H167" s="246">
        <v>50.0</v>
      </c>
      <c r="I167" s="315">
        <v>0.0024423602969910123</v>
      </c>
      <c r="K167" s="246"/>
      <c r="L167" s="316"/>
      <c r="M167" s="317"/>
      <c r="O167" s="329" t="str">
        <f>IFERROR(__xludf.DUMMYFUNCTION("""COMPUTED_VALUE"""),"Kraken Lair - Pearl 1★ #003")</f>
        <v>Kraken Lair - Pearl 1★ #003</v>
      </c>
      <c r="P167" s="246">
        <f>IFERROR(__xludf.DUMMYFUNCTION("""COMPUTED_VALUE"""),50.0)</f>
        <v>50</v>
      </c>
      <c r="Q167" s="317"/>
    </row>
    <row r="168" ht="12.75" customHeight="1">
      <c r="G168" s="316" t="s">
        <v>905</v>
      </c>
      <c r="H168" s="246">
        <v>50.0</v>
      </c>
      <c r="I168" s="315">
        <v>0.0024423602969910123</v>
      </c>
      <c r="K168" s="246"/>
      <c r="L168" s="316"/>
      <c r="M168" s="317"/>
      <c r="O168" s="329" t="str">
        <f>IFERROR(__xludf.DUMMYFUNCTION("""COMPUTED_VALUE"""),"Kraken Lair - Pearl 1★ #AB8")</f>
        <v>Kraken Lair - Pearl 1★ #AB8</v>
      </c>
      <c r="P168" s="246">
        <f>IFERROR(__xludf.DUMMYFUNCTION("""COMPUTED_VALUE"""),50.0)</f>
        <v>50</v>
      </c>
      <c r="Q168" s="317"/>
    </row>
    <row r="169" ht="12.75" customHeight="1">
      <c r="G169" s="316" t="s">
        <v>906</v>
      </c>
      <c r="H169" s="246">
        <v>50.0</v>
      </c>
      <c r="I169" s="315">
        <v>0.0024423602969910123</v>
      </c>
      <c r="K169" s="246"/>
      <c r="L169" s="316"/>
      <c r="M169" s="317"/>
      <c r="O169" s="329" t="str">
        <f>IFERROR(__xludf.DUMMYFUNCTION("""COMPUTED_VALUE"""),"Kraken Lair - Pearl 1★ #56D")</f>
        <v>Kraken Lair - Pearl 1★ #56D</v>
      </c>
      <c r="P169" s="246">
        <f>IFERROR(__xludf.DUMMYFUNCTION("""COMPUTED_VALUE"""),50.0)</f>
        <v>50</v>
      </c>
      <c r="Q169" s="317"/>
    </row>
    <row r="170" ht="12.75" customHeight="1">
      <c r="G170" s="316" t="s">
        <v>907</v>
      </c>
      <c r="H170" s="246">
        <v>50.0</v>
      </c>
      <c r="I170" s="315">
        <v>0.0024423602969910123</v>
      </c>
      <c r="K170" s="246"/>
      <c r="L170" s="316"/>
      <c r="M170" s="317"/>
      <c r="O170" s="329" t="str">
        <f>IFERROR(__xludf.DUMMYFUNCTION("""COMPUTED_VALUE"""),"Kraken Lair - Pearl 1★ #022")</f>
        <v>Kraken Lair - Pearl 1★ #022</v>
      </c>
      <c r="P170" s="246">
        <f>IFERROR(__xludf.DUMMYFUNCTION("""COMPUTED_VALUE"""),50.0)</f>
        <v>50</v>
      </c>
      <c r="Q170" s="317"/>
    </row>
    <row r="171" ht="12.75" customHeight="1">
      <c r="G171" s="316" t="s">
        <v>908</v>
      </c>
      <c r="H171" s="246">
        <v>50.0</v>
      </c>
      <c r="I171" s="315">
        <v>0.0024423602969910123</v>
      </c>
      <c r="K171" s="246"/>
      <c r="L171" s="316"/>
      <c r="M171" s="317"/>
      <c r="O171" s="329" t="str">
        <f>IFERROR(__xludf.DUMMYFUNCTION("""COMPUTED_VALUE"""),"Kraken Lair - Pearl 1★ #AD7")</f>
        <v>Kraken Lair - Pearl 1★ #AD7</v>
      </c>
      <c r="P171" s="246">
        <f>IFERROR(__xludf.DUMMYFUNCTION("""COMPUTED_VALUE"""),50.0)</f>
        <v>50</v>
      </c>
      <c r="Q171" s="317"/>
    </row>
    <row r="172" ht="12.75" customHeight="1">
      <c r="G172" s="316" t="s">
        <v>909</v>
      </c>
      <c r="H172" s="246">
        <v>50.0</v>
      </c>
      <c r="I172" s="315">
        <v>0.0024423602969910123</v>
      </c>
      <c r="K172" s="246"/>
      <c r="L172" s="316"/>
      <c r="M172" s="317"/>
      <c r="O172" s="329" t="str">
        <f>IFERROR(__xludf.DUMMYFUNCTION("""COMPUTED_VALUE"""),"Kraken Lair - Pearl 1★ #58C")</f>
        <v>Kraken Lair - Pearl 1★ #58C</v>
      </c>
      <c r="P172" s="246">
        <f>IFERROR(__xludf.DUMMYFUNCTION("""COMPUTED_VALUE"""),50.0)</f>
        <v>50</v>
      </c>
      <c r="Q172" s="317"/>
    </row>
    <row r="173" ht="12.75" customHeight="1">
      <c r="G173" s="316" t="s">
        <v>910</v>
      </c>
      <c r="H173" s="246">
        <v>50.0</v>
      </c>
      <c r="I173" s="315">
        <v>0.0024423602969910123</v>
      </c>
      <c r="K173" s="246"/>
      <c r="L173" s="316"/>
      <c r="M173" s="317"/>
      <c r="O173" s="329" t="str">
        <f>IFERROR(__xludf.DUMMYFUNCTION("""COMPUTED_VALUE"""),"Kraken Lair - Pearl 1★ #041")</f>
        <v>Kraken Lair - Pearl 1★ #041</v>
      </c>
      <c r="P173" s="246">
        <f>IFERROR(__xludf.DUMMYFUNCTION("""COMPUTED_VALUE"""),50.0)</f>
        <v>50</v>
      </c>
      <c r="Q173" s="317"/>
    </row>
    <row r="174" ht="12.75" customHeight="1">
      <c r="G174" s="316" t="s">
        <v>911</v>
      </c>
      <c r="H174" s="246">
        <v>50.0</v>
      </c>
      <c r="I174" s="315">
        <v>0.0024423602969910123</v>
      </c>
      <c r="K174" s="246"/>
      <c r="L174" s="316"/>
      <c r="M174" s="317"/>
      <c r="O174" s="329" t="str">
        <f>IFERROR(__xludf.DUMMYFUNCTION("""COMPUTED_VALUE"""),"Kraken Lair - Pearl 1★ #AF6")</f>
        <v>Kraken Lair - Pearl 1★ #AF6</v>
      </c>
      <c r="P174" s="246">
        <f>IFERROR(__xludf.DUMMYFUNCTION("""COMPUTED_VALUE"""),50.0)</f>
        <v>50</v>
      </c>
      <c r="Q174" s="317"/>
    </row>
    <row r="175" ht="12.75" customHeight="1">
      <c r="G175" s="316" t="s">
        <v>912</v>
      </c>
      <c r="H175" s="246">
        <v>50.0</v>
      </c>
      <c r="I175" s="315">
        <v>0.0024423602969910123</v>
      </c>
      <c r="K175" s="246"/>
      <c r="L175" s="316"/>
      <c r="M175" s="317"/>
      <c r="O175" s="329" t="str">
        <f>IFERROR(__xludf.DUMMYFUNCTION("""COMPUTED_VALUE"""),"Kraken Lair - Pearl 1★ #5AB")</f>
        <v>Kraken Lair - Pearl 1★ #5AB</v>
      </c>
      <c r="P175" s="246">
        <f>IFERROR(__xludf.DUMMYFUNCTION("""COMPUTED_VALUE"""),50.0)</f>
        <v>50</v>
      </c>
      <c r="Q175" s="317"/>
    </row>
    <row r="176" ht="12.75" customHeight="1">
      <c r="G176" s="316" t="s">
        <v>913</v>
      </c>
      <c r="H176" s="246">
        <v>50.0</v>
      </c>
      <c r="I176" s="315">
        <v>0.0024423602969910123</v>
      </c>
      <c r="K176" s="246"/>
      <c r="L176" s="316"/>
      <c r="M176" s="317"/>
      <c r="O176" s="329" t="str">
        <f>IFERROR(__xludf.DUMMYFUNCTION("""COMPUTED_VALUE"""),"Kraken Lair - Pearl 1★ #060")</f>
        <v>Kraken Lair - Pearl 1★ #060</v>
      </c>
      <c r="P176" s="246">
        <f>IFERROR(__xludf.DUMMYFUNCTION("""COMPUTED_VALUE"""),50.0)</f>
        <v>50</v>
      </c>
      <c r="Q176" s="317"/>
    </row>
    <row r="177" ht="12.75" customHeight="1">
      <c r="G177" s="316" t="s">
        <v>914</v>
      </c>
      <c r="H177" s="246">
        <v>50.0</v>
      </c>
      <c r="I177" s="315">
        <v>0.0024423602969910123</v>
      </c>
      <c r="K177" s="246"/>
      <c r="L177" s="316"/>
      <c r="M177" s="317"/>
      <c r="O177" s="329" t="str">
        <f>IFERROR(__xludf.DUMMYFUNCTION("""COMPUTED_VALUE"""),"Kraken Lair - Pearl 1★ #B15")</f>
        <v>Kraken Lair - Pearl 1★ #B15</v>
      </c>
      <c r="P177" s="246">
        <f>IFERROR(__xludf.DUMMYFUNCTION("""COMPUTED_VALUE"""),50.0)</f>
        <v>50</v>
      </c>
      <c r="Q177" s="317"/>
    </row>
    <row r="178" ht="12.75" customHeight="1">
      <c r="G178" s="316" t="s">
        <v>915</v>
      </c>
      <c r="H178" s="246">
        <v>50.0</v>
      </c>
      <c r="I178" s="315">
        <v>0.0024423602969910123</v>
      </c>
      <c r="K178" s="246"/>
      <c r="L178" s="316"/>
      <c r="M178" s="317"/>
      <c r="O178" s="329" t="str">
        <f>IFERROR(__xludf.DUMMYFUNCTION("""COMPUTED_VALUE"""),"Kraken Lair - Pearl 1★ #5CA")</f>
        <v>Kraken Lair - Pearl 1★ #5CA</v>
      </c>
      <c r="P178" s="246">
        <f>IFERROR(__xludf.DUMMYFUNCTION("""COMPUTED_VALUE"""),50.0)</f>
        <v>50</v>
      </c>
      <c r="Q178" s="317"/>
    </row>
    <row r="179" ht="12.75" customHeight="1">
      <c r="G179" s="316" t="s">
        <v>916</v>
      </c>
      <c r="H179" s="246">
        <v>50.0</v>
      </c>
      <c r="I179" s="315">
        <v>0.0024423602969910123</v>
      </c>
      <c r="K179" s="246"/>
      <c r="L179" s="316"/>
      <c r="M179" s="317"/>
      <c r="O179" s="329" t="str">
        <f>IFERROR(__xludf.DUMMYFUNCTION("""COMPUTED_VALUE"""),"Kraken Lair - Trident 1★ #07F")</f>
        <v>Kraken Lair - Trident 1★ #07F</v>
      </c>
      <c r="P179" s="246">
        <f>IFERROR(__xludf.DUMMYFUNCTION("""COMPUTED_VALUE"""),50.0)</f>
        <v>50</v>
      </c>
      <c r="Q179" s="317"/>
    </row>
    <row r="180" ht="12.75" customHeight="1">
      <c r="G180" s="316" t="s">
        <v>917</v>
      </c>
      <c r="H180" s="246">
        <v>50.0</v>
      </c>
      <c r="I180" s="315">
        <v>0.0024423602969910123</v>
      </c>
      <c r="K180" s="246"/>
      <c r="L180" s="316"/>
      <c r="M180" s="317"/>
      <c r="O180" s="329" t="str">
        <f>IFERROR(__xludf.DUMMYFUNCTION("""COMPUTED_VALUE"""),"Kraken Lair - Trident 1★ #B34")</f>
        <v>Kraken Lair - Trident 1★ #B34</v>
      </c>
      <c r="P180" s="246">
        <f>IFERROR(__xludf.DUMMYFUNCTION("""COMPUTED_VALUE"""),50.0)</f>
        <v>50</v>
      </c>
      <c r="Q180" s="317"/>
    </row>
    <row r="181" ht="12.75" customHeight="1">
      <c r="G181" s="316" t="s">
        <v>918</v>
      </c>
      <c r="H181" s="246">
        <v>50.0</v>
      </c>
      <c r="I181" s="315">
        <v>0.0024423602969910123</v>
      </c>
      <c r="K181" s="246"/>
      <c r="L181" s="316"/>
      <c r="M181" s="317"/>
      <c r="O181" s="329" t="str">
        <f>IFERROR(__xludf.DUMMYFUNCTION("""COMPUTED_VALUE"""),"Kraken Lair - Trident 1★ #5E9")</f>
        <v>Kraken Lair - Trident 1★ #5E9</v>
      </c>
      <c r="P181" s="246">
        <f>IFERROR(__xludf.DUMMYFUNCTION("""COMPUTED_VALUE"""),50.0)</f>
        <v>50</v>
      </c>
      <c r="Q181" s="317"/>
    </row>
    <row r="182" ht="12.75" customHeight="1">
      <c r="G182" s="316" t="s">
        <v>919</v>
      </c>
      <c r="H182" s="246">
        <v>50.0</v>
      </c>
      <c r="I182" s="315">
        <v>0.0024423602969910123</v>
      </c>
      <c r="K182" s="246"/>
      <c r="L182" s="316"/>
      <c r="M182" s="317"/>
      <c r="O182" s="329" t="str">
        <f>IFERROR(__xludf.DUMMYFUNCTION("""COMPUTED_VALUE"""),"Kraken Lair - Trident 1★ #09E")</f>
        <v>Kraken Lair - Trident 1★ #09E</v>
      </c>
      <c r="P182" s="246">
        <f>IFERROR(__xludf.DUMMYFUNCTION("""COMPUTED_VALUE"""),50.0)</f>
        <v>50</v>
      </c>
      <c r="Q182" s="317"/>
    </row>
    <row r="183" ht="12.75" customHeight="1">
      <c r="G183" s="316" t="s">
        <v>920</v>
      </c>
      <c r="H183" s="246">
        <v>50.0</v>
      </c>
      <c r="I183" s="315">
        <v>0.0024423602969910123</v>
      </c>
      <c r="K183" s="246"/>
      <c r="L183" s="316"/>
      <c r="M183" s="317"/>
      <c r="O183" s="329" t="str">
        <f>IFERROR(__xludf.DUMMYFUNCTION("""COMPUTED_VALUE"""),"Kraken Lair - Trident 1★ #B53")</f>
        <v>Kraken Lair - Trident 1★ #B53</v>
      </c>
      <c r="P183" s="246">
        <f>IFERROR(__xludf.DUMMYFUNCTION("""COMPUTED_VALUE"""),50.0)</f>
        <v>50</v>
      </c>
      <c r="Q183" s="317"/>
    </row>
    <row r="184" ht="12.75" customHeight="1">
      <c r="G184" s="316" t="s">
        <v>921</v>
      </c>
      <c r="H184" s="246">
        <v>50.0</v>
      </c>
      <c r="I184" s="315">
        <v>0.0024423602969910123</v>
      </c>
      <c r="K184" s="246"/>
      <c r="L184" s="316"/>
      <c r="M184" s="317"/>
      <c r="O184" s="329" t="str">
        <f>IFERROR(__xludf.DUMMYFUNCTION("""COMPUTED_VALUE"""),"Kraken Lair - Trident 1★ #608")</f>
        <v>Kraken Lair - Trident 1★ #608</v>
      </c>
      <c r="P184" s="246">
        <f>IFERROR(__xludf.DUMMYFUNCTION("""COMPUTED_VALUE"""),50.0)</f>
        <v>50</v>
      </c>
      <c r="Q184" s="317"/>
    </row>
    <row r="185" ht="12.75" customHeight="1">
      <c r="G185" s="316" t="s">
        <v>922</v>
      </c>
      <c r="H185" s="246">
        <v>50.0</v>
      </c>
      <c r="I185" s="315">
        <v>0.0024423602969910123</v>
      </c>
      <c r="K185" s="246"/>
      <c r="L185" s="316"/>
      <c r="M185" s="317"/>
      <c r="O185" s="329" t="str">
        <f>IFERROR(__xludf.DUMMYFUNCTION("""COMPUTED_VALUE"""),"Kraken Lair - Trident 1★ #0BD")</f>
        <v>Kraken Lair - Trident 1★ #0BD</v>
      </c>
      <c r="P185" s="246">
        <f>IFERROR(__xludf.DUMMYFUNCTION("""COMPUTED_VALUE"""),50.0)</f>
        <v>50</v>
      </c>
      <c r="Q185" s="317"/>
    </row>
    <row r="186" ht="12.75" customHeight="1">
      <c r="G186" s="316" t="s">
        <v>923</v>
      </c>
      <c r="H186" s="246">
        <v>50.0</v>
      </c>
      <c r="I186" s="315">
        <v>0.0024423602969910123</v>
      </c>
      <c r="K186" s="246"/>
      <c r="L186" s="316"/>
      <c r="M186" s="317"/>
      <c r="O186" s="329" t="str">
        <f>IFERROR(__xludf.DUMMYFUNCTION("""COMPUTED_VALUE"""),"Kraken Lair - Trident 1★ #B72")</f>
        <v>Kraken Lair - Trident 1★ #B72</v>
      </c>
      <c r="P186" s="246">
        <f>IFERROR(__xludf.DUMMYFUNCTION("""COMPUTED_VALUE"""),50.0)</f>
        <v>50</v>
      </c>
      <c r="Q186" s="317"/>
    </row>
    <row r="187" ht="12.75" customHeight="1">
      <c r="G187" s="316" t="s">
        <v>924</v>
      </c>
      <c r="H187" s="246">
        <v>50.0</v>
      </c>
      <c r="I187" s="315">
        <v>0.0024423602969910123</v>
      </c>
      <c r="K187" s="246"/>
      <c r="L187" s="316"/>
      <c r="M187" s="317"/>
      <c r="O187" s="329" t="str">
        <f>IFERROR(__xludf.DUMMYFUNCTION("""COMPUTED_VALUE"""),"Kraken Lair - Trident 1★ #627")</f>
        <v>Kraken Lair - Trident 1★ #627</v>
      </c>
      <c r="P187" s="246">
        <f>IFERROR(__xludf.DUMMYFUNCTION("""COMPUTED_VALUE"""),50.0)</f>
        <v>50</v>
      </c>
      <c r="Q187" s="317"/>
    </row>
    <row r="188" ht="12.75" customHeight="1">
      <c r="B188" s="155" t="str">
        <f>IFERROR(__xludf.DUMMYFUNCTION("iferror(filter(#REF!, #REF!=#REF!, #REF!=#REF!), """")"),"")</f>
        <v/>
      </c>
      <c r="G188" s="316" t="s">
        <v>925</v>
      </c>
      <c r="H188" s="246">
        <v>50.0</v>
      </c>
      <c r="I188" s="315">
        <v>0.0024423602969910123</v>
      </c>
      <c r="K188" s="246"/>
      <c r="L188" s="316"/>
      <c r="M188" s="317"/>
      <c r="O188" s="329" t="str">
        <f>IFERROR(__xludf.DUMMYFUNCTION("""COMPUTED_VALUE"""),"Kraken Lair - Trident 1★ #0DC")</f>
        <v>Kraken Lair - Trident 1★ #0DC</v>
      </c>
      <c r="P188" s="246">
        <f>IFERROR(__xludf.DUMMYFUNCTION("""COMPUTED_VALUE"""),50.0)</f>
        <v>50</v>
      </c>
      <c r="Q188" s="317"/>
    </row>
    <row r="189" ht="12.75" customHeight="1">
      <c r="G189" s="316" t="s">
        <v>926</v>
      </c>
      <c r="H189" s="246">
        <v>50.0</v>
      </c>
      <c r="I189" s="315">
        <v>0.0024423602969910123</v>
      </c>
      <c r="K189" s="246"/>
      <c r="L189" s="316"/>
      <c r="M189" s="317"/>
      <c r="O189" s="329" t="str">
        <f>IFERROR(__xludf.DUMMYFUNCTION("""COMPUTED_VALUE"""),"Kraken Lair - Trident 1★ #B91")</f>
        <v>Kraken Lair - Trident 1★ #B91</v>
      </c>
      <c r="P189" s="246">
        <f>IFERROR(__xludf.DUMMYFUNCTION("""COMPUTED_VALUE"""),50.0)</f>
        <v>50</v>
      </c>
      <c r="Q189" s="317"/>
    </row>
    <row r="190" ht="12.75" customHeight="1">
      <c r="G190" s="316" t="s">
        <v>927</v>
      </c>
      <c r="H190" s="246">
        <v>50.0</v>
      </c>
      <c r="I190" s="315">
        <v>0.0024423602969910123</v>
      </c>
      <c r="K190" s="246"/>
      <c r="L190" s="316"/>
      <c r="M190" s="317"/>
      <c r="O190" s="329" t="str">
        <f>IFERROR(__xludf.DUMMYFUNCTION("""COMPUTED_VALUE"""),"Kraken Lair - Trident 1★ #646")</f>
        <v>Kraken Lair - Trident 1★ #646</v>
      </c>
      <c r="P190" s="246">
        <f>IFERROR(__xludf.DUMMYFUNCTION("""COMPUTED_VALUE"""),50.0)</f>
        <v>50</v>
      </c>
      <c r="Q190" s="317"/>
    </row>
    <row r="191" ht="12.75" customHeight="1">
      <c r="G191" s="316" t="s">
        <v>928</v>
      </c>
      <c r="H191" s="246">
        <v>50.0</v>
      </c>
      <c r="I191" s="315">
        <v>0.0024423602969910123</v>
      </c>
      <c r="K191" s="246"/>
      <c r="L191" s="316"/>
      <c r="M191" s="317"/>
      <c r="O191" s="329" t="str">
        <f>IFERROR(__xludf.DUMMYFUNCTION("""COMPUTED_VALUE"""),"Kraken Lair - Trident 1★ #0FB")</f>
        <v>Kraken Lair - Trident 1★ #0FB</v>
      </c>
      <c r="P191" s="246">
        <f>IFERROR(__xludf.DUMMYFUNCTION("""COMPUTED_VALUE"""),50.0)</f>
        <v>50</v>
      </c>
      <c r="Q191" s="317"/>
    </row>
    <row r="192" ht="12.75" customHeight="1">
      <c r="G192" s="316" t="s">
        <v>929</v>
      </c>
      <c r="H192" s="246">
        <v>50.0</v>
      </c>
      <c r="I192" s="315">
        <v>0.0024423602969910123</v>
      </c>
      <c r="K192" s="246"/>
      <c r="L192" s="316"/>
      <c r="M192" s="317"/>
      <c r="O192" s="329" t="str">
        <f>IFERROR(__xludf.DUMMYFUNCTION("""COMPUTED_VALUE"""),"Kraken Lair - Trident 1★ #BB0")</f>
        <v>Kraken Lair - Trident 1★ #BB0</v>
      </c>
      <c r="P192" s="246">
        <f>IFERROR(__xludf.DUMMYFUNCTION("""COMPUTED_VALUE"""),50.0)</f>
        <v>50</v>
      </c>
      <c r="Q192" s="317"/>
    </row>
    <row r="193" ht="12.75" customHeight="1">
      <c r="G193" s="316" t="s">
        <v>930</v>
      </c>
      <c r="H193" s="246">
        <v>20.0</v>
      </c>
      <c r="I193" s="315">
        <v>9.769441187964048E-4</v>
      </c>
      <c r="K193" s="246"/>
      <c r="L193" s="316"/>
      <c r="M193" s="317"/>
      <c r="O193" s="329" t="str">
        <f>IFERROR(__xludf.DUMMYFUNCTION("""COMPUTED_VALUE"""),"Kraken Lair - Shell 2★ #665")</f>
        <v>Kraken Lair - Shell 2★ #665</v>
      </c>
      <c r="P193" s="246">
        <f>IFERROR(__xludf.DUMMYFUNCTION("""COMPUTED_VALUE"""),20.0)</f>
        <v>20</v>
      </c>
      <c r="Q193" s="317"/>
    </row>
    <row r="194" ht="12.75" customHeight="1">
      <c r="G194" s="316" t="s">
        <v>931</v>
      </c>
      <c r="H194" s="246">
        <v>20.0</v>
      </c>
      <c r="I194" s="315">
        <v>9.769441187964048E-4</v>
      </c>
      <c r="K194" s="246"/>
      <c r="L194" s="316"/>
      <c r="M194" s="317"/>
      <c r="O194" s="329" t="str">
        <f>IFERROR(__xludf.DUMMYFUNCTION("""COMPUTED_VALUE"""),"Kraken Lair - Shell 2★ #11A")</f>
        <v>Kraken Lair - Shell 2★ #11A</v>
      </c>
      <c r="P194" s="246">
        <f>IFERROR(__xludf.DUMMYFUNCTION("""COMPUTED_VALUE"""),20.0)</f>
        <v>20</v>
      </c>
      <c r="Q194" s="317"/>
    </row>
    <row r="195" ht="12.75" customHeight="1">
      <c r="G195" s="316" t="s">
        <v>932</v>
      </c>
      <c r="H195" s="246">
        <v>20.0</v>
      </c>
      <c r="I195" s="315">
        <v>9.769441187964048E-4</v>
      </c>
      <c r="K195" s="246"/>
      <c r="L195" s="316"/>
      <c r="M195" s="317"/>
      <c r="O195" s="329" t="str">
        <f>IFERROR(__xludf.DUMMYFUNCTION("""COMPUTED_VALUE"""),"Kraken Lair - Shell 2★ #BCF")</f>
        <v>Kraken Lair - Shell 2★ #BCF</v>
      </c>
      <c r="P195" s="246">
        <f>IFERROR(__xludf.DUMMYFUNCTION("""COMPUTED_VALUE"""),20.0)</f>
        <v>20</v>
      </c>
      <c r="Q195" s="317"/>
    </row>
    <row r="196" ht="12.75" customHeight="1">
      <c r="G196" s="316" t="s">
        <v>933</v>
      </c>
      <c r="H196" s="246">
        <v>20.0</v>
      </c>
      <c r="I196" s="315">
        <v>9.769441187964048E-4</v>
      </c>
      <c r="K196" s="246"/>
      <c r="L196" s="316"/>
      <c r="M196" s="317"/>
      <c r="O196" s="329" t="str">
        <f>IFERROR(__xludf.DUMMYFUNCTION("""COMPUTED_VALUE"""),"Kraken Lair - Shell 2★ #684")</f>
        <v>Kraken Lair - Shell 2★ #684</v>
      </c>
      <c r="P196" s="246">
        <f>IFERROR(__xludf.DUMMYFUNCTION("""COMPUTED_VALUE"""),20.0)</f>
        <v>20</v>
      </c>
      <c r="Q196" s="317"/>
    </row>
    <row r="197" ht="12.75" customHeight="1">
      <c r="G197" s="316" t="s">
        <v>934</v>
      </c>
      <c r="H197" s="246">
        <v>20.0</v>
      </c>
      <c r="I197" s="315">
        <v>9.769441187964048E-4</v>
      </c>
      <c r="K197" s="246"/>
      <c r="L197" s="316"/>
      <c r="M197" s="317"/>
      <c r="O197" s="329" t="str">
        <f>IFERROR(__xludf.DUMMYFUNCTION("""COMPUTED_VALUE"""),"Kraken Lair - Shell 2★ #139")</f>
        <v>Kraken Lair - Shell 2★ #139</v>
      </c>
      <c r="P197" s="246">
        <f>IFERROR(__xludf.DUMMYFUNCTION("""COMPUTED_VALUE"""),20.0)</f>
        <v>20</v>
      </c>
      <c r="Q197" s="317"/>
    </row>
    <row r="198" ht="12.75" customHeight="1">
      <c r="G198" s="316" t="s">
        <v>935</v>
      </c>
      <c r="H198" s="246">
        <v>20.0</v>
      </c>
      <c r="I198" s="315">
        <v>9.769441187964048E-4</v>
      </c>
      <c r="K198" s="246"/>
      <c r="L198" s="316"/>
      <c r="M198" s="317"/>
      <c r="O198" s="329" t="str">
        <f>IFERROR(__xludf.DUMMYFUNCTION("""COMPUTED_VALUE"""),"Kraken Lair - Shell 2★ #BEE")</f>
        <v>Kraken Lair - Shell 2★ #BEE</v>
      </c>
      <c r="P198" s="246">
        <f>IFERROR(__xludf.DUMMYFUNCTION("""COMPUTED_VALUE"""),20.0)</f>
        <v>20</v>
      </c>
      <c r="Q198" s="317"/>
    </row>
    <row r="199" ht="12.75" customHeight="1">
      <c r="G199" s="316" t="s">
        <v>936</v>
      </c>
      <c r="H199" s="246">
        <v>20.0</v>
      </c>
      <c r="I199" s="315">
        <v>9.769441187964048E-4</v>
      </c>
      <c r="K199" s="246"/>
      <c r="L199" s="316"/>
      <c r="M199" s="317"/>
      <c r="O199" s="329" t="str">
        <f>IFERROR(__xludf.DUMMYFUNCTION("""COMPUTED_VALUE"""),"Kraken Lair - Shell 2★ #6A3")</f>
        <v>Kraken Lair - Shell 2★ #6A3</v>
      </c>
      <c r="P199" s="246">
        <f>IFERROR(__xludf.DUMMYFUNCTION("""COMPUTED_VALUE"""),20.0)</f>
        <v>20</v>
      </c>
      <c r="Q199" s="317"/>
    </row>
    <row r="200" ht="12.75" customHeight="1">
      <c r="G200" s="316" t="s">
        <v>937</v>
      </c>
      <c r="H200" s="246">
        <v>20.0</v>
      </c>
      <c r="I200" s="315">
        <v>9.769441187964048E-4</v>
      </c>
      <c r="K200" s="246"/>
      <c r="L200" s="316"/>
      <c r="M200" s="317"/>
      <c r="O200" s="329" t="str">
        <f>IFERROR(__xludf.DUMMYFUNCTION("""COMPUTED_VALUE"""),"Kraken Lair - Shell 2★ #158")</f>
        <v>Kraken Lair - Shell 2★ #158</v>
      </c>
      <c r="P200" s="246">
        <f>IFERROR(__xludf.DUMMYFUNCTION("""COMPUTED_VALUE"""),20.0)</f>
        <v>20</v>
      </c>
      <c r="Q200" s="317"/>
    </row>
    <row r="201" ht="12.75" customHeight="1">
      <c r="G201" s="316" t="s">
        <v>938</v>
      </c>
      <c r="H201" s="246">
        <v>20.0</v>
      </c>
      <c r="I201" s="315">
        <v>9.769441187964048E-4</v>
      </c>
      <c r="K201" s="246"/>
      <c r="L201" s="316"/>
      <c r="M201" s="317"/>
      <c r="O201" s="329" t="str">
        <f>IFERROR(__xludf.DUMMYFUNCTION("""COMPUTED_VALUE"""),"Kraken Lair - Shell 2★ #C0D")</f>
        <v>Kraken Lair - Shell 2★ #C0D</v>
      </c>
      <c r="P201" s="246">
        <f>IFERROR(__xludf.DUMMYFUNCTION("""COMPUTED_VALUE"""),20.0)</f>
        <v>20</v>
      </c>
      <c r="Q201" s="317"/>
    </row>
    <row r="202" ht="12.75" customHeight="1">
      <c r="G202" s="316" t="s">
        <v>939</v>
      </c>
      <c r="H202" s="246">
        <v>20.0</v>
      </c>
      <c r="I202" s="315">
        <v>9.769441187964048E-4</v>
      </c>
      <c r="K202" s="246"/>
      <c r="L202" s="316"/>
      <c r="M202" s="317"/>
      <c r="O202" s="329" t="str">
        <f>IFERROR(__xludf.DUMMYFUNCTION("""COMPUTED_VALUE"""),"Kraken Lair - Shell 2★ #6C2")</f>
        <v>Kraken Lair - Shell 2★ #6C2</v>
      </c>
      <c r="P202" s="246">
        <f>IFERROR(__xludf.DUMMYFUNCTION("""COMPUTED_VALUE"""),20.0)</f>
        <v>20</v>
      </c>
      <c r="Q202" s="317"/>
    </row>
    <row r="203" ht="12.75" customHeight="1">
      <c r="G203" s="316" t="s">
        <v>940</v>
      </c>
      <c r="H203" s="246">
        <v>20.0</v>
      </c>
      <c r="I203" s="315">
        <v>9.769441187964048E-4</v>
      </c>
      <c r="K203" s="246"/>
      <c r="L203" s="316"/>
      <c r="M203" s="317"/>
      <c r="O203" s="329" t="str">
        <f>IFERROR(__xludf.DUMMYFUNCTION("""COMPUTED_VALUE"""),"Kraken Lair - Shell 2★ #177")</f>
        <v>Kraken Lair - Shell 2★ #177</v>
      </c>
      <c r="P203" s="246">
        <f>IFERROR(__xludf.DUMMYFUNCTION("""COMPUTED_VALUE"""),20.0)</f>
        <v>20</v>
      </c>
      <c r="Q203" s="317"/>
    </row>
    <row r="204" ht="12.75" customHeight="1">
      <c r="G204" s="316" t="s">
        <v>941</v>
      </c>
      <c r="H204" s="246">
        <v>20.0</v>
      </c>
      <c r="I204" s="315">
        <v>9.769441187964048E-4</v>
      </c>
      <c r="K204" s="246"/>
      <c r="L204" s="316"/>
      <c r="M204" s="317"/>
      <c r="O204" s="329" t="str">
        <f>IFERROR(__xludf.DUMMYFUNCTION("""COMPUTED_VALUE"""),"Kraken Lair - Shell 2★ #C2C")</f>
        <v>Kraken Lair - Shell 2★ #C2C</v>
      </c>
      <c r="P204" s="246">
        <f>IFERROR(__xludf.DUMMYFUNCTION("""COMPUTED_VALUE"""),20.0)</f>
        <v>20</v>
      </c>
      <c r="Q204" s="317"/>
    </row>
    <row r="205" ht="12.75" customHeight="1">
      <c r="G205" s="316" t="s">
        <v>942</v>
      </c>
      <c r="H205" s="246">
        <v>20.0</v>
      </c>
      <c r="I205" s="315">
        <v>9.769441187964048E-4</v>
      </c>
      <c r="K205" s="246"/>
      <c r="L205" s="316"/>
      <c r="M205" s="317"/>
      <c r="O205" s="329" t="str">
        <f>IFERROR(__xludf.DUMMYFUNCTION("""COMPUTED_VALUE"""),"Kraken Lair - Shell 2★ #6E1")</f>
        <v>Kraken Lair - Shell 2★ #6E1</v>
      </c>
      <c r="P205" s="246">
        <f>IFERROR(__xludf.DUMMYFUNCTION("""COMPUTED_VALUE"""),20.0)</f>
        <v>20</v>
      </c>
      <c r="Q205" s="317"/>
    </row>
    <row r="206" ht="12.75" customHeight="1">
      <c r="G206" s="316" t="s">
        <v>943</v>
      </c>
      <c r="H206" s="246">
        <v>20.0</v>
      </c>
      <c r="I206" s="315">
        <v>9.769441187964048E-4</v>
      </c>
      <c r="K206" s="246"/>
      <c r="L206" s="316"/>
      <c r="M206" s="317"/>
      <c r="O206" s="329" t="str">
        <f>IFERROR(__xludf.DUMMYFUNCTION("""COMPUTED_VALUE"""),"Kraken Lair - Coral 2★ #196")</f>
        <v>Kraken Lair - Coral 2★ #196</v>
      </c>
      <c r="P206" s="246">
        <f>IFERROR(__xludf.DUMMYFUNCTION("""COMPUTED_VALUE"""),20.0)</f>
        <v>20</v>
      </c>
      <c r="Q206" s="317"/>
    </row>
    <row r="207" ht="12.75" customHeight="1">
      <c r="G207" s="316" t="s">
        <v>944</v>
      </c>
      <c r="H207" s="246">
        <v>20.0</v>
      </c>
      <c r="I207" s="315">
        <v>9.769441187964048E-4</v>
      </c>
      <c r="K207" s="246"/>
      <c r="L207" s="316"/>
      <c r="M207" s="317"/>
      <c r="O207" s="329" t="str">
        <f>IFERROR(__xludf.DUMMYFUNCTION("""COMPUTED_VALUE"""),"Kraken Lair - Coral 2★ #C4B")</f>
        <v>Kraken Lair - Coral 2★ #C4B</v>
      </c>
      <c r="P207" s="246">
        <f>IFERROR(__xludf.DUMMYFUNCTION("""COMPUTED_VALUE"""),20.0)</f>
        <v>20</v>
      </c>
      <c r="Q207" s="317"/>
    </row>
    <row r="208" ht="12.75" customHeight="1">
      <c r="G208" s="316" t="s">
        <v>945</v>
      </c>
      <c r="H208" s="246">
        <v>20.0</v>
      </c>
      <c r="I208" s="315">
        <v>9.769441187964048E-4</v>
      </c>
      <c r="K208" s="246"/>
      <c r="L208" s="316"/>
      <c r="M208" s="317"/>
      <c r="O208" s="329" t="str">
        <f>IFERROR(__xludf.DUMMYFUNCTION("""COMPUTED_VALUE"""),"Kraken Lair - Coral 2★ #700")</f>
        <v>Kraken Lair - Coral 2★ #700</v>
      </c>
      <c r="P208" s="246">
        <f>IFERROR(__xludf.DUMMYFUNCTION("""COMPUTED_VALUE"""),20.0)</f>
        <v>20</v>
      </c>
      <c r="Q208" s="317"/>
    </row>
    <row r="209" ht="12.75" customHeight="1">
      <c r="G209" s="316" t="s">
        <v>946</v>
      </c>
      <c r="H209" s="246">
        <v>20.0</v>
      </c>
      <c r="I209" s="315">
        <v>9.769441187964048E-4</v>
      </c>
      <c r="K209" s="246"/>
      <c r="L209" s="316"/>
      <c r="M209" s="317"/>
      <c r="O209" s="329" t="str">
        <f>IFERROR(__xludf.DUMMYFUNCTION("""COMPUTED_VALUE"""),"Kraken Lair - Coral 2★ #1B5")</f>
        <v>Kraken Lair - Coral 2★ #1B5</v>
      </c>
      <c r="P209" s="246">
        <f>IFERROR(__xludf.DUMMYFUNCTION("""COMPUTED_VALUE"""),20.0)</f>
        <v>20</v>
      </c>
      <c r="Q209" s="317"/>
    </row>
    <row r="210" ht="12.75" customHeight="1">
      <c r="G210" s="316" t="s">
        <v>947</v>
      </c>
      <c r="H210" s="246">
        <v>20.0</v>
      </c>
      <c r="I210" s="315">
        <v>9.769441187964048E-4</v>
      </c>
      <c r="K210" s="246"/>
      <c r="L210" s="316"/>
      <c r="M210" s="317"/>
      <c r="O210" s="329" t="str">
        <f>IFERROR(__xludf.DUMMYFUNCTION("""COMPUTED_VALUE"""),"Kraken Lair - Coral 2★ #C6A")</f>
        <v>Kraken Lair - Coral 2★ #C6A</v>
      </c>
      <c r="P210" s="246">
        <f>IFERROR(__xludf.DUMMYFUNCTION("""COMPUTED_VALUE"""),20.0)</f>
        <v>20</v>
      </c>
      <c r="Q210" s="317"/>
    </row>
    <row r="211" ht="12.75" customHeight="1">
      <c r="G211" s="316" t="s">
        <v>948</v>
      </c>
      <c r="H211" s="246">
        <v>20.0</v>
      </c>
      <c r="I211" s="315">
        <v>9.769441187964048E-4</v>
      </c>
      <c r="K211" s="246"/>
      <c r="L211" s="316"/>
      <c r="M211" s="317"/>
      <c r="O211" s="329" t="str">
        <f>IFERROR(__xludf.DUMMYFUNCTION("""COMPUTED_VALUE"""),"Kraken Lair - Coral 2★ #71F")</f>
        <v>Kraken Lair - Coral 2★ #71F</v>
      </c>
      <c r="P211" s="246">
        <f>IFERROR(__xludf.DUMMYFUNCTION("""COMPUTED_VALUE"""),20.0)</f>
        <v>20</v>
      </c>
      <c r="Q211" s="317"/>
    </row>
    <row r="212" ht="12.75" customHeight="1">
      <c r="G212" s="316" t="s">
        <v>949</v>
      </c>
      <c r="H212" s="246">
        <v>20.0</v>
      </c>
      <c r="I212" s="315">
        <v>9.769441187964048E-4</v>
      </c>
      <c r="K212" s="246"/>
      <c r="L212" s="316"/>
      <c r="M212" s="317"/>
      <c r="O212" s="329" t="str">
        <f>IFERROR(__xludf.DUMMYFUNCTION("""COMPUTED_VALUE"""),"Kraken Lair - Coral 2★ #1D4")</f>
        <v>Kraken Lair - Coral 2★ #1D4</v>
      </c>
      <c r="P212" s="246">
        <f>IFERROR(__xludf.DUMMYFUNCTION("""COMPUTED_VALUE"""),20.0)</f>
        <v>20</v>
      </c>
      <c r="Q212" s="317"/>
    </row>
    <row r="213" ht="12.75" customHeight="1">
      <c r="G213" s="316" t="s">
        <v>950</v>
      </c>
      <c r="H213" s="246">
        <v>20.0</v>
      </c>
      <c r="I213" s="315">
        <v>9.769441187964048E-4</v>
      </c>
      <c r="K213" s="246"/>
      <c r="L213" s="316"/>
      <c r="M213" s="317"/>
      <c r="O213" s="329" t="str">
        <f>IFERROR(__xludf.DUMMYFUNCTION("""COMPUTED_VALUE"""),"Kraken Lair - Coral 2★ #C89")</f>
        <v>Kraken Lair - Coral 2★ #C89</v>
      </c>
      <c r="P213" s="246">
        <f>IFERROR(__xludf.DUMMYFUNCTION("""COMPUTED_VALUE"""),20.0)</f>
        <v>20</v>
      </c>
      <c r="Q213" s="317"/>
    </row>
    <row r="214" ht="12.75" customHeight="1">
      <c r="G214" s="316" t="s">
        <v>951</v>
      </c>
      <c r="H214" s="246">
        <v>20.0</v>
      </c>
      <c r="I214" s="315">
        <v>9.769441187964048E-4</v>
      </c>
      <c r="K214" s="246"/>
      <c r="L214" s="316"/>
      <c r="M214" s="317"/>
      <c r="O214" s="329" t="str">
        <f>IFERROR(__xludf.DUMMYFUNCTION("""COMPUTED_VALUE"""),"Kraken Lair - Coral 2★ #73E")</f>
        <v>Kraken Lair - Coral 2★ #73E</v>
      </c>
      <c r="P214" s="246">
        <f>IFERROR(__xludf.DUMMYFUNCTION("""COMPUTED_VALUE"""),20.0)</f>
        <v>20</v>
      </c>
      <c r="Q214" s="317"/>
    </row>
    <row r="215" ht="12.75" customHeight="1">
      <c r="G215" s="316" t="s">
        <v>952</v>
      </c>
      <c r="H215" s="246">
        <v>20.0</v>
      </c>
      <c r="I215" s="315">
        <v>9.769441187964048E-4</v>
      </c>
      <c r="K215" s="246"/>
      <c r="L215" s="316"/>
      <c r="M215" s="317"/>
      <c r="O215" s="329" t="str">
        <f>IFERROR(__xludf.DUMMYFUNCTION("""COMPUTED_VALUE"""),"Kraken Lair - Coral 2★ #1F3")</f>
        <v>Kraken Lair - Coral 2★ #1F3</v>
      </c>
      <c r="P215" s="246">
        <f>IFERROR(__xludf.DUMMYFUNCTION("""COMPUTED_VALUE"""),20.0)</f>
        <v>20</v>
      </c>
      <c r="Q215" s="317"/>
    </row>
    <row r="216" ht="12.75" customHeight="1">
      <c r="G216" s="316" t="s">
        <v>953</v>
      </c>
      <c r="H216" s="246">
        <v>20.0</v>
      </c>
      <c r="I216" s="315">
        <v>9.769441187964048E-4</v>
      </c>
      <c r="K216" s="246"/>
      <c r="L216" s="316"/>
      <c r="M216" s="317"/>
      <c r="O216" s="329" t="str">
        <f>IFERROR(__xludf.DUMMYFUNCTION("""COMPUTED_VALUE"""),"Kraken Lair - Coral 2★ #CA8")</f>
        <v>Kraken Lair - Coral 2★ #CA8</v>
      </c>
      <c r="P216" s="246">
        <f>IFERROR(__xludf.DUMMYFUNCTION("""COMPUTED_VALUE"""),20.0)</f>
        <v>20</v>
      </c>
      <c r="Q216" s="317"/>
    </row>
    <row r="217" ht="12.75" customHeight="1">
      <c r="G217" s="316" t="s">
        <v>954</v>
      </c>
      <c r="H217" s="246">
        <v>20.0</v>
      </c>
      <c r="I217" s="315">
        <v>9.769441187964048E-4</v>
      </c>
      <c r="K217" s="246"/>
      <c r="L217" s="316"/>
      <c r="M217" s="317"/>
      <c r="O217" s="329" t="str">
        <f>IFERROR(__xludf.DUMMYFUNCTION("""COMPUTED_VALUE"""),"Kraken Lair - Coral 2★ #75D")</f>
        <v>Kraken Lair - Coral 2★ #75D</v>
      </c>
      <c r="P217" s="246">
        <f>IFERROR(__xludf.DUMMYFUNCTION("""COMPUTED_VALUE"""),20.0)</f>
        <v>20</v>
      </c>
      <c r="Q217" s="317"/>
    </row>
    <row r="218" ht="12.75" customHeight="1">
      <c r="G218" s="316" t="s">
        <v>955</v>
      </c>
      <c r="H218" s="246">
        <v>20.0</v>
      </c>
      <c r="I218" s="315">
        <v>9.769441187964048E-4</v>
      </c>
      <c r="K218" s="246"/>
      <c r="L218" s="316"/>
      <c r="M218" s="317"/>
      <c r="O218" s="329" t="str">
        <f>IFERROR(__xludf.DUMMYFUNCTION("""COMPUTED_VALUE"""),"Kraken Lair - Coral 2★ #212")</f>
        <v>Kraken Lair - Coral 2★ #212</v>
      </c>
      <c r="P218" s="246">
        <f>IFERROR(__xludf.DUMMYFUNCTION("""COMPUTED_VALUE"""),20.0)</f>
        <v>20</v>
      </c>
      <c r="Q218" s="317"/>
    </row>
    <row r="219" ht="12.75" customHeight="1">
      <c r="G219" s="316" t="s">
        <v>956</v>
      </c>
      <c r="H219" s="246">
        <v>10.0</v>
      </c>
      <c r="I219" s="315">
        <v>4.884720593982024E-4</v>
      </c>
      <c r="K219" s="246"/>
      <c r="L219" s="316"/>
      <c r="M219" s="317"/>
      <c r="O219" s="329" t="str">
        <f>IFERROR(__xludf.DUMMYFUNCTION("""COMPUTED_VALUE"""),"Kraken Lair - Lantern 3★ #CC7")</f>
        <v>Kraken Lair - Lantern 3★ #CC7</v>
      </c>
      <c r="P219" s="246">
        <f>IFERROR(__xludf.DUMMYFUNCTION("""COMPUTED_VALUE"""),10.0)</f>
        <v>10</v>
      </c>
      <c r="Q219" s="317"/>
    </row>
    <row r="220" ht="12.75" customHeight="1">
      <c r="G220" s="316" t="s">
        <v>957</v>
      </c>
      <c r="H220" s="246">
        <v>10.0</v>
      </c>
      <c r="I220" s="315">
        <v>4.884720593982024E-4</v>
      </c>
      <c r="K220" s="246"/>
      <c r="L220" s="316"/>
      <c r="M220" s="317"/>
      <c r="O220" s="329" t="str">
        <f>IFERROR(__xludf.DUMMYFUNCTION("""COMPUTED_VALUE"""),"Kraken Lair - Lantern 3★ #77C")</f>
        <v>Kraken Lair - Lantern 3★ #77C</v>
      </c>
      <c r="P220" s="246">
        <f>IFERROR(__xludf.DUMMYFUNCTION("""COMPUTED_VALUE"""),10.0)</f>
        <v>10</v>
      </c>
      <c r="Q220" s="317"/>
    </row>
    <row r="221" ht="12.75" customHeight="1">
      <c r="G221" s="316" t="s">
        <v>958</v>
      </c>
      <c r="H221" s="246">
        <v>10.0</v>
      </c>
      <c r="I221" s="315">
        <v>4.884720593982024E-4</v>
      </c>
      <c r="K221" s="246"/>
      <c r="L221" s="316"/>
      <c r="M221" s="317"/>
      <c r="O221" s="329" t="str">
        <f>IFERROR(__xludf.DUMMYFUNCTION("""COMPUTED_VALUE"""),"Kraken Lair - Lantern 3★ #231")</f>
        <v>Kraken Lair - Lantern 3★ #231</v>
      </c>
      <c r="P221" s="246">
        <f>IFERROR(__xludf.DUMMYFUNCTION("""COMPUTED_VALUE"""),10.0)</f>
        <v>10</v>
      </c>
      <c r="Q221" s="317"/>
    </row>
    <row r="222" ht="12.75" customHeight="1">
      <c r="G222" s="316" t="s">
        <v>959</v>
      </c>
      <c r="H222" s="246">
        <v>10.0</v>
      </c>
      <c r="I222" s="315">
        <v>4.884720593982024E-4</v>
      </c>
      <c r="K222" s="246"/>
      <c r="L222" s="316"/>
      <c r="M222" s="317"/>
      <c r="O222" s="329" t="str">
        <f>IFERROR(__xludf.DUMMYFUNCTION("""COMPUTED_VALUE"""),"Kraken Lair - Lantern 3★ #CE6")</f>
        <v>Kraken Lair - Lantern 3★ #CE6</v>
      </c>
      <c r="P222" s="246">
        <f>IFERROR(__xludf.DUMMYFUNCTION("""COMPUTED_VALUE"""),10.0)</f>
        <v>10</v>
      </c>
      <c r="Q222" s="317"/>
    </row>
    <row r="223" ht="12.75" customHeight="1">
      <c r="G223" s="316" t="s">
        <v>960</v>
      </c>
      <c r="H223" s="246">
        <v>10.0</v>
      </c>
      <c r="I223" s="315">
        <v>4.884720593982024E-4</v>
      </c>
      <c r="K223" s="246"/>
      <c r="L223" s="316"/>
      <c r="M223" s="317"/>
      <c r="O223" s="329" t="str">
        <f>IFERROR(__xludf.DUMMYFUNCTION("""COMPUTED_VALUE"""),"Kraken Lair - Lantern 3★ #79B")</f>
        <v>Kraken Lair - Lantern 3★ #79B</v>
      </c>
      <c r="P223" s="246">
        <f>IFERROR(__xludf.DUMMYFUNCTION("""COMPUTED_VALUE"""),10.0)</f>
        <v>10</v>
      </c>
      <c r="Q223" s="317"/>
    </row>
    <row r="224" ht="12.75" customHeight="1">
      <c r="G224" s="316" t="s">
        <v>961</v>
      </c>
      <c r="H224" s="246">
        <v>10.0</v>
      </c>
      <c r="I224" s="315">
        <v>4.884720593982024E-4</v>
      </c>
      <c r="K224" s="246"/>
      <c r="L224" s="316"/>
      <c r="M224" s="317"/>
      <c r="O224" s="329" t="str">
        <f>IFERROR(__xludf.DUMMYFUNCTION("""COMPUTED_VALUE"""),"Kraken Lair - Lantern 3★ #250")</f>
        <v>Kraken Lair - Lantern 3★ #250</v>
      </c>
      <c r="P224" s="246">
        <f>IFERROR(__xludf.DUMMYFUNCTION("""COMPUTED_VALUE"""),10.0)</f>
        <v>10</v>
      </c>
      <c r="Q224" s="317"/>
    </row>
    <row r="225" ht="12.75" customHeight="1">
      <c r="G225" s="316" t="s">
        <v>962</v>
      </c>
      <c r="H225" s="246">
        <v>10.0</v>
      </c>
      <c r="I225" s="315">
        <v>4.884720593982024E-4</v>
      </c>
      <c r="K225" s="246"/>
      <c r="L225" s="316"/>
      <c r="M225" s="317"/>
      <c r="O225" s="329" t="str">
        <f>IFERROR(__xludf.DUMMYFUNCTION("""COMPUTED_VALUE"""),"Kraken Lair - Lantern 3★ #D05")</f>
        <v>Kraken Lair - Lantern 3★ #D05</v>
      </c>
      <c r="P225" s="246">
        <f>IFERROR(__xludf.DUMMYFUNCTION("""COMPUTED_VALUE"""),10.0)</f>
        <v>10</v>
      </c>
      <c r="Q225" s="317"/>
    </row>
    <row r="226" ht="12.75" customHeight="1">
      <c r="G226" s="316" t="s">
        <v>963</v>
      </c>
      <c r="H226" s="246">
        <v>10.0</v>
      </c>
      <c r="I226" s="315">
        <v>4.884720593982024E-4</v>
      </c>
      <c r="K226" s="246"/>
      <c r="L226" s="316"/>
      <c r="M226" s="317"/>
      <c r="O226" s="329" t="str">
        <f>IFERROR(__xludf.DUMMYFUNCTION("""COMPUTED_VALUE"""),"Kraken Lair - Lantern 3★ #7BA")</f>
        <v>Kraken Lair - Lantern 3★ #7BA</v>
      </c>
      <c r="P226" s="246">
        <f>IFERROR(__xludf.DUMMYFUNCTION("""COMPUTED_VALUE"""),10.0)</f>
        <v>10</v>
      </c>
      <c r="Q226" s="317"/>
    </row>
    <row r="227" ht="12.75" customHeight="1">
      <c r="G227" s="316" t="s">
        <v>964</v>
      </c>
      <c r="H227" s="246">
        <v>10.0</v>
      </c>
      <c r="I227" s="315">
        <v>4.884720593982024E-4</v>
      </c>
      <c r="K227" s="246"/>
      <c r="L227" s="316"/>
      <c r="M227" s="317"/>
      <c r="O227" s="329" t="str">
        <f>IFERROR(__xludf.DUMMYFUNCTION("""COMPUTED_VALUE"""),"Kraken Lair - Lantern 3★ #26F")</f>
        <v>Kraken Lair - Lantern 3★ #26F</v>
      </c>
      <c r="P227" s="246">
        <f>IFERROR(__xludf.DUMMYFUNCTION("""COMPUTED_VALUE"""),10.0)</f>
        <v>10</v>
      </c>
      <c r="Q227" s="317"/>
    </row>
    <row r="228" ht="12.75" customHeight="1">
      <c r="G228" s="316" t="s">
        <v>965</v>
      </c>
      <c r="H228" s="246">
        <v>10.0</v>
      </c>
      <c r="I228" s="315">
        <v>4.884720593982024E-4</v>
      </c>
      <c r="K228" s="246"/>
      <c r="L228" s="316"/>
      <c r="M228" s="317"/>
      <c r="O228" s="329" t="str">
        <f>IFERROR(__xludf.DUMMYFUNCTION("""COMPUTED_VALUE"""),"Kraken Lair - Lantern 3★ #D24")</f>
        <v>Kraken Lair - Lantern 3★ #D24</v>
      </c>
      <c r="P228" s="246">
        <f>IFERROR(__xludf.DUMMYFUNCTION("""COMPUTED_VALUE"""),10.0)</f>
        <v>10</v>
      </c>
      <c r="Q228" s="317"/>
    </row>
    <row r="229" ht="12.75" customHeight="1">
      <c r="G229" s="316" t="s">
        <v>966</v>
      </c>
      <c r="H229" s="246">
        <v>10.0</v>
      </c>
      <c r="I229" s="315">
        <v>4.884720593982024E-4</v>
      </c>
      <c r="K229" s="246"/>
      <c r="L229" s="316"/>
      <c r="M229" s="317"/>
      <c r="O229" s="329" t="str">
        <f>IFERROR(__xludf.DUMMYFUNCTION("""COMPUTED_VALUE"""),"Kraken Lair - Lantern 3★ #7D9")</f>
        <v>Kraken Lair - Lantern 3★ #7D9</v>
      </c>
      <c r="P229" s="246">
        <f>IFERROR(__xludf.DUMMYFUNCTION("""COMPUTED_VALUE"""),10.0)</f>
        <v>10</v>
      </c>
      <c r="Q229" s="317"/>
    </row>
    <row r="230" ht="12.75" customHeight="1">
      <c r="G230" s="316" t="s">
        <v>967</v>
      </c>
      <c r="H230" s="246">
        <v>10.0</v>
      </c>
      <c r="I230" s="315">
        <v>4.884720593982024E-4</v>
      </c>
      <c r="K230" s="246"/>
      <c r="L230" s="316"/>
      <c r="M230" s="317"/>
      <c r="O230" s="329" t="str">
        <f>IFERROR(__xludf.DUMMYFUNCTION("""COMPUTED_VALUE"""),"Kraken Lair - Lantern 3★ #28E")</f>
        <v>Kraken Lair - Lantern 3★ #28E</v>
      </c>
      <c r="P230" s="246">
        <f>IFERROR(__xludf.DUMMYFUNCTION("""COMPUTED_VALUE"""),10.0)</f>
        <v>10</v>
      </c>
      <c r="Q230" s="317"/>
    </row>
    <row r="231" ht="12.75" customHeight="1">
      <c r="G231" s="316" t="s">
        <v>968</v>
      </c>
      <c r="H231" s="246">
        <v>10.0</v>
      </c>
      <c r="I231" s="315">
        <v>4.884720593982024E-4</v>
      </c>
      <c r="K231" s="246"/>
      <c r="L231" s="316"/>
      <c r="M231" s="317"/>
      <c r="O231" s="329" t="str">
        <f>IFERROR(__xludf.DUMMYFUNCTION("""COMPUTED_VALUE"""),"Kraken Lair - Lantern 3★ #D43")</f>
        <v>Kraken Lair - Lantern 3★ #D43</v>
      </c>
      <c r="P231" s="246">
        <f>IFERROR(__xludf.DUMMYFUNCTION("""COMPUTED_VALUE"""),10.0)</f>
        <v>10</v>
      </c>
      <c r="Q231" s="317"/>
    </row>
    <row r="232" ht="12.75" customHeight="1">
      <c r="G232" s="316" t="s">
        <v>969</v>
      </c>
      <c r="H232" s="246">
        <v>10.0</v>
      </c>
      <c r="I232" s="315">
        <v>4.884720593982024E-4</v>
      </c>
      <c r="K232" s="246"/>
      <c r="L232" s="316"/>
      <c r="M232" s="317"/>
      <c r="O232" s="329" t="str">
        <f>IFERROR(__xludf.DUMMYFUNCTION("""COMPUTED_VALUE"""),"Kraken Lair - Hook 3★ #7F8")</f>
        <v>Kraken Lair - Hook 3★ #7F8</v>
      </c>
      <c r="P232" s="246">
        <f>IFERROR(__xludf.DUMMYFUNCTION("""COMPUTED_VALUE"""),10.0)</f>
        <v>10</v>
      </c>
      <c r="Q232" s="317"/>
    </row>
    <row r="233" ht="12.75" customHeight="1">
      <c r="G233" s="316" t="s">
        <v>970</v>
      </c>
      <c r="H233" s="246">
        <v>10.0</v>
      </c>
      <c r="I233" s="315">
        <v>4.884720593982024E-4</v>
      </c>
      <c r="K233" s="246"/>
      <c r="L233" s="316"/>
      <c r="M233" s="317"/>
      <c r="O233" s="329" t="str">
        <f>IFERROR(__xludf.DUMMYFUNCTION("""COMPUTED_VALUE"""),"Kraken Lair - Hook 3★ #2AD")</f>
        <v>Kraken Lair - Hook 3★ #2AD</v>
      </c>
      <c r="P233" s="246">
        <f>IFERROR(__xludf.DUMMYFUNCTION("""COMPUTED_VALUE"""),10.0)</f>
        <v>10</v>
      </c>
      <c r="Q233" s="317"/>
    </row>
    <row r="234" ht="12.75" customHeight="1">
      <c r="G234" s="316" t="s">
        <v>971</v>
      </c>
      <c r="H234" s="246">
        <v>10.0</v>
      </c>
      <c r="I234" s="315">
        <v>4.884720593982024E-4</v>
      </c>
      <c r="K234" s="246"/>
      <c r="L234" s="316"/>
      <c r="M234" s="317"/>
      <c r="O234" s="329" t="str">
        <f>IFERROR(__xludf.DUMMYFUNCTION("""COMPUTED_VALUE"""),"Kraken Lair - Hook 3★ #D62")</f>
        <v>Kraken Lair - Hook 3★ #D62</v>
      </c>
      <c r="P234" s="246">
        <f>IFERROR(__xludf.DUMMYFUNCTION("""COMPUTED_VALUE"""),10.0)</f>
        <v>10</v>
      </c>
      <c r="Q234" s="317"/>
    </row>
    <row r="235" ht="12.75" customHeight="1">
      <c r="G235" s="316" t="s">
        <v>972</v>
      </c>
      <c r="H235" s="246">
        <v>10.0</v>
      </c>
      <c r="I235" s="315">
        <v>4.884720593982024E-4</v>
      </c>
      <c r="K235" s="246"/>
      <c r="L235" s="316"/>
      <c r="M235" s="317"/>
      <c r="O235" s="329" t="str">
        <f>IFERROR(__xludf.DUMMYFUNCTION("""COMPUTED_VALUE"""),"Kraken Lair - Hook 3★ #817")</f>
        <v>Kraken Lair - Hook 3★ #817</v>
      </c>
      <c r="P235" s="246">
        <f>IFERROR(__xludf.DUMMYFUNCTION("""COMPUTED_VALUE"""),10.0)</f>
        <v>10</v>
      </c>
      <c r="Q235" s="317"/>
    </row>
    <row r="236" ht="12.75" customHeight="1">
      <c r="G236" s="316" t="s">
        <v>973</v>
      </c>
      <c r="H236" s="246">
        <v>10.0</v>
      </c>
      <c r="I236" s="315">
        <v>4.884720593982024E-4</v>
      </c>
      <c r="K236" s="246"/>
      <c r="L236" s="316"/>
      <c r="M236" s="317"/>
      <c r="O236" s="329" t="str">
        <f>IFERROR(__xludf.DUMMYFUNCTION("""COMPUTED_VALUE"""),"Kraken Lair - Hook 3★ #2CC")</f>
        <v>Kraken Lair - Hook 3★ #2CC</v>
      </c>
      <c r="P236" s="246">
        <f>IFERROR(__xludf.DUMMYFUNCTION("""COMPUTED_VALUE"""),10.0)</f>
        <v>10</v>
      </c>
      <c r="Q236" s="317"/>
    </row>
    <row r="237" ht="12.75" customHeight="1">
      <c r="G237" s="316" t="s">
        <v>974</v>
      </c>
      <c r="H237" s="246">
        <v>10.0</v>
      </c>
      <c r="I237" s="315">
        <v>4.884720593982024E-4</v>
      </c>
      <c r="K237" s="246"/>
      <c r="L237" s="316"/>
      <c r="M237" s="317"/>
      <c r="O237" s="329" t="str">
        <f>IFERROR(__xludf.DUMMYFUNCTION("""COMPUTED_VALUE"""),"Kraken Lair - Hook 3★ #D81")</f>
        <v>Kraken Lair - Hook 3★ #D81</v>
      </c>
      <c r="P237" s="246">
        <f>IFERROR(__xludf.DUMMYFUNCTION("""COMPUTED_VALUE"""),10.0)</f>
        <v>10</v>
      </c>
      <c r="Q237" s="317"/>
    </row>
    <row r="238" ht="12.75" customHeight="1">
      <c r="G238" s="316" t="s">
        <v>975</v>
      </c>
      <c r="H238" s="246">
        <v>10.0</v>
      </c>
      <c r="I238" s="315">
        <v>4.884720593982024E-4</v>
      </c>
      <c r="K238" s="246"/>
      <c r="L238" s="316"/>
      <c r="M238" s="317"/>
      <c r="O238" s="329" t="str">
        <f>IFERROR(__xludf.DUMMYFUNCTION("""COMPUTED_VALUE"""),"Kraken Lair - Hook 3★ #836")</f>
        <v>Kraken Lair - Hook 3★ #836</v>
      </c>
      <c r="P238" s="246">
        <f>IFERROR(__xludf.DUMMYFUNCTION("""COMPUTED_VALUE"""),10.0)</f>
        <v>10</v>
      </c>
      <c r="Q238" s="317"/>
    </row>
    <row r="239" ht="12.75" customHeight="1">
      <c r="G239" s="316" t="s">
        <v>976</v>
      </c>
      <c r="H239" s="246">
        <v>10.0</v>
      </c>
      <c r="I239" s="315">
        <v>4.884720593982024E-4</v>
      </c>
      <c r="K239" s="246"/>
      <c r="L239" s="316"/>
      <c r="M239" s="317"/>
      <c r="O239" s="329" t="str">
        <f>IFERROR(__xludf.DUMMYFUNCTION("""COMPUTED_VALUE"""),"Kraken Lair - Hook 3★ #2EB")</f>
        <v>Kraken Lair - Hook 3★ #2EB</v>
      </c>
      <c r="P239" s="246">
        <f>IFERROR(__xludf.DUMMYFUNCTION("""COMPUTED_VALUE"""),10.0)</f>
        <v>10</v>
      </c>
      <c r="Q239" s="317"/>
    </row>
    <row r="240" ht="12.75" customHeight="1">
      <c r="G240" s="316" t="s">
        <v>977</v>
      </c>
      <c r="H240" s="246">
        <v>10.0</v>
      </c>
      <c r="I240" s="315">
        <v>4.884720593982024E-4</v>
      </c>
      <c r="K240" s="246"/>
      <c r="L240" s="316"/>
      <c r="M240" s="317"/>
      <c r="O240" s="329" t="str">
        <f>IFERROR(__xludf.DUMMYFUNCTION("""COMPUTED_VALUE"""),"Kraken Lair - Hook 3★ #DA0")</f>
        <v>Kraken Lair - Hook 3★ #DA0</v>
      </c>
      <c r="P240" s="246">
        <f>IFERROR(__xludf.DUMMYFUNCTION("""COMPUTED_VALUE"""),10.0)</f>
        <v>10</v>
      </c>
      <c r="Q240" s="317"/>
    </row>
    <row r="241" ht="12.75" customHeight="1">
      <c r="G241" s="316" t="s">
        <v>978</v>
      </c>
      <c r="H241" s="246">
        <v>10.0</v>
      </c>
      <c r="I241" s="315">
        <v>4.884720593982024E-4</v>
      </c>
      <c r="K241" s="246"/>
      <c r="L241" s="316"/>
      <c r="M241" s="317"/>
      <c r="O241" s="329" t="str">
        <f>IFERROR(__xludf.DUMMYFUNCTION("""COMPUTED_VALUE"""),"Kraken Lair - Hook 3★ #855")</f>
        <v>Kraken Lair - Hook 3★ #855</v>
      </c>
      <c r="P241" s="246">
        <f>IFERROR(__xludf.DUMMYFUNCTION("""COMPUTED_VALUE"""),10.0)</f>
        <v>10</v>
      </c>
      <c r="Q241" s="317"/>
    </row>
    <row r="242" ht="12.75" customHeight="1">
      <c r="G242" s="316" t="s">
        <v>979</v>
      </c>
      <c r="H242" s="246">
        <v>10.0</v>
      </c>
      <c r="I242" s="315">
        <v>4.884720593982024E-4</v>
      </c>
      <c r="K242" s="246"/>
      <c r="L242" s="316"/>
      <c r="M242" s="317"/>
      <c r="O242" s="329" t="str">
        <f>IFERROR(__xludf.DUMMYFUNCTION("""COMPUTED_VALUE"""),"Kraken Lair - Hook 3★ #30A")</f>
        <v>Kraken Lair - Hook 3★ #30A</v>
      </c>
      <c r="P242" s="246">
        <f>IFERROR(__xludf.DUMMYFUNCTION("""COMPUTED_VALUE"""),10.0)</f>
        <v>10</v>
      </c>
      <c r="Q242" s="317"/>
    </row>
    <row r="243" ht="12.75" customHeight="1">
      <c r="G243" s="316" t="s">
        <v>980</v>
      </c>
      <c r="H243" s="246">
        <v>10.0</v>
      </c>
      <c r="I243" s="315">
        <v>4.884720593982024E-4</v>
      </c>
      <c r="K243" s="246"/>
      <c r="L243" s="316"/>
      <c r="M243" s="317"/>
      <c r="O243" s="329" t="str">
        <f>IFERROR(__xludf.DUMMYFUNCTION("""COMPUTED_VALUE"""),"Kraken Lair - Hook 3★ #DBF")</f>
        <v>Kraken Lair - Hook 3★ #DBF</v>
      </c>
      <c r="P243" s="246">
        <f>IFERROR(__xludf.DUMMYFUNCTION("""COMPUTED_VALUE"""),10.0)</f>
        <v>10</v>
      </c>
      <c r="Q243" s="317"/>
    </row>
    <row r="244" ht="12.75" customHeight="1">
      <c r="G244" s="316" t="s">
        <v>981</v>
      </c>
      <c r="H244" s="246">
        <v>10.0</v>
      </c>
      <c r="I244" s="315">
        <v>4.884720593982024E-4</v>
      </c>
      <c r="K244" s="246"/>
      <c r="L244" s="316"/>
      <c r="M244" s="317"/>
      <c r="O244" s="329" t="str">
        <f>IFERROR(__xludf.DUMMYFUNCTION("""COMPUTED_VALUE"""),"Kraken Lair - Hook 3★ #874")</f>
        <v>Kraken Lair - Hook 3★ #874</v>
      </c>
      <c r="P244" s="246">
        <f>IFERROR(__xludf.DUMMYFUNCTION("""COMPUTED_VALUE"""),10.0)</f>
        <v>10</v>
      </c>
      <c r="Q244" s="317"/>
    </row>
    <row r="245" ht="12.75" customHeight="1">
      <c r="G245" s="316" t="s">
        <v>982</v>
      </c>
      <c r="H245" s="246">
        <v>5.0</v>
      </c>
      <c r="I245" s="315">
        <v>2.442360296991012E-4</v>
      </c>
      <c r="K245" s="246"/>
      <c r="L245" s="316"/>
      <c r="M245" s="317"/>
      <c r="O245" s="329" t="str">
        <f>IFERROR(__xludf.DUMMYFUNCTION("""COMPUTED_VALUE"""),"Kraken Lair - Eyepatch 4★ #329")</f>
        <v>Kraken Lair - Eyepatch 4★ #329</v>
      </c>
      <c r="P245" s="246">
        <f>IFERROR(__xludf.DUMMYFUNCTION("""COMPUTED_VALUE"""),5.0)</f>
        <v>5</v>
      </c>
      <c r="Q245" s="317"/>
    </row>
    <row r="246" ht="12.75" customHeight="1">
      <c r="G246" s="316" t="s">
        <v>983</v>
      </c>
      <c r="H246" s="246">
        <v>5.0</v>
      </c>
      <c r="I246" s="315">
        <v>2.442360296991012E-4</v>
      </c>
      <c r="K246" s="246"/>
      <c r="L246" s="316"/>
      <c r="M246" s="317"/>
      <c r="O246" s="329" t="str">
        <f>IFERROR(__xludf.DUMMYFUNCTION("""COMPUTED_VALUE"""),"Kraken Lair - Eyepatch 4★ #DDE")</f>
        <v>Kraken Lair - Eyepatch 4★ #DDE</v>
      </c>
      <c r="P246" s="246">
        <f>IFERROR(__xludf.DUMMYFUNCTION("""COMPUTED_VALUE"""),5.0)</f>
        <v>5</v>
      </c>
      <c r="Q246" s="317"/>
    </row>
    <row r="247" ht="12.75" customHeight="1">
      <c r="G247" s="316" t="s">
        <v>984</v>
      </c>
      <c r="H247" s="246">
        <v>5.0</v>
      </c>
      <c r="I247" s="315">
        <v>2.442360296991012E-4</v>
      </c>
      <c r="K247" s="246"/>
      <c r="L247" s="316"/>
      <c r="M247" s="317"/>
      <c r="O247" s="329" t="str">
        <f>IFERROR(__xludf.DUMMYFUNCTION("""COMPUTED_VALUE"""),"Kraken Lair - Eyepatch 4★ #893")</f>
        <v>Kraken Lair - Eyepatch 4★ #893</v>
      </c>
      <c r="P247" s="246">
        <f>IFERROR(__xludf.DUMMYFUNCTION("""COMPUTED_VALUE"""),5.0)</f>
        <v>5</v>
      </c>
      <c r="Q247" s="317"/>
    </row>
    <row r="248" ht="12.75" customHeight="1">
      <c r="G248" s="316" t="s">
        <v>985</v>
      </c>
      <c r="H248" s="246">
        <v>5.0</v>
      </c>
      <c r="I248" s="315">
        <v>2.442360296991012E-4</v>
      </c>
      <c r="K248" s="246"/>
      <c r="L248" s="316"/>
      <c r="M248" s="317"/>
      <c r="O248" s="329" t="str">
        <f>IFERROR(__xludf.DUMMYFUNCTION("""COMPUTED_VALUE"""),"Kraken Lair - Eyepatch 4★ #348")</f>
        <v>Kraken Lair - Eyepatch 4★ #348</v>
      </c>
      <c r="P248" s="246">
        <f>IFERROR(__xludf.DUMMYFUNCTION("""COMPUTED_VALUE"""),5.0)</f>
        <v>5</v>
      </c>
      <c r="Q248" s="317"/>
    </row>
    <row r="249" ht="12.75" customHeight="1">
      <c r="G249" s="316" t="s">
        <v>986</v>
      </c>
      <c r="H249" s="246">
        <v>5.0</v>
      </c>
      <c r="I249" s="315">
        <v>2.442360296991012E-4</v>
      </c>
      <c r="K249" s="246"/>
      <c r="L249" s="316"/>
      <c r="M249" s="317"/>
      <c r="O249" s="329" t="str">
        <f>IFERROR(__xludf.DUMMYFUNCTION("""COMPUTED_VALUE"""),"Kraken Lair - Eyepatch 4★ #DFD")</f>
        <v>Kraken Lair - Eyepatch 4★ #DFD</v>
      </c>
      <c r="P249" s="246">
        <f>IFERROR(__xludf.DUMMYFUNCTION("""COMPUTED_VALUE"""),5.0)</f>
        <v>5</v>
      </c>
      <c r="Q249" s="317"/>
    </row>
    <row r="250" ht="12.75" customHeight="1">
      <c r="G250" s="316" t="s">
        <v>987</v>
      </c>
      <c r="H250" s="246">
        <v>5.0</v>
      </c>
      <c r="I250" s="315">
        <v>2.442360296991012E-4</v>
      </c>
      <c r="K250" s="246"/>
      <c r="L250" s="316"/>
      <c r="M250" s="317"/>
      <c r="O250" s="329" t="str">
        <f>IFERROR(__xludf.DUMMYFUNCTION("""COMPUTED_VALUE"""),"Kraken Lair - Eyepatch 4★ #8B2")</f>
        <v>Kraken Lair - Eyepatch 4★ #8B2</v>
      </c>
      <c r="P250" s="246">
        <f>IFERROR(__xludf.DUMMYFUNCTION("""COMPUTED_VALUE"""),5.0)</f>
        <v>5</v>
      </c>
      <c r="Q250" s="317"/>
    </row>
    <row r="251" ht="12.75" customHeight="1">
      <c r="G251" s="316" t="s">
        <v>988</v>
      </c>
      <c r="H251" s="246">
        <v>5.0</v>
      </c>
      <c r="I251" s="315">
        <v>2.442360296991012E-4</v>
      </c>
      <c r="K251" s="246"/>
      <c r="L251" s="316"/>
      <c r="M251" s="317"/>
      <c r="O251" s="329" t="str">
        <f>IFERROR(__xludf.DUMMYFUNCTION("""COMPUTED_VALUE"""),"Kraken Lair - Eyepatch 4★ #367")</f>
        <v>Kraken Lair - Eyepatch 4★ #367</v>
      </c>
      <c r="P251" s="246">
        <f>IFERROR(__xludf.DUMMYFUNCTION("""COMPUTED_VALUE"""),5.0)</f>
        <v>5</v>
      </c>
      <c r="Q251" s="317"/>
    </row>
    <row r="252" ht="12.75" customHeight="1">
      <c r="G252" s="316" t="s">
        <v>989</v>
      </c>
      <c r="H252" s="246">
        <v>5.0</v>
      </c>
      <c r="I252" s="315">
        <v>2.442360296991012E-4</v>
      </c>
      <c r="K252" s="246"/>
      <c r="L252" s="316"/>
      <c r="M252" s="317"/>
      <c r="O252" s="329" t="str">
        <f>IFERROR(__xludf.DUMMYFUNCTION("""COMPUTED_VALUE"""),"Kraken Lair - Eyepatch 4★ #E1C")</f>
        <v>Kraken Lair - Eyepatch 4★ #E1C</v>
      </c>
      <c r="P252" s="246">
        <f>IFERROR(__xludf.DUMMYFUNCTION("""COMPUTED_VALUE"""),5.0)</f>
        <v>5</v>
      </c>
      <c r="Q252" s="317"/>
    </row>
    <row r="253" ht="12.75" customHeight="1">
      <c r="G253" s="316" t="s">
        <v>990</v>
      </c>
      <c r="H253" s="246">
        <v>5.0</v>
      </c>
      <c r="I253" s="315">
        <v>2.442360296991012E-4</v>
      </c>
      <c r="K253" s="246"/>
      <c r="L253" s="316"/>
      <c r="M253" s="317"/>
      <c r="O253" s="329" t="str">
        <f>IFERROR(__xludf.DUMMYFUNCTION("""COMPUTED_VALUE"""),"Kraken Lair - Eyepatch 4★ #8D1")</f>
        <v>Kraken Lair - Eyepatch 4★ #8D1</v>
      </c>
      <c r="P253" s="246">
        <f>IFERROR(__xludf.DUMMYFUNCTION("""COMPUTED_VALUE"""),5.0)</f>
        <v>5</v>
      </c>
      <c r="Q253" s="317"/>
    </row>
    <row r="254" ht="12.75" customHeight="1">
      <c r="G254" s="316" t="s">
        <v>991</v>
      </c>
      <c r="H254" s="246">
        <v>5.0</v>
      </c>
      <c r="I254" s="315">
        <v>2.442360296991012E-4</v>
      </c>
      <c r="K254" s="246"/>
      <c r="L254" s="316"/>
      <c r="M254" s="317"/>
      <c r="O254" s="329" t="str">
        <f>IFERROR(__xludf.DUMMYFUNCTION("""COMPUTED_VALUE"""),"Kraken Lair - Eyepatch 4★ #386")</f>
        <v>Kraken Lair - Eyepatch 4★ #386</v>
      </c>
      <c r="P254" s="246">
        <f>IFERROR(__xludf.DUMMYFUNCTION("""COMPUTED_VALUE"""),5.0)</f>
        <v>5</v>
      </c>
      <c r="Q254" s="317"/>
    </row>
    <row r="255" ht="12.75" customHeight="1">
      <c r="G255" s="316" t="s">
        <v>992</v>
      </c>
      <c r="H255" s="246">
        <v>5.0</v>
      </c>
      <c r="I255" s="315">
        <v>2.442360296991012E-4</v>
      </c>
      <c r="K255" s="246"/>
      <c r="L255" s="316"/>
      <c r="M255" s="317"/>
      <c r="O255" s="329" t="str">
        <f>IFERROR(__xludf.DUMMYFUNCTION("""COMPUTED_VALUE"""),"Kraken Lair - Eyepatch 4★ #E3B")</f>
        <v>Kraken Lair - Eyepatch 4★ #E3B</v>
      </c>
      <c r="P255" s="246">
        <f>IFERROR(__xludf.DUMMYFUNCTION("""COMPUTED_VALUE"""),5.0)</f>
        <v>5</v>
      </c>
      <c r="Q255" s="317"/>
    </row>
    <row r="256" ht="12.75" customHeight="1">
      <c r="G256" s="316" t="s">
        <v>993</v>
      </c>
      <c r="H256" s="246">
        <v>5.0</v>
      </c>
      <c r="I256" s="315">
        <v>2.442360296991012E-4</v>
      </c>
      <c r="K256" s="246"/>
      <c r="L256" s="316"/>
      <c r="M256" s="317"/>
      <c r="O256" s="329" t="str">
        <f>IFERROR(__xludf.DUMMYFUNCTION("""COMPUTED_VALUE"""),"Kraken Lair - Eyepatch 4★ #8F0")</f>
        <v>Kraken Lair - Eyepatch 4★ #8F0</v>
      </c>
      <c r="P256" s="246">
        <f>IFERROR(__xludf.DUMMYFUNCTION("""COMPUTED_VALUE"""),5.0)</f>
        <v>5</v>
      </c>
      <c r="Q256" s="317"/>
    </row>
    <row r="257" ht="12.75" customHeight="1">
      <c r="G257" s="316" t="s">
        <v>994</v>
      </c>
      <c r="H257" s="246">
        <v>50.0</v>
      </c>
      <c r="I257" s="315">
        <v>0.0024423602969910123</v>
      </c>
      <c r="K257" s="246"/>
      <c r="L257" s="316"/>
      <c r="M257" s="317"/>
      <c r="O257" s="329" t="str">
        <f>IFERROR(__xludf.DUMMYFUNCTION("""COMPUTED_VALUE"""),"Gold Cove - Doubloon 1★ #3A5")</f>
        <v>Gold Cove - Doubloon 1★ #3A5</v>
      </c>
      <c r="P257" s="246">
        <f>IFERROR(__xludf.DUMMYFUNCTION("""COMPUTED_VALUE"""),50.0)</f>
        <v>50</v>
      </c>
      <c r="Q257" s="317"/>
    </row>
    <row r="258" ht="12.75" customHeight="1">
      <c r="G258" s="316" t="s">
        <v>995</v>
      </c>
      <c r="H258" s="246">
        <v>50.0</v>
      </c>
      <c r="I258" s="315">
        <v>0.0024423602969910123</v>
      </c>
      <c r="K258" s="246"/>
      <c r="L258" s="316"/>
      <c r="M258" s="317"/>
      <c r="O258" s="329" t="str">
        <f>IFERROR(__xludf.DUMMYFUNCTION("""COMPUTED_VALUE"""),"Gold Cove - Doubloon 1★ #E5A")</f>
        <v>Gold Cove - Doubloon 1★ #E5A</v>
      </c>
      <c r="P258" s="246">
        <f>IFERROR(__xludf.DUMMYFUNCTION("""COMPUTED_VALUE"""),50.0)</f>
        <v>50</v>
      </c>
      <c r="Q258" s="317"/>
    </row>
    <row r="259" ht="12.75" customHeight="1">
      <c r="G259" s="316" t="s">
        <v>996</v>
      </c>
      <c r="H259" s="246">
        <v>50.0</v>
      </c>
      <c r="I259" s="315">
        <v>0.0024423602969910123</v>
      </c>
      <c r="K259" s="246"/>
      <c r="L259" s="316"/>
      <c r="M259" s="317"/>
      <c r="O259" s="329" t="str">
        <f>IFERROR(__xludf.DUMMYFUNCTION("""COMPUTED_VALUE"""),"Gold Cove - Doubloon 1★ #90F")</f>
        <v>Gold Cove - Doubloon 1★ #90F</v>
      </c>
      <c r="P259" s="246">
        <f>IFERROR(__xludf.DUMMYFUNCTION("""COMPUTED_VALUE"""),50.0)</f>
        <v>50</v>
      </c>
      <c r="Q259" s="317"/>
    </row>
    <row r="260" ht="12.75" customHeight="1">
      <c r="G260" s="316" t="s">
        <v>997</v>
      </c>
      <c r="H260" s="246">
        <v>50.0</v>
      </c>
      <c r="I260" s="315">
        <v>0.0024423602969910123</v>
      </c>
      <c r="K260" s="246"/>
      <c r="L260" s="316"/>
      <c r="M260" s="317"/>
      <c r="O260" s="329" t="str">
        <f>IFERROR(__xludf.DUMMYFUNCTION("""COMPUTED_VALUE"""),"Gold Cove - Doubloon 1★ #3C4")</f>
        <v>Gold Cove - Doubloon 1★ #3C4</v>
      </c>
      <c r="P260" s="246">
        <f>IFERROR(__xludf.DUMMYFUNCTION("""COMPUTED_VALUE"""),50.0)</f>
        <v>50</v>
      </c>
      <c r="Q260" s="317"/>
    </row>
    <row r="261" ht="12.75" customHeight="1">
      <c r="G261" s="316" t="s">
        <v>998</v>
      </c>
      <c r="H261" s="246">
        <v>50.0</v>
      </c>
      <c r="I261" s="315">
        <v>0.0024423602969910123</v>
      </c>
      <c r="K261" s="246"/>
      <c r="L261" s="316"/>
      <c r="M261" s="317"/>
      <c r="O261" s="329" t="str">
        <f>IFERROR(__xludf.DUMMYFUNCTION("""COMPUTED_VALUE"""),"Gold Cove - Doubloon 1★ #E79")</f>
        <v>Gold Cove - Doubloon 1★ #E79</v>
      </c>
      <c r="P261" s="246">
        <f>IFERROR(__xludf.DUMMYFUNCTION("""COMPUTED_VALUE"""),50.0)</f>
        <v>50</v>
      </c>
      <c r="Q261" s="317"/>
    </row>
    <row r="262" ht="12.75" customHeight="1">
      <c r="G262" s="316" t="s">
        <v>999</v>
      </c>
      <c r="H262" s="246">
        <v>50.0</v>
      </c>
      <c r="I262" s="315">
        <v>0.0024423602969910123</v>
      </c>
      <c r="K262" s="246"/>
      <c r="L262" s="316"/>
      <c r="M262" s="317"/>
      <c r="O262" s="329" t="str">
        <f>IFERROR(__xludf.DUMMYFUNCTION("""COMPUTED_VALUE"""),"Gold Cove - Doubloon 1★ #92E")</f>
        <v>Gold Cove - Doubloon 1★ #92E</v>
      </c>
      <c r="P262" s="246">
        <f>IFERROR(__xludf.DUMMYFUNCTION("""COMPUTED_VALUE"""),50.0)</f>
        <v>50</v>
      </c>
      <c r="Q262" s="317"/>
    </row>
    <row r="263" ht="12.75" customHeight="1">
      <c r="G263" s="316" t="s">
        <v>1000</v>
      </c>
      <c r="H263" s="246">
        <v>50.0</v>
      </c>
      <c r="I263" s="315">
        <v>0.0024423602969910123</v>
      </c>
      <c r="K263" s="246"/>
      <c r="L263" s="316"/>
      <c r="M263" s="317"/>
      <c r="O263" s="329" t="str">
        <f>IFERROR(__xludf.DUMMYFUNCTION("""COMPUTED_VALUE"""),"Gold Cove - Doubloon 1★ #3E3")</f>
        <v>Gold Cove - Doubloon 1★ #3E3</v>
      </c>
      <c r="P263" s="246">
        <f>IFERROR(__xludf.DUMMYFUNCTION("""COMPUTED_VALUE"""),50.0)</f>
        <v>50</v>
      </c>
      <c r="Q263" s="317"/>
    </row>
    <row r="264" ht="12.75" customHeight="1">
      <c r="G264" s="316" t="s">
        <v>1001</v>
      </c>
      <c r="H264" s="246">
        <v>50.0</v>
      </c>
      <c r="I264" s="315">
        <v>0.0024423602969910123</v>
      </c>
      <c r="K264" s="246"/>
      <c r="L264" s="316"/>
      <c r="M264" s="317"/>
      <c r="O264" s="329" t="str">
        <f>IFERROR(__xludf.DUMMYFUNCTION("""COMPUTED_VALUE"""),"Gold Cove - Doubloon 1★ #E98")</f>
        <v>Gold Cove - Doubloon 1★ #E98</v>
      </c>
      <c r="P264" s="246">
        <f>IFERROR(__xludf.DUMMYFUNCTION("""COMPUTED_VALUE"""),50.0)</f>
        <v>50</v>
      </c>
      <c r="Q264" s="317"/>
    </row>
    <row r="265" ht="12.75" customHeight="1">
      <c r="G265" s="316" t="s">
        <v>1002</v>
      </c>
      <c r="H265" s="246">
        <v>50.0</v>
      </c>
      <c r="I265" s="315">
        <v>0.0024423602969910123</v>
      </c>
      <c r="K265" s="246"/>
      <c r="L265" s="316"/>
      <c r="M265" s="317"/>
      <c r="O265" s="329" t="str">
        <f>IFERROR(__xludf.DUMMYFUNCTION("""COMPUTED_VALUE"""),"Gold Cove - Doubloon 1★ #94D")</f>
        <v>Gold Cove - Doubloon 1★ #94D</v>
      </c>
      <c r="P265" s="246">
        <f>IFERROR(__xludf.DUMMYFUNCTION("""COMPUTED_VALUE"""),50.0)</f>
        <v>50</v>
      </c>
      <c r="Q265" s="317"/>
    </row>
    <row r="266" ht="12.75" customHeight="1">
      <c r="G266" s="316" t="s">
        <v>1003</v>
      </c>
      <c r="H266" s="246">
        <v>50.0</v>
      </c>
      <c r="I266" s="315">
        <v>0.0024423602969910123</v>
      </c>
      <c r="K266" s="246"/>
      <c r="L266" s="316"/>
      <c r="M266" s="317"/>
      <c r="O266" s="329" t="str">
        <f>IFERROR(__xludf.DUMMYFUNCTION("""COMPUTED_VALUE"""),"Gold Cove - Doubloon 1★ #402")</f>
        <v>Gold Cove - Doubloon 1★ #402</v>
      </c>
      <c r="P266" s="246">
        <f>IFERROR(__xludf.DUMMYFUNCTION("""COMPUTED_VALUE"""),50.0)</f>
        <v>50</v>
      </c>
      <c r="Q266" s="317"/>
    </row>
    <row r="267" ht="12.75" customHeight="1">
      <c r="G267" s="316" t="s">
        <v>1004</v>
      </c>
      <c r="H267" s="246">
        <v>50.0</v>
      </c>
      <c r="I267" s="315">
        <v>0.0024423602969910123</v>
      </c>
      <c r="K267" s="246"/>
      <c r="L267" s="316"/>
      <c r="M267" s="317"/>
      <c r="O267" s="329" t="str">
        <f>IFERROR(__xludf.DUMMYFUNCTION("""COMPUTED_VALUE"""),"Gold Cove - Doubloon 1★ #EB7")</f>
        <v>Gold Cove - Doubloon 1★ #EB7</v>
      </c>
      <c r="P267" s="246">
        <f>IFERROR(__xludf.DUMMYFUNCTION("""COMPUTED_VALUE"""),50.0)</f>
        <v>50</v>
      </c>
      <c r="Q267" s="317"/>
    </row>
    <row r="268" ht="12.75" customHeight="1">
      <c r="G268" s="316" t="s">
        <v>1005</v>
      </c>
      <c r="H268" s="246">
        <v>50.0</v>
      </c>
      <c r="I268" s="315">
        <v>0.0024423602969910123</v>
      </c>
      <c r="K268" s="246"/>
      <c r="L268" s="316"/>
      <c r="M268" s="317"/>
      <c r="O268" s="329" t="str">
        <f>IFERROR(__xludf.DUMMYFUNCTION("""COMPUTED_VALUE"""),"Gold Cove - Doubloon 1★ #96C")</f>
        <v>Gold Cove - Doubloon 1★ #96C</v>
      </c>
      <c r="P268" s="246">
        <f>IFERROR(__xludf.DUMMYFUNCTION("""COMPUTED_VALUE"""),50.0)</f>
        <v>50</v>
      </c>
      <c r="Q268" s="317"/>
    </row>
    <row r="269" ht="12.75" customHeight="1">
      <c r="G269" s="316" t="s">
        <v>1006</v>
      </c>
      <c r="H269" s="246">
        <v>50.0</v>
      </c>
      <c r="I269" s="315">
        <v>0.0024423602969910123</v>
      </c>
      <c r="K269" s="246"/>
      <c r="L269" s="316"/>
      <c r="M269" s="317"/>
      <c r="O269" s="329" t="str">
        <f>IFERROR(__xludf.DUMMYFUNCTION("""COMPUTED_VALUE"""),"Gold Cove - Doubloon 1★ #421")</f>
        <v>Gold Cove - Doubloon 1★ #421</v>
      </c>
      <c r="P269" s="246">
        <f>IFERROR(__xludf.DUMMYFUNCTION("""COMPUTED_VALUE"""),50.0)</f>
        <v>50</v>
      </c>
      <c r="Q269" s="317"/>
    </row>
    <row r="270" ht="12.75" customHeight="1">
      <c r="G270" s="316" t="s">
        <v>1007</v>
      </c>
      <c r="H270" s="246">
        <v>50.0</v>
      </c>
      <c r="I270" s="315">
        <v>0.0024423602969910123</v>
      </c>
      <c r="K270" s="246"/>
      <c r="L270" s="316"/>
      <c r="M270" s="317"/>
      <c r="O270" s="329" t="str">
        <f>IFERROR(__xludf.DUMMYFUNCTION("""COMPUTED_VALUE"""),"Gold Cove - Ruby 1★ #ED6")</f>
        <v>Gold Cove - Ruby 1★ #ED6</v>
      </c>
      <c r="P270" s="246">
        <f>IFERROR(__xludf.DUMMYFUNCTION("""COMPUTED_VALUE"""),50.0)</f>
        <v>50</v>
      </c>
      <c r="Q270" s="317"/>
    </row>
    <row r="271" ht="12.75" customHeight="1">
      <c r="G271" s="316" t="s">
        <v>1008</v>
      </c>
      <c r="H271" s="246">
        <v>50.0</v>
      </c>
      <c r="I271" s="315">
        <v>0.0024423602969910123</v>
      </c>
      <c r="K271" s="246"/>
      <c r="L271" s="316"/>
      <c r="M271" s="317"/>
      <c r="O271" s="329" t="str">
        <f>IFERROR(__xludf.DUMMYFUNCTION("""COMPUTED_VALUE"""),"Gold Cove - Ruby 1★ #98B")</f>
        <v>Gold Cove - Ruby 1★ #98B</v>
      </c>
      <c r="P271" s="246">
        <f>IFERROR(__xludf.DUMMYFUNCTION("""COMPUTED_VALUE"""),50.0)</f>
        <v>50</v>
      </c>
      <c r="Q271" s="317"/>
    </row>
    <row r="272" ht="12.75" customHeight="1">
      <c r="G272" s="316" t="s">
        <v>1009</v>
      </c>
      <c r="H272" s="246">
        <v>50.0</v>
      </c>
      <c r="I272" s="315">
        <v>0.0024423602969910123</v>
      </c>
      <c r="K272" s="246"/>
      <c r="L272" s="316"/>
      <c r="M272" s="317"/>
      <c r="O272" s="329" t="str">
        <f>IFERROR(__xludf.DUMMYFUNCTION("""COMPUTED_VALUE"""),"Gold Cove - Ruby 1★ #440")</f>
        <v>Gold Cove - Ruby 1★ #440</v>
      </c>
      <c r="P272" s="246">
        <f>IFERROR(__xludf.DUMMYFUNCTION("""COMPUTED_VALUE"""),50.0)</f>
        <v>50</v>
      </c>
      <c r="Q272" s="317"/>
    </row>
    <row r="273" ht="12.75" customHeight="1">
      <c r="G273" s="316" t="s">
        <v>1010</v>
      </c>
      <c r="H273" s="246">
        <v>50.0</v>
      </c>
      <c r="I273" s="315">
        <v>0.0024423602969910123</v>
      </c>
      <c r="K273" s="246"/>
      <c r="L273" s="316"/>
      <c r="M273" s="317"/>
      <c r="O273" s="329" t="str">
        <f>IFERROR(__xludf.DUMMYFUNCTION("""COMPUTED_VALUE"""),"Gold Cove - Ruby 1★ #EF5")</f>
        <v>Gold Cove - Ruby 1★ #EF5</v>
      </c>
      <c r="P273" s="246">
        <f>IFERROR(__xludf.DUMMYFUNCTION("""COMPUTED_VALUE"""),50.0)</f>
        <v>50</v>
      </c>
      <c r="Q273" s="317"/>
    </row>
    <row r="274" ht="12.75" customHeight="1">
      <c r="G274" s="316" t="s">
        <v>1011</v>
      </c>
      <c r="H274" s="246">
        <v>50.0</v>
      </c>
      <c r="I274" s="315">
        <v>0.0024423602969910123</v>
      </c>
      <c r="K274" s="246"/>
      <c r="L274" s="316"/>
      <c r="M274" s="317"/>
      <c r="O274" s="329" t="str">
        <f>IFERROR(__xludf.DUMMYFUNCTION("""COMPUTED_VALUE"""),"Gold Cove - Ruby 1★ #9AA")</f>
        <v>Gold Cove - Ruby 1★ #9AA</v>
      </c>
      <c r="P274" s="246">
        <f>IFERROR(__xludf.DUMMYFUNCTION("""COMPUTED_VALUE"""),50.0)</f>
        <v>50</v>
      </c>
      <c r="Q274" s="317"/>
    </row>
    <row r="275" ht="12.75" customHeight="1">
      <c r="G275" s="316" t="s">
        <v>1012</v>
      </c>
      <c r="H275" s="246">
        <v>50.0</v>
      </c>
      <c r="I275" s="315">
        <v>0.0024423602969910123</v>
      </c>
      <c r="K275" s="246"/>
      <c r="L275" s="316"/>
      <c r="M275" s="317"/>
      <c r="O275" s="329" t="str">
        <f>IFERROR(__xludf.DUMMYFUNCTION("""COMPUTED_VALUE"""),"Gold Cove - Ruby 1★ #45F")</f>
        <v>Gold Cove - Ruby 1★ #45F</v>
      </c>
      <c r="P275" s="246">
        <f>IFERROR(__xludf.DUMMYFUNCTION("""COMPUTED_VALUE"""),50.0)</f>
        <v>50</v>
      </c>
      <c r="Q275" s="317"/>
    </row>
    <row r="276" ht="12.75" customHeight="1">
      <c r="G276" s="316" t="s">
        <v>1013</v>
      </c>
      <c r="H276" s="246">
        <v>50.0</v>
      </c>
      <c r="I276" s="315">
        <v>0.0024423602969910123</v>
      </c>
      <c r="K276" s="246"/>
      <c r="L276" s="316"/>
      <c r="M276" s="317"/>
      <c r="O276" s="329" t="str">
        <f>IFERROR(__xludf.DUMMYFUNCTION("""COMPUTED_VALUE"""),"Gold Cove - Ruby 1★ #F14")</f>
        <v>Gold Cove - Ruby 1★ #F14</v>
      </c>
      <c r="P276" s="246">
        <f>IFERROR(__xludf.DUMMYFUNCTION("""COMPUTED_VALUE"""),50.0)</f>
        <v>50</v>
      </c>
      <c r="Q276" s="317"/>
    </row>
    <row r="277" ht="12.75" customHeight="1">
      <c r="G277" s="316" t="s">
        <v>1014</v>
      </c>
      <c r="H277" s="246">
        <v>50.0</v>
      </c>
      <c r="I277" s="315">
        <v>0.0024423602969910123</v>
      </c>
      <c r="K277" s="246"/>
      <c r="L277" s="316"/>
      <c r="M277" s="317"/>
      <c r="O277" s="329" t="str">
        <f>IFERROR(__xludf.DUMMYFUNCTION("""COMPUTED_VALUE"""),"Gold Cove - Ruby 1★ #9C9")</f>
        <v>Gold Cove - Ruby 1★ #9C9</v>
      </c>
      <c r="P277" s="246">
        <f>IFERROR(__xludf.DUMMYFUNCTION("""COMPUTED_VALUE"""),50.0)</f>
        <v>50</v>
      </c>
      <c r="Q277" s="317"/>
    </row>
    <row r="278" ht="12.75" customHeight="1">
      <c r="G278" s="316" t="s">
        <v>1015</v>
      </c>
      <c r="H278" s="246">
        <v>50.0</v>
      </c>
      <c r="I278" s="315">
        <v>0.0024423602969910123</v>
      </c>
      <c r="K278" s="246"/>
      <c r="L278" s="316"/>
      <c r="M278" s="317"/>
      <c r="O278" s="329" t="str">
        <f>IFERROR(__xludf.DUMMYFUNCTION("""COMPUTED_VALUE"""),"Gold Cove - Ruby 1★ #47E")</f>
        <v>Gold Cove - Ruby 1★ #47E</v>
      </c>
      <c r="P278" s="246">
        <f>IFERROR(__xludf.DUMMYFUNCTION("""COMPUTED_VALUE"""),50.0)</f>
        <v>50</v>
      </c>
      <c r="Q278" s="317"/>
    </row>
    <row r="279" ht="12.75" customHeight="1">
      <c r="G279" s="316" t="s">
        <v>1016</v>
      </c>
      <c r="H279" s="246">
        <v>50.0</v>
      </c>
      <c r="I279" s="315">
        <v>0.0024423602969910123</v>
      </c>
      <c r="K279" s="246"/>
      <c r="L279" s="316"/>
      <c r="M279" s="317"/>
      <c r="O279" s="329" t="str">
        <f>IFERROR(__xludf.DUMMYFUNCTION("""COMPUTED_VALUE"""),"Gold Cove - Ruby 1★ #F33")</f>
        <v>Gold Cove - Ruby 1★ #F33</v>
      </c>
      <c r="P279" s="246">
        <f>IFERROR(__xludf.DUMMYFUNCTION("""COMPUTED_VALUE"""),50.0)</f>
        <v>50</v>
      </c>
      <c r="Q279" s="317"/>
    </row>
    <row r="280" ht="12.75" customHeight="1">
      <c r="G280" s="316" t="s">
        <v>1017</v>
      </c>
      <c r="H280" s="246">
        <v>50.0</v>
      </c>
      <c r="I280" s="315">
        <v>0.0024423602969910123</v>
      </c>
      <c r="K280" s="246"/>
      <c r="L280" s="316"/>
      <c r="M280" s="317"/>
      <c r="O280" s="329" t="str">
        <f>IFERROR(__xludf.DUMMYFUNCTION("""COMPUTED_VALUE"""),"Gold Cove - Ruby 1★ #9E8")</f>
        <v>Gold Cove - Ruby 1★ #9E8</v>
      </c>
      <c r="P280" s="246">
        <f>IFERROR(__xludf.DUMMYFUNCTION("""COMPUTED_VALUE"""),50.0)</f>
        <v>50</v>
      </c>
      <c r="Q280" s="317"/>
    </row>
    <row r="281" ht="12.75" customHeight="1">
      <c r="G281" s="316" t="s">
        <v>1018</v>
      </c>
      <c r="H281" s="246">
        <v>50.0</v>
      </c>
      <c r="I281" s="315">
        <v>0.0024423602969910123</v>
      </c>
      <c r="K281" s="246"/>
      <c r="L281" s="316"/>
      <c r="M281" s="317"/>
      <c r="O281" s="329" t="str">
        <f>IFERROR(__xludf.DUMMYFUNCTION("""COMPUTED_VALUE"""),"Gold Cove - Ruby 1★ #49D")</f>
        <v>Gold Cove - Ruby 1★ #49D</v>
      </c>
      <c r="P281" s="246">
        <f>IFERROR(__xludf.DUMMYFUNCTION("""COMPUTED_VALUE"""),50.0)</f>
        <v>50</v>
      </c>
      <c r="Q281" s="317"/>
    </row>
    <row r="282" ht="12.75" customHeight="1">
      <c r="G282" s="316" t="s">
        <v>1019</v>
      </c>
      <c r="H282" s="246">
        <v>50.0</v>
      </c>
      <c r="I282" s="315">
        <v>0.0024423602969910123</v>
      </c>
      <c r="K282" s="246"/>
      <c r="L282" s="316"/>
      <c r="M282" s="317"/>
      <c r="O282" s="329" t="str">
        <f>IFERROR(__xludf.DUMMYFUNCTION("""COMPUTED_VALUE"""),"Gold Cove - Ruby 1★ #F52")</f>
        <v>Gold Cove - Ruby 1★ #F52</v>
      </c>
      <c r="P282" s="246">
        <f>IFERROR(__xludf.DUMMYFUNCTION("""COMPUTED_VALUE"""),50.0)</f>
        <v>50</v>
      </c>
      <c r="Q282" s="317"/>
    </row>
    <row r="283" ht="12.75" customHeight="1">
      <c r="G283" s="316" t="s">
        <v>1020</v>
      </c>
      <c r="H283" s="246">
        <v>50.0</v>
      </c>
      <c r="I283" s="315">
        <v>0.0024423602969910123</v>
      </c>
      <c r="K283" s="246"/>
      <c r="L283" s="316"/>
      <c r="M283" s="317"/>
      <c r="O283" s="329" t="str">
        <f>IFERROR(__xludf.DUMMYFUNCTION("""COMPUTED_VALUE"""),"Gold Cove - Emerald 1★ #A07")</f>
        <v>Gold Cove - Emerald 1★ #A07</v>
      </c>
      <c r="P283" s="246">
        <f>IFERROR(__xludf.DUMMYFUNCTION("""COMPUTED_VALUE"""),50.0)</f>
        <v>50</v>
      </c>
      <c r="Q283" s="317"/>
    </row>
    <row r="284" ht="12.75" customHeight="1">
      <c r="G284" s="316" t="s">
        <v>1021</v>
      </c>
      <c r="H284" s="246">
        <v>50.0</v>
      </c>
      <c r="I284" s="315">
        <v>0.0024423602969910123</v>
      </c>
      <c r="K284" s="246"/>
      <c r="L284" s="316"/>
      <c r="M284" s="317"/>
      <c r="O284" s="329" t="str">
        <f>IFERROR(__xludf.DUMMYFUNCTION("""COMPUTED_VALUE"""),"Gold Cove - Emerald 1★ #4BC")</f>
        <v>Gold Cove - Emerald 1★ #4BC</v>
      </c>
      <c r="P284" s="246">
        <f>IFERROR(__xludf.DUMMYFUNCTION("""COMPUTED_VALUE"""),50.0)</f>
        <v>50</v>
      </c>
      <c r="Q284" s="317"/>
    </row>
    <row r="285" ht="12.75" customHeight="1">
      <c r="G285" s="316" t="s">
        <v>1022</v>
      </c>
      <c r="H285" s="246">
        <v>50.0</v>
      </c>
      <c r="I285" s="315">
        <v>0.0024423602969910123</v>
      </c>
      <c r="K285" s="246"/>
      <c r="L285" s="316"/>
      <c r="M285" s="317"/>
      <c r="O285" s="329" t="str">
        <f>IFERROR(__xludf.DUMMYFUNCTION("""COMPUTED_VALUE"""),"Gold Cove - Emerald 1★ #F71")</f>
        <v>Gold Cove - Emerald 1★ #F71</v>
      </c>
      <c r="P285" s="246">
        <f>IFERROR(__xludf.DUMMYFUNCTION("""COMPUTED_VALUE"""),50.0)</f>
        <v>50</v>
      </c>
      <c r="Q285" s="317"/>
    </row>
    <row r="286" ht="12.75" customHeight="1">
      <c r="G286" s="316" t="s">
        <v>1023</v>
      </c>
      <c r="H286" s="246">
        <v>50.0</v>
      </c>
      <c r="I286" s="315">
        <v>0.0024423602969910123</v>
      </c>
      <c r="K286" s="246"/>
      <c r="L286" s="316"/>
      <c r="M286" s="317"/>
      <c r="O286" s="329" t="str">
        <f>IFERROR(__xludf.DUMMYFUNCTION("""COMPUTED_VALUE"""),"Gold Cove - Emerald 1★ #A26")</f>
        <v>Gold Cove - Emerald 1★ #A26</v>
      </c>
      <c r="P286" s="246">
        <f>IFERROR(__xludf.DUMMYFUNCTION("""COMPUTED_VALUE"""),50.0)</f>
        <v>50</v>
      </c>
      <c r="Q286" s="317"/>
    </row>
    <row r="287" ht="12.75" customHeight="1">
      <c r="G287" s="316" t="s">
        <v>1024</v>
      </c>
      <c r="H287" s="246">
        <v>50.0</v>
      </c>
      <c r="I287" s="315">
        <v>0.0024423602969910123</v>
      </c>
      <c r="K287" s="246"/>
      <c r="L287" s="316"/>
      <c r="M287" s="317"/>
      <c r="O287" s="329" t="str">
        <f>IFERROR(__xludf.DUMMYFUNCTION("""COMPUTED_VALUE"""),"Gold Cove - Emerald 1★ #4DB")</f>
        <v>Gold Cove - Emerald 1★ #4DB</v>
      </c>
      <c r="P287" s="246">
        <f>IFERROR(__xludf.DUMMYFUNCTION("""COMPUTED_VALUE"""),50.0)</f>
        <v>50</v>
      </c>
      <c r="Q287" s="317"/>
    </row>
    <row r="288" ht="12.75" customHeight="1">
      <c r="G288" s="316" t="s">
        <v>1025</v>
      </c>
      <c r="H288" s="246">
        <v>50.0</v>
      </c>
      <c r="I288" s="315">
        <v>0.0024423602969910123</v>
      </c>
      <c r="K288" s="246"/>
      <c r="L288" s="316"/>
      <c r="M288" s="317"/>
      <c r="O288" s="329" t="str">
        <f>IFERROR(__xludf.DUMMYFUNCTION("""COMPUTED_VALUE"""),"Gold Cove - Emerald 1★ #F90")</f>
        <v>Gold Cove - Emerald 1★ #F90</v>
      </c>
      <c r="P288" s="246">
        <f>IFERROR(__xludf.DUMMYFUNCTION("""COMPUTED_VALUE"""),50.0)</f>
        <v>50</v>
      </c>
      <c r="Q288" s="317"/>
    </row>
    <row r="289" ht="12.75" customHeight="1">
      <c r="G289" s="316" t="s">
        <v>1026</v>
      </c>
      <c r="H289" s="246">
        <v>50.0</v>
      </c>
      <c r="I289" s="315">
        <v>0.0024423602969910123</v>
      </c>
      <c r="K289" s="246"/>
      <c r="L289" s="316"/>
      <c r="M289" s="317"/>
      <c r="O289" s="329" t="str">
        <f>IFERROR(__xludf.DUMMYFUNCTION("""COMPUTED_VALUE"""),"Gold Cove - Emerald 1★ #A45")</f>
        <v>Gold Cove - Emerald 1★ #A45</v>
      </c>
      <c r="P289" s="246">
        <f>IFERROR(__xludf.DUMMYFUNCTION("""COMPUTED_VALUE"""),50.0)</f>
        <v>50</v>
      </c>
      <c r="Q289" s="317"/>
    </row>
    <row r="290" ht="12.75" customHeight="1">
      <c r="G290" s="316" t="s">
        <v>1027</v>
      </c>
      <c r="H290" s="246">
        <v>50.0</v>
      </c>
      <c r="I290" s="315">
        <v>0.0024423602969910123</v>
      </c>
      <c r="K290" s="246"/>
      <c r="L290" s="316"/>
      <c r="M290" s="317"/>
      <c r="O290" s="329" t="str">
        <f>IFERROR(__xludf.DUMMYFUNCTION("""COMPUTED_VALUE"""),"Gold Cove - Emerald 1★ #4FA")</f>
        <v>Gold Cove - Emerald 1★ #4FA</v>
      </c>
      <c r="P290" s="246">
        <f>IFERROR(__xludf.DUMMYFUNCTION("""COMPUTED_VALUE"""),50.0)</f>
        <v>50</v>
      </c>
      <c r="Q290" s="317"/>
    </row>
    <row r="291" ht="12.75" customHeight="1">
      <c r="G291" s="316" t="s">
        <v>1028</v>
      </c>
      <c r="H291" s="246">
        <v>50.0</v>
      </c>
      <c r="I291" s="315">
        <v>0.0024423602969910123</v>
      </c>
      <c r="K291" s="246"/>
      <c r="L291" s="316"/>
      <c r="M291" s="317"/>
      <c r="O291" s="329" t="str">
        <f>IFERROR(__xludf.DUMMYFUNCTION("""COMPUTED_VALUE"""),"Gold Cove - Emerald 1★ #FAF")</f>
        <v>Gold Cove - Emerald 1★ #FAF</v>
      </c>
      <c r="P291" s="246">
        <f>IFERROR(__xludf.DUMMYFUNCTION("""COMPUTED_VALUE"""),50.0)</f>
        <v>50</v>
      </c>
      <c r="Q291" s="317"/>
    </row>
    <row r="292" ht="12.75" customHeight="1">
      <c r="G292" s="316" t="s">
        <v>1029</v>
      </c>
      <c r="H292" s="246">
        <v>50.0</v>
      </c>
      <c r="I292" s="315">
        <v>0.0024423602969910123</v>
      </c>
      <c r="K292" s="246"/>
      <c r="L292" s="316"/>
      <c r="M292" s="317"/>
      <c r="O292" s="329" t="str">
        <f>IFERROR(__xludf.DUMMYFUNCTION("""COMPUTED_VALUE"""),"Gold Cove - Emerald 1★ #A64")</f>
        <v>Gold Cove - Emerald 1★ #A64</v>
      </c>
      <c r="P292" s="246">
        <f>IFERROR(__xludf.DUMMYFUNCTION("""COMPUTED_VALUE"""),50.0)</f>
        <v>50</v>
      </c>
      <c r="Q292" s="317"/>
    </row>
    <row r="293" ht="12.75" customHeight="1">
      <c r="G293" s="316" t="s">
        <v>1030</v>
      </c>
      <c r="H293" s="246">
        <v>50.0</v>
      </c>
      <c r="I293" s="315">
        <v>0.0024423602969910123</v>
      </c>
      <c r="K293" s="246"/>
      <c r="L293" s="316"/>
      <c r="M293" s="317"/>
      <c r="O293" s="329" t="str">
        <f>IFERROR(__xludf.DUMMYFUNCTION("""COMPUTED_VALUE"""),"Gold Cove - Emerald 1★ #519")</f>
        <v>Gold Cove - Emerald 1★ #519</v>
      </c>
      <c r="P293" s="246">
        <f>IFERROR(__xludf.DUMMYFUNCTION("""COMPUTED_VALUE"""),50.0)</f>
        <v>50</v>
      </c>
      <c r="Q293" s="317"/>
    </row>
    <row r="294" ht="12.75" customHeight="1">
      <c r="G294" s="316" t="s">
        <v>1031</v>
      </c>
      <c r="H294" s="246">
        <v>50.0</v>
      </c>
      <c r="I294" s="315">
        <v>0.0024423602969910123</v>
      </c>
      <c r="K294" s="246"/>
      <c r="L294" s="316"/>
      <c r="M294" s="317"/>
      <c r="O294" s="329" t="str">
        <f>IFERROR(__xludf.DUMMYFUNCTION("""COMPUTED_VALUE"""),"Gold Cove - Emerald 1★ #FCE")</f>
        <v>Gold Cove - Emerald 1★ #FCE</v>
      </c>
      <c r="P294" s="246">
        <f>IFERROR(__xludf.DUMMYFUNCTION("""COMPUTED_VALUE"""),50.0)</f>
        <v>50</v>
      </c>
      <c r="Q294" s="317"/>
    </row>
    <row r="295" ht="12.75" customHeight="1">
      <c r="G295" s="316" t="s">
        <v>1032</v>
      </c>
      <c r="H295" s="246">
        <v>50.0</v>
      </c>
      <c r="I295" s="315">
        <v>0.0024423602969910123</v>
      </c>
      <c r="K295" s="246"/>
      <c r="L295" s="316"/>
      <c r="M295" s="317"/>
      <c r="O295" s="329" t="str">
        <f>IFERROR(__xludf.DUMMYFUNCTION("""COMPUTED_VALUE"""),"Gold Cove - Emerald 1★ #A83")</f>
        <v>Gold Cove - Emerald 1★ #A83</v>
      </c>
      <c r="P295" s="246">
        <f>IFERROR(__xludf.DUMMYFUNCTION("""COMPUTED_VALUE"""),50.0)</f>
        <v>50</v>
      </c>
      <c r="Q295" s="317"/>
    </row>
    <row r="296" ht="12.75" customHeight="1">
      <c r="G296" s="316" t="s">
        <v>1033</v>
      </c>
      <c r="H296" s="246">
        <v>20.0</v>
      </c>
      <c r="I296" s="315">
        <v>9.769441187964048E-4</v>
      </c>
      <c r="K296" s="246"/>
      <c r="L296" s="316"/>
      <c r="M296" s="317"/>
      <c r="O296" s="329" t="str">
        <f>IFERROR(__xludf.DUMMYFUNCTION("""COMPUTED_VALUE"""),"Gold Cove - Diamond 2★ #538")</f>
        <v>Gold Cove - Diamond 2★ #538</v>
      </c>
      <c r="P296" s="246">
        <f>IFERROR(__xludf.DUMMYFUNCTION("""COMPUTED_VALUE"""),20.0)</f>
        <v>20</v>
      </c>
      <c r="Q296" s="317"/>
    </row>
    <row r="297" ht="12.75" customHeight="1">
      <c r="G297" s="316" t="s">
        <v>1034</v>
      </c>
      <c r="H297" s="246">
        <v>20.0</v>
      </c>
      <c r="I297" s="315">
        <v>9.769441187964048E-4</v>
      </c>
      <c r="K297" s="246"/>
      <c r="L297" s="316"/>
      <c r="M297" s="317"/>
      <c r="O297" s="329" t="str">
        <f>IFERROR(__xludf.DUMMYFUNCTION("""COMPUTED_VALUE"""),"Gold Cove - Diamond 2★ #FED")</f>
        <v>Gold Cove - Diamond 2★ #FED</v>
      </c>
      <c r="P297" s="246">
        <f>IFERROR(__xludf.DUMMYFUNCTION("""COMPUTED_VALUE"""),20.0)</f>
        <v>20</v>
      </c>
      <c r="Q297" s="317"/>
    </row>
    <row r="298" ht="12.75" customHeight="1">
      <c r="G298" s="316" t="s">
        <v>1035</v>
      </c>
      <c r="H298" s="246">
        <v>20.0</v>
      </c>
      <c r="I298" s="315">
        <v>9.769441187964048E-4</v>
      </c>
      <c r="K298" s="246"/>
      <c r="L298" s="316"/>
      <c r="M298" s="317"/>
      <c r="O298" s="329" t="str">
        <f>IFERROR(__xludf.DUMMYFUNCTION("""COMPUTED_VALUE"""),"Gold Cove - Diamond 2★ #AA2")</f>
        <v>Gold Cove - Diamond 2★ #AA2</v>
      </c>
      <c r="P298" s="246">
        <f>IFERROR(__xludf.DUMMYFUNCTION("""COMPUTED_VALUE"""),20.0)</f>
        <v>20</v>
      </c>
      <c r="Q298" s="317"/>
    </row>
    <row r="299" ht="12.75" customHeight="1">
      <c r="G299" s="316" t="s">
        <v>1036</v>
      </c>
      <c r="H299" s="246">
        <v>20.0</v>
      </c>
      <c r="I299" s="315">
        <v>9.769441187964048E-4</v>
      </c>
      <c r="K299" s="246"/>
      <c r="L299" s="316"/>
      <c r="M299" s="317"/>
      <c r="O299" s="329" t="str">
        <f>IFERROR(__xludf.DUMMYFUNCTION("""COMPUTED_VALUE"""),"Gold Cove - Diamond 2★ #557")</f>
        <v>Gold Cove - Diamond 2★ #557</v>
      </c>
      <c r="P299" s="246">
        <f>IFERROR(__xludf.DUMMYFUNCTION("""COMPUTED_VALUE"""),20.0)</f>
        <v>20</v>
      </c>
      <c r="Q299" s="317"/>
    </row>
    <row r="300" ht="12.75" customHeight="1">
      <c r="G300" s="316" t="s">
        <v>1037</v>
      </c>
      <c r="H300" s="246">
        <v>20.0</v>
      </c>
      <c r="I300" s="315">
        <v>9.769441187964048E-4</v>
      </c>
      <c r="K300" s="246"/>
      <c r="L300" s="316"/>
      <c r="M300" s="317"/>
      <c r="O300" s="329" t="str">
        <f>IFERROR(__xludf.DUMMYFUNCTION("""COMPUTED_VALUE"""),"Gold Cove - Diamond 2★ #00C")</f>
        <v>Gold Cove - Diamond 2★ #00C</v>
      </c>
      <c r="P300" s="246">
        <f>IFERROR(__xludf.DUMMYFUNCTION("""COMPUTED_VALUE"""),20.0)</f>
        <v>20</v>
      </c>
      <c r="Q300" s="317"/>
    </row>
    <row r="301" ht="12.75" customHeight="1">
      <c r="G301" s="316" t="s">
        <v>1038</v>
      </c>
      <c r="H301" s="246">
        <v>20.0</v>
      </c>
      <c r="I301" s="315">
        <v>9.769441187964048E-4</v>
      </c>
      <c r="K301" s="246"/>
      <c r="L301" s="316"/>
      <c r="M301" s="317"/>
      <c r="O301" s="329" t="str">
        <f>IFERROR(__xludf.DUMMYFUNCTION("""COMPUTED_VALUE"""),"Gold Cove - Diamond 2★ #AC1")</f>
        <v>Gold Cove - Diamond 2★ #AC1</v>
      </c>
      <c r="P301" s="246">
        <f>IFERROR(__xludf.DUMMYFUNCTION("""COMPUTED_VALUE"""),20.0)</f>
        <v>20</v>
      </c>
      <c r="Q301" s="317"/>
    </row>
    <row r="302" ht="12.75" customHeight="1">
      <c r="G302" s="316" t="s">
        <v>1039</v>
      </c>
      <c r="H302" s="246">
        <v>20.0</v>
      </c>
      <c r="I302" s="315">
        <v>9.769441187964048E-4</v>
      </c>
      <c r="K302" s="246"/>
      <c r="L302" s="316"/>
      <c r="M302" s="317"/>
      <c r="O302" s="329" t="str">
        <f>IFERROR(__xludf.DUMMYFUNCTION("""COMPUTED_VALUE"""),"Gold Cove - Diamond 2★ #576")</f>
        <v>Gold Cove - Diamond 2★ #576</v>
      </c>
      <c r="P302" s="246">
        <f>IFERROR(__xludf.DUMMYFUNCTION("""COMPUTED_VALUE"""),20.0)</f>
        <v>20</v>
      </c>
      <c r="Q302" s="317"/>
    </row>
    <row r="303" ht="12.75" customHeight="1">
      <c r="G303" s="316" t="s">
        <v>1040</v>
      </c>
      <c r="H303" s="246">
        <v>20.0</v>
      </c>
      <c r="I303" s="315">
        <v>9.769441187964048E-4</v>
      </c>
      <c r="K303" s="246"/>
      <c r="L303" s="316"/>
      <c r="M303" s="317"/>
      <c r="O303" s="329" t="str">
        <f>IFERROR(__xludf.DUMMYFUNCTION("""COMPUTED_VALUE"""),"Gold Cove - Diamond 2★ #02B")</f>
        <v>Gold Cove - Diamond 2★ #02B</v>
      </c>
      <c r="P303" s="246">
        <f>IFERROR(__xludf.DUMMYFUNCTION("""COMPUTED_VALUE"""),20.0)</f>
        <v>20</v>
      </c>
      <c r="Q303" s="317"/>
    </row>
    <row r="304" ht="12.75" customHeight="1">
      <c r="G304" s="316" t="s">
        <v>1041</v>
      </c>
      <c r="H304" s="246">
        <v>20.0</v>
      </c>
      <c r="I304" s="315">
        <v>9.769441187964048E-4</v>
      </c>
      <c r="K304" s="246"/>
      <c r="L304" s="316"/>
      <c r="M304" s="317"/>
      <c r="O304" s="329" t="str">
        <f>IFERROR(__xludf.DUMMYFUNCTION("""COMPUTED_VALUE"""),"Gold Cove - Diamond 2★ #AE0")</f>
        <v>Gold Cove - Diamond 2★ #AE0</v>
      </c>
      <c r="P304" s="246">
        <f>IFERROR(__xludf.DUMMYFUNCTION("""COMPUTED_VALUE"""),20.0)</f>
        <v>20</v>
      </c>
      <c r="Q304" s="317"/>
    </row>
    <row r="305" ht="12.75" customHeight="1">
      <c r="G305" s="316" t="s">
        <v>1042</v>
      </c>
      <c r="H305" s="246">
        <v>20.0</v>
      </c>
      <c r="I305" s="315">
        <v>9.769441187964048E-4</v>
      </c>
      <c r="K305" s="246"/>
      <c r="L305" s="316"/>
      <c r="M305" s="317"/>
      <c r="O305" s="329" t="str">
        <f>IFERROR(__xludf.DUMMYFUNCTION("""COMPUTED_VALUE"""),"Gold Cove - Diamond 2★ #595")</f>
        <v>Gold Cove - Diamond 2★ #595</v>
      </c>
      <c r="P305" s="246">
        <f>IFERROR(__xludf.DUMMYFUNCTION("""COMPUTED_VALUE"""),20.0)</f>
        <v>20</v>
      </c>
      <c r="Q305" s="317"/>
    </row>
    <row r="306" ht="12.75" customHeight="1">
      <c r="G306" s="316" t="s">
        <v>1043</v>
      </c>
      <c r="H306" s="246">
        <v>20.0</v>
      </c>
      <c r="I306" s="315">
        <v>9.769441187964048E-4</v>
      </c>
      <c r="K306" s="246"/>
      <c r="L306" s="316"/>
      <c r="M306" s="317"/>
      <c r="O306" s="329" t="str">
        <f>IFERROR(__xludf.DUMMYFUNCTION("""COMPUTED_VALUE"""),"Gold Cove - Diamond 2★ #04A")</f>
        <v>Gold Cove - Diamond 2★ #04A</v>
      </c>
      <c r="P306" s="246">
        <f>IFERROR(__xludf.DUMMYFUNCTION("""COMPUTED_VALUE"""),20.0)</f>
        <v>20</v>
      </c>
      <c r="Q306" s="317"/>
    </row>
    <row r="307" ht="12.75" customHeight="1">
      <c r="G307" s="316" t="s">
        <v>1044</v>
      </c>
      <c r="H307" s="246">
        <v>20.0</v>
      </c>
      <c r="I307" s="315">
        <v>9.769441187964048E-4</v>
      </c>
      <c r="K307" s="246"/>
      <c r="L307" s="316"/>
      <c r="M307" s="317"/>
      <c r="O307" s="329" t="str">
        <f>IFERROR(__xludf.DUMMYFUNCTION("""COMPUTED_VALUE"""),"Gold Cove - Diamond 2★ #AFF")</f>
        <v>Gold Cove - Diamond 2★ #AFF</v>
      </c>
      <c r="P307" s="246">
        <f>IFERROR(__xludf.DUMMYFUNCTION("""COMPUTED_VALUE"""),20.0)</f>
        <v>20</v>
      </c>
      <c r="Q307" s="317"/>
    </row>
    <row r="308" ht="12.75" customHeight="1">
      <c r="G308" s="316" t="s">
        <v>1045</v>
      </c>
      <c r="H308" s="246">
        <v>20.0</v>
      </c>
      <c r="I308" s="315">
        <v>9.769441187964048E-4</v>
      </c>
      <c r="K308" s="246"/>
      <c r="L308" s="316"/>
      <c r="M308" s="317"/>
      <c r="O308" s="329" t="str">
        <f>IFERROR(__xludf.DUMMYFUNCTION("""COMPUTED_VALUE"""),"Gold Cove - Diamond 2★ #5B4")</f>
        <v>Gold Cove - Diamond 2★ #5B4</v>
      </c>
      <c r="P308" s="246">
        <f>IFERROR(__xludf.DUMMYFUNCTION("""COMPUTED_VALUE"""),20.0)</f>
        <v>20</v>
      </c>
      <c r="Q308" s="317"/>
    </row>
    <row r="309" ht="12.75" customHeight="1">
      <c r="G309" s="316" t="s">
        <v>1046</v>
      </c>
      <c r="H309" s="246">
        <v>20.0</v>
      </c>
      <c r="I309" s="315">
        <v>9.769441187964048E-4</v>
      </c>
      <c r="K309" s="246"/>
      <c r="L309" s="316"/>
      <c r="M309" s="317"/>
      <c r="O309" s="329" t="str">
        <f>IFERROR(__xludf.DUMMYFUNCTION("""COMPUTED_VALUE"""),"Gold Cove - Crown 2★ #069")</f>
        <v>Gold Cove - Crown 2★ #069</v>
      </c>
      <c r="P309" s="246">
        <f>IFERROR(__xludf.DUMMYFUNCTION("""COMPUTED_VALUE"""),20.0)</f>
        <v>20</v>
      </c>
      <c r="Q309" s="317"/>
    </row>
    <row r="310" ht="12.75" customHeight="1">
      <c r="G310" s="316" t="s">
        <v>1047</v>
      </c>
      <c r="H310" s="246">
        <v>20.0</v>
      </c>
      <c r="I310" s="315">
        <v>9.769441187964048E-4</v>
      </c>
      <c r="K310" s="246"/>
      <c r="L310" s="316"/>
      <c r="M310" s="317"/>
      <c r="O310" s="329" t="str">
        <f>IFERROR(__xludf.DUMMYFUNCTION("""COMPUTED_VALUE"""),"Gold Cove - Crown 2★ #B1E")</f>
        <v>Gold Cove - Crown 2★ #B1E</v>
      </c>
      <c r="P310" s="246">
        <f>IFERROR(__xludf.DUMMYFUNCTION("""COMPUTED_VALUE"""),20.0)</f>
        <v>20</v>
      </c>
      <c r="Q310" s="317"/>
    </row>
    <row r="311" ht="12.75" customHeight="1">
      <c r="G311" s="316" t="s">
        <v>1048</v>
      </c>
      <c r="H311" s="246">
        <v>20.0</v>
      </c>
      <c r="I311" s="315">
        <v>9.769441187964048E-4</v>
      </c>
      <c r="K311" s="246"/>
      <c r="L311" s="316"/>
      <c r="M311" s="317"/>
      <c r="O311" s="329" t="str">
        <f>IFERROR(__xludf.DUMMYFUNCTION("""COMPUTED_VALUE"""),"Gold Cove - Crown 2★ #5D3")</f>
        <v>Gold Cove - Crown 2★ #5D3</v>
      </c>
      <c r="P311" s="246">
        <f>IFERROR(__xludf.DUMMYFUNCTION("""COMPUTED_VALUE"""),20.0)</f>
        <v>20</v>
      </c>
      <c r="Q311" s="317"/>
    </row>
    <row r="312" ht="12.75" customHeight="1">
      <c r="G312" s="316" t="s">
        <v>1049</v>
      </c>
      <c r="H312" s="246">
        <v>20.0</v>
      </c>
      <c r="I312" s="315">
        <v>9.769441187964048E-4</v>
      </c>
      <c r="K312" s="246"/>
      <c r="L312" s="316"/>
      <c r="M312" s="317"/>
      <c r="O312" s="329" t="str">
        <f>IFERROR(__xludf.DUMMYFUNCTION("""COMPUTED_VALUE"""),"Gold Cove - Crown 2★ #088")</f>
        <v>Gold Cove - Crown 2★ #088</v>
      </c>
      <c r="P312" s="246">
        <f>IFERROR(__xludf.DUMMYFUNCTION("""COMPUTED_VALUE"""),20.0)</f>
        <v>20</v>
      </c>
      <c r="Q312" s="317"/>
    </row>
    <row r="313" ht="12.75" customHeight="1">
      <c r="G313" s="316" t="s">
        <v>1050</v>
      </c>
      <c r="H313" s="246">
        <v>20.0</v>
      </c>
      <c r="I313" s="315">
        <v>9.769441187964048E-4</v>
      </c>
      <c r="K313" s="246"/>
      <c r="L313" s="316"/>
      <c r="M313" s="317"/>
      <c r="O313" s="329" t="str">
        <f>IFERROR(__xludf.DUMMYFUNCTION("""COMPUTED_VALUE"""),"Gold Cove - Crown 2★ #B3D")</f>
        <v>Gold Cove - Crown 2★ #B3D</v>
      </c>
      <c r="P313" s="246">
        <f>IFERROR(__xludf.DUMMYFUNCTION("""COMPUTED_VALUE"""),20.0)</f>
        <v>20</v>
      </c>
      <c r="Q313" s="317"/>
    </row>
    <row r="314" ht="12.75" customHeight="1">
      <c r="G314" s="316" t="s">
        <v>1051</v>
      </c>
      <c r="H314" s="246">
        <v>20.0</v>
      </c>
      <c r="I314" s="315">
        <v>9.769441187964048E-4</v>
      </c>
      <c r="K314" s="246"/>
      <c r="L314" s="316"/>
      <c r="M314" s="317"/>
      <c r="O314" s="329" t="str">
        <f>IFERROR(__xludf.DUMMYFUNCTION("""COMPUTED_VALUE"""),"Gold Cove - Crown 2★ #5F2")</f>
        <v>Gold Cove - Crown 2★ #5F2</v>
      </c>
      <c r="P314" s="246">
        <f>IFERROR(__xludf.DUMMYFUNCTION("""COMPUTED_VALUE"""),20.0)</f>
        <v>20</v>
      </c>
      <c r="Q314" s="317"/>
    </row>
    <row r="315" ht="12.75" customHeight="1">
      <c r="G315" s="316" t="s">
        <v>1052</v>
      </c>
      <c r="H315" s="246">
        <v>20.0</v>
      </c>
      <c r="I315" s="315">
        <v>9.769441187964048E-4</v>
      </c>
      <c r="K315" s="246"/>
      <c r="L315" s="316"/>
      <c r="M315" s="317"/>
      <c r="O315" s="329" t="str">
        <f>IFERROR(__xludf.DUMMYFUNCTION("""COMPUTED_VALUE"""),"Gold Cove - Crown 2★ #0A7")</f>
        <v>Gold Cove - Crown 2★ #0A7</v>
      </c>
      <c r="P315" s="246">
        <f>IFERROR(__xludf.DUMMYFUNCTION("""COMPUTED_VALUE"""),20.0)</f>
        <v>20</v>
      </c>
      <c r="Q315" s="317"/>
    </row>
    <row r="316" ht="12.75" customHeight="1">
      <c r="G316" s="316" t="s">
        <v>1053</v>
      </c>
      <c r="H316" s="246">
        <v>20.0</v>
      </c>
      <c r="I316" s="315">
        <v>9.769441187964048E-4</v>
      </c>
      <c r="K316" s="246"/>
      <c r="L316" s="316"/>
      <c r="M316" s="317"/>
      <c r="O316" s="329" t="str">
        <f>IFERROR(__xludf.DUMMYFUNCTION("""COMPUTED_VALUE"""),"Gold Cove - Crown 2★ #B5C")</f>
        <v>Gold Cove - Crown 2★ #B5C</v>
      </c>
      <c r="P316" s="246">
        <f>IFERROR(__xludf.DUMMYFUNCTION("""COMPUTED_VALUE"""),20.0)</f>
        <v>20</v>
      </c>
      <c r="Q316" s="317"/>
    </row>
    <row r="317" ht="12.75" customHeight="1">
      <c r="G317" s="316" t="s">
        <v>1054</v>
      </c>
      <c r="H317" s="246">
        <v>20.0</v>
      </c>
      <c r="I317" s="315">
        <v>9.769441187964048E-4</v>
      </c>
      <c r="K317" s="246"/>
      <c r="L317" s="316"/>
      <c r="M317" s="317"/>
      <c r="O317" s="329" t="str">
        <f>IFERROR(__xludf.DUMMYFUNCTION("""COMPUTED_VALUE"""),"Gold Cove - Crown 2★ #611")</f>
        <v>Gold Cove - Crown 2★ #611</v>
      </c>
      <c r="P317" s="246">
        <f>IFERROR(__xludf.DUMMYFUNCTION("""COMPUTED_VALUE"""),20.0)</f>
        <v>20</v>
      </c>
      <c r="Q317" s="317"/>
    </row>
    <row r="318" ht="12.75" customHeight="1">
      <c r="G318" s="316" t="s">
        <v>1055</v>
      </c>
      <c r="H318" s="246">
        <v>20.0</v>
      </c>
      <c r="I318" s="315">
        <v>9.769441187964048E-4</v>
      </c>
      <c r="K318" s="246"/>
      <c r="L318" s="316"/>
      <c r="M318" s="317"/>
      <c r="O318" s="329" t="str">
        <f>IFERROR(__xludf.DUMMYFUNCTION("""COMPUTED_VALUE"""),"Gold Cove - Crown 2★ #0C6")</f>
        <v>Gold Cove - Crown 2★ #0C6</v>
      </c>
      <c r="P318" s="246">
        <f>IFERROR(__xludf.DUMMYFUNCTION("""COMPUTED_VALUE"""),20.0)</f>
        <v>20</v>
      </c>
      <c r="Q318" s="317"/>
    </row>
    <row r="319" ht="12.75" customHeight="1">
      <c r="G319" s="316" t="s">
        <v>1056</v>
      </c>
      <c r="H319" s="246">
        <v>20.0</v>
      </c>
      <c r="I319" s="315">
        <v>9.769441187964048E-4</v>
      </c>
      <c r="K319" s="246"/>
      <c r="L319" s="316"/>
      <c r="M319" s="317"/>
      <c r="O319" s="329" t="str">
        <f>IFERROR(__xludf.DUMMYFUNCTION("""COMPUTED_VALUE"""),"Gold Cove - Crown 2★ #B7B")</f>
        <v>Gold Cove - Crown 2★ #B7B</v>
      </c>
      <c r="P319" s="246">
        <f>IFERROR(__xludf.DUMMYFUNCTION("""COMPUTED_VALUE"""),20.0)</f>
        <v>20</v>
      </c>
      <c r="Q319" s="317"/>
    </row>
    <row r="320" ht="12.75" customHeight="1">
      <c r="G320" s="316" t="s">
        <v>1057</v>
      </c>
      <c r="H320" s="246">
        <v>20.0</v>
      </c>
      <c r="I320" s="315">
        <v>9.769441187964048E-4</v>
      </c>
      <c r="K320" s="246"/>
      <c r="L320" s="316"/>
      <c r="M320" s="317"/>
      <c r="O320" s="329" t="str">
        <f>IFERROR(__xludf.DUMMYFUNCTION("""COMPUTED_VALUE"""),"Gold Cove - Crown 2★ #630")</f>
        <v>Gold Cove - Crown 2★ #630</v>
      </c>
      <c r="P320" s="246">
        <f>IFERROR(__xludf.DUMMYFUNCTION("""COMPUTED_VALUE"""),20.0)</f>
        <v>20</v>
      </c>
      <c r="Q320" s="317"/>
    </row>
    <row r="321" ht="12.75" customHeight="1">
      <c r="G321" s="316" t="s">
        <v>1058</v>
      </c>
      <c r="H321" s="246">
        <v>20.0</v>
      </c>
      <c r="I321" s="315">
        <v>9.769441187964048E-4</v>
      </c>
      <c r="K321" s="246"/>
      <c r="L321" s="316"/>
      <c r="M321" s="317"/>
      <c r="O321" s="329" t="str">
        <f>IFERROR(__xludf.DUMMYFUNCTION("""COMPUTED_VALUE"""),"Gold Cove - Crown 2★ #0E5")</f>
        <v>Gold Cove - Crown 2★ #0E5</v>
      </c>
      <c r="P321" s="246">
        <f>IFERROR(__xludf.DUMMYFUNCTION("""COMPUTED_VALUE"""),20.0)</f>
        <v>20</v>
      </c>
      <c r="Q321" s="317"/>
    </row>
    <row r="322" ht="12.75" customHeight="1">
      <c r="G322" s="316" t="s">
        <v>1059</v>
      </c>
      <c r="H322" s="246">
        <v>10.0</v>
      </c>
      <c r="I322" s="315">
        <v>4.884720593982024E-4</v>
      </c>
      <c r="K322" s="246"/>
      <c r="L322" s="316"/>
      <c r="M322" s="317"/>
      <c r="O322" s="329" t="str">
        <f>IFERROR(__xludf.DUMMYFUNCTION("""COMPUTED_VALUE"""),"Gold Cove - Goblet 3★ #B9A")</f>
        <v>Gold Cove - Goblet 3★ #B9A</v>
      </c>
      <c r="P322" s="246">
        <f>IFERROR(__xludf.DUMMYFUNCTION("""COMPUTED_VALUE"""),10.0)</f>
        <v>10</v>
      </c>
      <c r="Q322" s="317"/>
    </row>
    <row r="323" ht="12.75" customHeight="1">
      <c r="G323" s="316" t="s">
        <v>1060</v>
      </c>
      <c r="H323" s="246">
        <v>10.0</v>
      </c>
      <c r="I323" s="315">
        <v>4.884720593982024E-4</v>
      </c>
      <c r="K323" s="246"/>
      <c r="L323" s="316"/>
      <c r="M323" s="317"/>
      <c r="O323" s="329" t="str">
        <f>IFERROR(__xludf.DUMMYFUNCTION("""COMPUTED_VALUE"""),"Gold Cove - Goblet 3★ #64F")</f>
        <v>Gold Cove - Goblet 3★ #64F</v>
      </c>
      <c r="P323" s="246">
        <f>IFERROR(__xludf.DUMMYFUNCTION("""COMPUTED_VALUE"""),10.0)</f>
        <v>10</v>
      </c>
      <c r="Q323" s="317"/>
    </row>
    <row r="324" ht="12.75" customHeight="1">
      <c r="G324" s="316" t="s">
        <v>1061</v>
      </c>
      <c r="H324" s="246">
        <v>10.0</v>
      </c>
      <c r="I324" s="315">
        <v>4.884720593982024E-4</v>
      </c>
      <c r="K324" s="246"/>
      <c r="L324" s="316"/>
      <c r="M324" s="317"/>
      <c r="O324" s="329" t="str">
        <f>IFERROR(__xludf.DUMMYFUNCTION("""COMPUTED_VALUE"""),"Gold Cove - Goblet 3★ #104")</f>
        <v>Gold Cove - Goblet 3★ #104</v>
      </c>
      <c r="P324" s="246">
        <f>IFERROR(__xludf.DUMMYFUNCTION("""COMPUTED_VALUE"""),10.0)</f>
        <v>10</v>
      </c>
      <c r="Q324" s="317"/>
    </row>
    <row r="325" ht="12.75" customHeight="1">
      <c r="G325" s="316" t="s">
        <v>1062</v>
      </c>
      <c r="H325" s="246">
        <v>10.0</v>
      </c>
      <c r="I325" s="315">
        <v>4.884720593982024E-4</v>
      </c>
      <c r="K325" s="246"/>
      <c r="L325" s="316"/>
      <c r="M325" s="317"/>
      <c r="O325" s="329" t="str">
        <f>IFERROR(__xludf.DUMMYFUNCTION("""COMPUTED_VALUE"""),"Gold Cove - Goblet 3★ #BB9")</f>
        <v>Gold Cove - Goblet 3★ #BB9</v>
      </c>
      <c r="P325" s="246">
        <f>IFERROR(__xludf.DUMMYFUNCTION("""COMPUTED_VALUE"""),10.0)</f>
        <v>10</v>
      </c>
      <c r="Q325" s="317"/>
    </row>
    <row r="326" ht="12.75" customHeight="1">
      <c r="G326" s="316" t="s">
        <v>1063</v>
      </c>
      <c r="H326" s="246">
        <v>10.0</v>
      </c>
      <c r="I326" s="315">
        <v>4.884720593982024E-4</v>
      </c>
      <c r="K326" s="246"/>
      <c r="L326" s="316"/>
      <c r="M326" s="317"/>
      <c r="O326" s="329" t="str">
        <f>IFERROR(__xludf.DUMMYFUNCTION("""COMPUTED_VALUE"""),"Gold Cove - Goblet 3★ #66E")</f>
        <v>Gold Cove - Goblet 3★ #66E</v>
      </c>
      <c r="P326" s="246">
        <f>IFERROR(__xludf.DUMMYFUNCTION("""COMPUTED_VALUE"""),10.0)</f>
        <v>10</v>
      </c>
      <c r="Q326" s="317"/>
    </row>
    <row r="327" ht="12.75" customHeight="1">
      <c r="G327" s="316" t="s">
        <v>1064</v>
      </c>
      <c r="H327" s="246">
        <v>10.0</v>
      </c>
      <c r="I327" s="315">
        <v>4.884720593982024E-4</v>
      </c>
      <c r="K327" s="246"/>
      <c r="L327" s="316"/>
      <c r="M327" s="317"/>
      <c r="O327" s="329" t="str">
        <f>IFERROR(__xludf.DUMMYFUNCTION("""COMPUTED_VALUE"""),"Gold Cove - Goblet 3★ #123")</f>
        <v>Gold Cove - Goblet 3★ #123</v>
      </c>
      <c r="P327" s="246">
        <f>IFERROR(__xludf.DUMMYFUNCTION("""COMPUTED_VALUE"""),10.0)</f>
        <v>10</v>
      </c>
      <c r="Q327" s="317"/>
    </row>
    <row r="328" ht="12.75" customHeight="1">
      <c r="G328" s="316" t="s">
        <v>1065</v>
      </c>
      <c r="H328" s="246">
        <v>10.0</v>
      </c>
      <c r="I328" s="315">
        <v>4.884720593982024E-4</v>
      </c>
      <c r="K328" s="246"/>
      <c r="L328" s="316"/>
      <c r="M328" s="317"/>
      <c r="O328" s="329" t="str">
        <f>IFERROR(__xludf.DUMMYFUNCTION("""COMPUTED_VALUE"""),"Gold Cove - Goblet 3★ #BD8")</f>
        <v>Gold Cove - Goblet 3★ #BD8</v>
      </c>
      <c r="P328" s="246">
        <f>IFERROR(__xludf.DUMMYFUNCTION("""COMPUTED_VALUE"""),10.0)</f>
        <v>10</v>
      </c>
      <c r="Q328" s="317"/>
    </row>
    <row r="329" ht="12.75" customHeight="1">
      <c r="G329" s="316" t="s">
        <v>1066</v>
      </c>
      <c r="H329" s="246">
        <v>10.0</v>
      </c>
      <c r="I329" s="315">
        <v>4.884720593982024E-4</v>
      </c>
      <c r="K329" s="246"/>
      <c r="L329" s="316"/>
      <c r="M329" s="317"/>
      <c r="O329" s="329" t="str">
        <f>IFERROR(__xludf.DUMMYFUNCTION("""COMPUTED_VALUE"""),"Gold Cove - Goblet 3★ #68D")</f>
        <v>Gold Cove - Goblet 3★ #68D</v>
      </c>
      <c r="P329" s="246">
        <f>IFERROR(__xludf.DUMMYFUNCTION("""COMPUTED_VALUE"""),10.0)</f>
        <v>10</v>
      </c>
      <c r="Q329" s="317"/>
    </row>
    <row r="330" ht="12.75" customHeight="1">
      <c r="G330" s="316" t="s">
        <v>1067</v>
      </c>
      <c r="H330" s="246">
        <v>10.0</v>
      </c>
      <c r="I330" s="315">
        <v>4.884720593982024E-4</v>
      </c>
      <c r="K330" s="246"/>
      <c r="L330" s="316"/>
      <c r="M330" s="317"/>
      <c r="O330" s="329" t="str">
        <f>IFERROR(__xludf.DUMMYFUNCTION("""COMPUTED_VALUE"""),"Gold Cove - Goblet 3★ #142")</f>
        <v>Gold Cove - Goblet 3★ #142</v>
      </c>
      <c r="P330" s="246">
        <f>IFERROR(__xludf.DUMMYFUNCTION("""COMPUTED_VALUE"""),10.0)</f>
        <v>10</v>
      </c>
      <c r="Q330" s="317"/>
    </row>
    <row r="331" ht="12.75" customHeight="1">
      <c r="G331" s="316" t="s">
        <v>1068</v>
      </c>
      <c r="H331" s="246">
        <v>10.0</v>
      </c>
      <c r="I331" s="315">
        <v>4.884720593982024E-4</v>
      </c>
      <c r="K331" s="246"/>
      <c r="L331" s="316"/>
      <c r="M331" s="317"/>
      <c r="O331" s="329" t="str">
        <f>IFERROR(__xludf.DUMMYFUNCTION("""COMPUTED_VALUE"""),"Gold Cove - Goblet 3★ #BF7")</f>
        <v>Gold Cove - Goblet 3★ #BF7</v>
      </c>
      <c r="P331" s="246">
        <f>IFERROR(__xludf.DUMMYFUNCTION("""COMPUTED_VALUE"""),10.0)</f>
        <v>10</v>
      </c>
      <c r="Q331" s="317"/>
    </row>
    <row r="332" ht="12.75" customHeight="1">
      <c r="G332" s="316" t="s">
        <v>1069</v>
      </c>
      <c r="H332" s="246">
        <v>10.0</v>
      </c>
      <c r="I332" s="315">
        <v>4.884720593982024E-4</v>
      </c>
      <c r="K332" s="246"/>
      <c r="L332" s="316"/>
      <c r="M332" s="317"/>
      <c r="O332" s="329" t="str">
        <f>IFERROR(__xludf.DUMMYFUNCTION("""COMPUTED_VALUE"""),"Gold Cove - Goblet 3★ #6AC")</f>
        <v>Gold Cove - Goblet 3★ #6AC</v>
      </c>
      <c r="P332" s="246">
        <f>IFERROR(__xludf.DUMMYFUNCTION("""COMPUTED_VALUE"""),10.0)</f>
        <v>10</v>
      </c>
      <c r="Q332" s="317"/>
    </row>
    <row r="333" ht="12.75" customHeight="1">
      <c r="G333" s="316" t="s">
        <v>1070</v>
      </c>
      <c r="H333" s="246">
        <v>10.0</v>
      </c>
      <c r="I333" s="315">
        <v>4.884720593982024E-4</v>
      </c>
      <c r="K333" s="246"/>
      <c r="L333" s="316"/>
      <c r="M333" s="317"/>
      <c r="O333" s="329" t="str">
        <f>IFERROR(__xludf.DUMMYFUNCTION("""COMPUTED_VALUE"""),"Gold Cove - Goblet 3★ #161")</f>
        <v>Gold Cove - Goblet 3★ #161</v>
      </c>
      <c r="P333" s="246">
        <f>IFERROR(__xludf.DUMMYFUNCTION("""COMPUTED_VALUE"""),10.0)</f>
        <v>10</v>
      </c>
      <c r="Q333" s="317"/>
    </row>
    <row r="334" ht="12.75" customHeight="1">
      <c r="G334" s="316" t="s">
        <v>1071</v>
      </c>
      <c r="H334" s="246">
        <v>10.0</v>
      </c>
      <c r="I334" s="315">
        <v>4.884720593982024E-4</v>
      </c>
      <c r="K334" s="246"/>
      <c r="L334" s="316"/>
      <c r="M334" s="317"/>
      <c r="O334" s="329" t="str">
        <f>IFERROR(__xludf.DUMMYFUNCTION("""COMPUTED_VALUE"""),"Gold Cove - Goblet 3★ #C16")</f>
        <v>Gold Cove - Goblet 3★ #C16</v>
      </c>
      <c r="P334" s="246">
        <f>IFERROR(__xludf.DUMMYFUNCTION("""COMPUTED_VALUE"""),10.0)</f>
        <v>10</v>
      </c>
      <c r="Q334" s="317"/>
    </row>
    <row r="335" ht="12.75" customHeight="1">
      <c r="G335" s="316" t="s">
        <v>1072</v>
      </c>
      <c r="H335" s="246">
        <v>5.0</v>
      </c>
      <c r="I335" s="315">
        <v>2.442360296991012E-4</v>
      </c>
      <c r="K335" s="246"/>
      <c r="L335" s="316"/>
      <c r="M335" s="317"/>
      <c r="O335" s="329" t="str">
        <f>IFERROR(__xludf.DUMMYFUNCTION("""COMPUTED_VALUE"""),"Gold Cove - Necklace 4★ #6CB")</f>
        <v>Gold Cove - Necklace 4★ #6CB</v>
      </c>
      <c r="P335" s="246">
        <f>IFERROR(__xludf.DUMMYFUNCTION("""COMPUTED_VALUE"""),5.0)</f>
        <v>5</v>
      </c>
      <c r="Q335" s="317"/>
    </row>
    <row r="336" ht="12.75" customHeight="1">
      <c r="G336" s="316" t="s">
        <v>1073</v>
      </c>
      <c r="H336" s="246">
        <v>5.0</v>
      </c>
      <c r="I336" s="315">
        <v>2.442360296991012E-4</v>
      </c>
      <c r="K336" s="246"/>
      <c r="L336" s="316"/>
      <c r="M336" s="317"/>
      <c r="O336" s="329" t="str">
        <f>IFERROR(__xludf.DUMMYFUNCTION("""COMPUTED_VALUE"""),"Gold Cove - Necklace 4★ #180")</f>
        <v>Gold Cove - Necklace 4★ #180</v>
      </c>
      <c r="P336" s="246">
        <f>IFERROR(__xludf.DUMMYFUNCTION("""COMPUTED_VALUE"""),5.0)</f>
        <v>5</v>
      </c>
      <c r="Q336" s="317"/>
    </row>
    <row r="337" ht="12.75" customHeight="1">
      <c r="G337" s="316" t="s">
        <v>1074</v>
      </c>
      <c r="H337" s="246">
        <v>5.0</v>
      </c>
      <c r="I337" s="315">
        <v>2.442360296991012E-4</v>
      </c>
      <c r="K337" s="246"/>
      <c r="L337" s="316"/>
      <c r="M337" s="317"/>
      <c r="O337" s="329" t="str">
        <f>IFERROR(__xludf.DUMMYFUNCTION("""COMPUTED_VALUE"""),"Gold Cove - Necklace 4★ #C35")</f>
        <v>Gold Cove - Necklace 4★ #C35</v>
      </c>
      <c r="P337" s="246">
        <f>IFERROR(__xludf.DUMMYFUNCTION("""COMPUTED_VALUE"""),5.0)</f>
        <v>5</v>
      </c>
      <c r="Q337" s="317"/>
    </row>
    <row r="338" ht="12.75" customHeight="1">
      <c r="G338" s="316" t="s">
        <v>1075</v>
      </c>
      <c r="H338" s="246">
        <v>5.0</v>
      </c>
      <c r="I338" s="315">
        <v>2.442360296991012E-4</v>
      </c>
      <c r="K338" s="246"/>
      <c r="L338" s="316"/>
      <c r="M338" s="317"/>
      <c r="O338" s="329" t="str">
        <f>IFERROR(__xludf.DUMMYFUNCTION("""COMPUTED_VALUE"""),"Gold Cove - Necklace 4★ #6EA")</f>
        <v>Gold Cove - Necklace 4★ #6EA</v>
      </c>
      <c r="P338" s="246">
        <f>IFERROR(__xludf.DUMMYFUNCTION("""COMPUTED_VALUE"""),5.0)</f>
        <v>5</v>
      </c>
      <c r="Q338" s="317"/>
    </row>
    <row r="339" ht="12.75" customHeight="1">
      <c r="G339" s="316" t="s">
        <v>1076</v>
      </c>
      <c r="H339" s="246">
        <v>5.0</v>
      </c>
      <c r="I339" s="315">
        <v>2.442360296991012E-4</v>
      </c>
      <c r="K339" s="246"/>
      <c r="L339" s="316"/>
      <c r="M339" s="317"/>
      <c r="O339" s="329" t="str">
        <f>IFERROR(__xludf.DUMMYFUNCTION("""COMPUTED_VALUE"""),"Gold Cove - Necklace 4★ #19F")</f>
        <v>Gold Cove - Necklace 4★ #19F</v>
      </c>
      <c r="P339" s="246">
        <f>IFERROR(__xludf.DUMMYFUNCTION("""COMPUTED_VALUE"""),5.0)</f>
        <v>5</v>
      </c>
      <c r="Q339" s="317"/>
    </row>
    <row r="340" ht="12.75" customHeight="1">
      <c r="G340" s="316" t="s">
        <v>1077</v>
      </c>
      <c r="H340" s="246">
        <v>5.0</v>
      </c>
      <c r="I340" s="315">
        <v>2.442360296991012E-4</v>
      </c>
      <c r="K340" s="246"/>
      <c r="L340" s="316"/>
      <c r="M340" s="317"/>
      <c r="O340" s="329" t="str">
        <f>IFERROR(__xludf.DUMMYFUNCTION("""COMPUTED_VALUE"""),"Gold Cove - Necklace 4★ #C54")</f>
        <v>Gold Cove - Necklace 4★ #C54</v>
      </c>
      <c r="P340" s="246">
        <f>IFERROR(__xludf.DUMMYFUNCTION("""COMPUTED_VALUE"""),5.0)</f>
        <v>5</v>
      </c>
      <c r="Q340" s="317"/>
    </row>
    <row r="341" ht="12.75" customHeight="1">
      <c r="G341" s="316" t="s">
        <v>1078</v>
      </c>
      <c r="H341" s="246">
        <v>5.0</v>
      </c>
      <c r="I341" s="315">
        <v>2.442360296991012E-4</v>
      </c>
      <c r="K341" s="246"/>
      <c r="L341" s="316"/>
      <c r="M341" s="317"/>
      <c r="O341" s="329" t="str">
        <f>IFERROR(__xludf.DUMMYFUNCTION("""COMPUTED_VALUE"""),"Gold Cove - Necklace 4★ #709")</f>
        <v>Gold Cove - Necklace 4★ #709</v>
      </c>
      <c r="P341" s="246">
        <f>IFERROR(__xludf.DUMMYFUNCTION("""COMPUTED_VALUE"""),5.0)</f>
        <v>5</v>
      </c>
      <c r="Q341" s="317"/>
    </row>
    <row r="342" ht="12.75" customHeight="1">
      <c r="G342" s="316" t="s">
        <v>1079</v>
      </c>
      <c r="H342" s="246">
        <v>5.0</v>
      </c>
      <c r="I342" s="315">
        <v>2.442360296991012E-4</v>
      </c>
      <c r="K342" s="246"/>
      <c r="L342" s="316"/>
      <c r="M342" s="317"/>
      <c r="O342" s="329" t="str">
        <f>IFERROR(__xludf.DUMMYFUNCTION("""COMPUTED_VALUE"""),"Gold Cove - Necklace 4★ #1BE")</f>
        <v>Gold Cove - Necklace 4★ #1BE</v>
      </c>
      <c r="P342" s="246">
        <f>IFERROR(__xludf.DUMMYFUNCTION("""COMPUTED_VALUE"""),5.0)</f>
        <v>5</v>
      </c>
      <c r="Q342" s="317"/>
    </row>
    <row r="343" ht="12.75" customHeight="1">
      <c r="G343" s="316" t="s">
        <v>1080</v>
      </c>
      <c r="H343" s="246">
        <v>5.0</v>
      </c>
      <c r="I343" s="315">
        <v>2.442360296991012E-4</v>
      </c>
      <c r="K343" s="246"/>
      <c r="L343" s="316"/>
      <c r="M343" s="317"/>
      <c r="O343" s="329" t="str">
        <f>IFERROR(__xludf.DUMMYFUNCTION("""COMPUTED_VALUE"""),"Gold Cove - Necklace 4★ #C73")</f>
        <v>Gold Cove - Necklace 4★ #C73</v>
      </c>
      <c r="P343" s="246">
        <f>IFERROR(__xludf.DUMMYFUNCTION("""COMPUTED_VALUE"""),5.0)</f>
        <v>5</v>
      </c>
      <c r="Q343" s="317"/>
    </row>
    <row r="344" ht="12.75" customHeight="1">
      <c r="G344" s="316" t="s">
        <v>1081</v>
      </c>
      <c r="H344" s="246">
        <v>5.0</v>
      </c>
      <c r="I344" s="315">
        <v>2.442360296991012E-4</v>
      </c>
      <c r="K344" s="246"/>
      <c r="L344" s="316"/>
      <c r="M344" s="317"/>
      <c r="O344" s="329" t="str">
        <f>IFERROR(__xludf.DUMMYFUNCTION("""COMPUTED_VALUE"""),"Gold Cove - Necklace 4★ #728")</f>
        <v>Gold Cove - Necklace 4★ #728</v>
      </c>
      <c r="P344" s="246">
        <f>IFERROR(__xludf.DUMMYFUNCTION("""COMPUTED_VALUE"""),5.0)</f>
        <v>5</v>
      </c>
      <c r="Q344" s="317"/>
    </row>
    <row r="345" ht="12.75" customHeight="1">
      <c r="G345" s="316" t="s">
        <v>1082</v>
      </c>
      <c r="H345" s="246">
        <v>5.0</v>
      </c>
      <c r="I345" s="315">
        <v>2.442360296991012E-4</v>
      </c>
      <c r="K345" s="246"/>
      <c r="L345" s="316"/>
      <c r="M345" s="317"/>
      <c r="O345" s="329" t="str">
        <f>IFERROR(__xludf.DUMMYFUNCTION("""COMPUTED_VALUE"""),"Gold Cove - Necklace 4★ #1DD")</f>
        <v>Gold Cove - Necklace 4★ #1DD</v>
      </c>
      <c r="P345" s="246">
        <f>IFERROR(__xludf.DUMMYFUNCTION("""COMPUTED_VALUE"""),5.0)</f>
        <v>5</v>
      </c>
      <c r="Q345" s="317"/>
    </row>
    <row r="346" ht="12.75" customHeight="1">
      <c r="G346" s="316" t="s">
        <v>1083</v>
      </c>
      <c r="H346" s="246">
        <v>5.0</v>
      </c>
      <c r="I346" s="315">
        <v>2.442360296991012E-4</v>
      </c>
      <c r="K346" s="246"/>
      <c r="L346" s="316"/>
      <c r="M346" s="317"/>
      <c r="O346" s="329" t="str">
        <f>IFERROR(__xludf.DUMMYFUNCTION("""COMPUTED_VALUE"""),"Gold Cove - Necklace 4★ #C92")</f>
        <v>Gold Cove - Necklace 4★ #C92</v>
      </c>
      <c r="P346" s="246">
        <f>IFERROR(__xludf.DUMMYFUNCTION("""COMPUTED_VALUE"""),5.0)</f>
        <v>5</v>
      </c>
      <c r="Q346" s="317"/>
    </row>
    <row r="347" ht="12.75" customHeight="1">
      <c r="G347" s="316" t="s">
        <v>1084</v>
      </c>
      <c r="H347" s="246">
        <v>5.0</v>
      </c>
      <c r="I347" s="315">
        <v>2.442360296991012E-4</v>
      </c>
      <c r="K347" s="246"/>
      <c r="L347" s="316"/>
      <c r="M347" s="317"/>
      <c r="O347" s="329" t="str">
        <f>IFERROR(__xludf.DUMMYFUNCTION("""COMPUTED_VALUE"""),"Gold Cove - Ring 4★ #747")</f>
        <v>Gold Cove - Ring 4★ #747</v>
      </c>
      <c r="P347" s="246">
        <f>IFERROR(__xludf.DUMMYFUNCTION("""COMPUTED_VALUE"""),5.0)</f>
        <v>5</v>
      </c>
      <c r="Q347" s="317"/>
    </row>
    <row r="348" ht="12.75" customHeight="1">
      <c r="G348" s="316" t="s">
        <v>1085</v>
      </c>
      <c r="H348" s="246">
        <v>5.0</v>
      </c>
      <c r="I348" s="315">
        <v>2.442360296991012E-4</v>
      </c>
      <c r="K348" s="246"/>
      <c r="L348" s="316"/>
      <c r="M348" s="317"/>
      <c r="O348" s="329" t="str">
        <f>IFERROR(__xludf.DUMMYFUNCTION("""COMPUTED_VALUE"""),"Gold Cove - Ring 4★ #1FC")</f>
        <v>Gold Cove - Ring 4★ #1FC</v>
      </c>
      <c r="P348" s="246">
        <f>IFERROR(__xludf.DUMMYFUNCTION("""COMPUTED_VALUE"""),5.0)</f>
        <v>5</v>
      </c>
      <c r="Q348" s="317"/>
    </row>
    <row r="349" ht="12.75" customHeight="1">
      <c r="G349" s="316" t="s">
        <v>1086</v>
      </c>
      <c r="H349" s="246">
        <v>5.0</v>
      </c>
      <c r="I349" s="315">
        <v>2.442360296991012E-4</v>
      </c>
      <c r="K349" s="246"/>
      <c r="L349" s="316"/>
      <c r="M349" s="317"/>
      <c r="O349" s="329" t="str">
        <f>IFERROR(__xludf.DUMMYFUNCTION("""COMPUTED_VALUE"""),"Gold Cove - Ring 4★ #CB1")</f>
        <v>Gold Cove - Ring 4★ #CB1</v>
      </c>
      <c r="P349" s="246">
        <f>IFERROR(__xludf.DUMMYFUNCTION("""COMPUTED_VALUE"""),5.0)</f>
        <v>5</v>
      </c>
      <c r="Q349" s="317"/>
    </row>
    <row r="350" ht="12.75" customHeight="1">
      <c r="G350" s="316" t="s">
        <v>1087</v>
      </c>
      <c r="H350" s="246">
        <v>5.0</v>
      </c>
      <c r="I350" s="315">
        <v>2.442360296991012E-4</v>
      </c>
      <c r="K350" s="246"/>
      <c r="L350" s="316"/>
      <c r="M350" s="317"/>
      <c r="O350" s="329" t="str">
        <f>IFERROR(__xludf.DUMMYFUNCTION("""COMPUTED_VALUE"""),"Gold Cove - Ring 4★ #766")</f>
        <v>Gold Cove - Ring 4★ #766</v>
      </c>
      <c r="P350" s="246">
        <f>IFERROR(__xludf.DUMMYFUNCTION("""COMPUTED_VALUE"""),5.0)</f>
        <v>5</v>
      </c>
      <c r="Q350" s="317"/>
    </row>
    <row r="351" ht="12.75" customHeight="1">
      <c r="G351" s="316" t="s">
        <v>1088</v>
      </c>
      <c r="H351" s="246">
        <v>5.0</v>
      </c>
      <c r="I351" s="315">
        <v>2.442360296991012E-4</v>
      </c>
      <c r="K351" s="246"/>
      <c r="L351" s="316"/>
      <c r="M351" s="317"/>
      <c r="O351" s="329" t="str">
        <f>IFERROR(__xludf.DUMMYFUNCTION("""COMPUTED_VALUE"""),"Gold Cove - Ring 4★ #21B")</f>
        <v>Gold Cove - Ring 4★ #21B</v>
      </c>
      <c r="P351" s="246">
        <f>IFERROR(__xludf.DUMMYFUNCTION("""COMPUTED_VALUE"""),5.0)</f>
        <v>5</v>
      </c>
      <c r="Q351" s="317"/>
    </row>
    <row r="352" ht="12.75" customHeight="1">
      <c r="G352" s="316" t="s">
        <v>1089</v>
      </c>
      <c r="H352" s="246">
        <v>5.0</v>
      </c>
      <c r="I352" s="315">
        <v>2.442360296991012E-4</v>
      </c>
      <c r="K352" s="246"/>
      <c r="L352" s="316"/>
      <c r="M352" s="317"/>
      <c r="O352" s="329" t="str">
        <f>IFERROR(__xludf.DUMMYFUNCTION("""COMPUTED_VALUE"""),"Gold Cove - Ring 4★ #CD0")</f>
        <v>Gold Cove - Ring 4★ #CD0</v>
      </c>
      <c r="P352" s="246">
        <f>IFERROR(__xludf.DUMMYFUNCTION("""COMPUTED_VALUE"""),5.0)</f>
        <v>5</v>
      </c>
      <c r="Q352" s="317"/>
    </row>
    <row r="353" ht="12.75" customHeight="1">
      <c r="G353" s="316" t="s">
        <v>1090</v>
      </c>
      <c r="H353" s="246">
        <v>5.0</v>
      </c>
      <c r="I353" s="315">
        <v>2.442360296991012E-4</v>
      </c>
      <c r="K353" s="246"/>
      <c r="L353" s="316"/>
      <c r="M353" s="317"/>
      <c r="O353" s="329" t="str">
        <f>IFERROR(__xludf.DUMMYFUNCTION("""COMPUTED_VALUE"""),"Gold Cove - Ring 4★ #785")</f>
        <v>Gold Cove - Ring 4★ #785</v>
      </c>
      <c r="P353" s="246">
        <f>IFERROR(__xludf.DUMMYFUNCTION("""COMPUTED_VALUE"""),5.0)</f>
        <v>5</v>
      </c>
      <c r="Q353" s="317"/>
    </row>
    <row r="354" ht="12.75" customHeight="1">
      <c r="G354" s="316" t="s">
        <v>1091</v>
      </c>
      <c r="H354" s="246">
        <v>5.0</v>
      </c>
      <c r="I354" s="315">
        <v>2.442360296991012E-4</v>
      </c>
      <c r="K354" s="246"/>
      <c r="L354" s="316"/>
      <c r="M354" s="317"/>
      <c r="O354" s="329" t="str">
        <f>IFERROR(__xludf.DUMMYFUNCTION("""COMPUTED_VALUE"""),"Gold Cove - Ring 4★ #23A")</f>
        <v>Gold Cove - Ring 4★ #23A</v>
      </c>
      <c r="P354" s="246">
        <f>IFERROR(__xludf.DUMMYFUNCTION("""COMPUTED_VALUE"""),5.0)</f>
        <v>5</v>
      </c>
      <c r="Q354" s="317"/>
    </row>
    <row r="355" ht="12.75" customHeight="1">
      <c r="G355" s="316" t="s">
        <v>1092</v>
      </c>
      <c r="H355" s="246">
        <v>5.0</v>
      </c>
      <c r="I355" s="315">
        <v>2.442360296991012E-4</v>
      </c>
      <c r="K355" s="246"/>
      <c r="L355" s="316"/>
      <c r="M355" s="317"/>
      <c r="O355" s="329" t="str">
        <f>IFERROR(__xludf.DUMMYFUNCTION("""COMPUTED_VALUE"""),"Gold Cove - Ring 4★ #CEF")</f>
        <v>Gold Cove - Ring 4★ #CEF</v>
      </c>
      <c r="P355" s="246">
        <f>IFERROR(__xludf.DUMMYFUNCTION("""COMPUTED_VALUE"""),5.0)</f>
        <v>5</v>
      </c>
      <c r="Q355" s="317"/>
    </row>
    <row r="356" ht="12.75" customHeight="1">
      <c r="G356" s="316" t="s">
        <v>1093</v>
      </c>
      <c r="H356" s="246">
        <v>5.0</v>
      </c>
      <c r="I356" s="315">
        <v>2.442360296991012E-4</v>
      </c>
      <c r="K356" s="246"/>
      <c r="L356" s="316"/>
      <c r="M356" s="317"/>
      <c r="O356" s="329" t="str">
        <f>IFERROR(__xludf.DUMMYFUNCTION("""COMPUTED_VALUE"""),"Gold Cove - Ring 4★ #7A4")</f>
        <v>Gold Cove - Ring 4★ #7A4</v>
      </c>
      <c r="P356" s="246">
        <f>IFERROR(__xludf.DUMMYFUNCTION("""COMPUTED_VALUE"""),5.0)</f>
        <v>5</v>
      </c>
      <c r="Q356" s="317"/>
    </row>
    <row r="357" ht="12.75" customHeight="1">
      <c r="G357" s="316" t="s">
        <v>1094</v>
      </c>
      <c r="H357" s="246">
        <v>5.0</v>
      </c>
      <c r="I357" s="315">
        <v>2.442360296991012E-4</v>
      </c>
      <c r="K357" s="246"/>
      <c r="L357" s="316"/>
      <c r="M357" s="317"/>
      <c r="O357" s="329" t="str">
        <f>IFERROR(__xludf.DUMMYFUNCTION("""COMPUTED_VALUE"""),"Gold Cove - Ring 4★ #259")</f>
        <v>Gold Cove - Ring 4★ #259</v>
      </c>
      <c r="P357" s="246">
        <f>IFERROR(__xludf.DUMMYFUNCTION("""COMPUTED_VALUE"""),5.0)</f>
        <v>5</v>
      </c>
      <c r="Q357" s="317"/>
    </row>
    <row r="358" ht="12.75" customHeight="1">
      <c r="G358" s="316" t="s">
        <v>1095</v>
      </c>
      <c r="H358" s="246">
        <v>2.0</v>
      </c>
      <c r="I358" s="315">
        <v>9.769441187964049E-5</v>
      </c>
      <c r="K358" s="246"/>
      <c r="L358" s="316"/>
      <c r="M358" s="317"/>
      <c r="O358" s="329" t="str">
        <f>IFERROR(__xludf.DUMMYFUNCTION("""COMPUTED_VALUE"""),"Gold Cove - Scepter 5★ #D0E")</f>
        <v>Gold Cove - Scepter 5★ #D0E</v>
      </c>
      <c r="P358" s="246">
        <f>IFERROR(__xludf.DUMMYFUNCTION("""COMPUTED_VALUE"""),2.0)</f>
        <v>2</v>
      </c>
      <c r="Q358" s="317"/>
    </row>
    <row r="359" ht="12.75" customHeight="1">
      <c r="G359" s="316" t="s">
        <v>1096</v>
      </c>
      <c r="H359" s="246">
        <v>2.0</v>
      </c>
      <c r="I359" s="315">
        <v>9.769441187964049E-5</v>
      </c>
      <c r="K359" s="246"/>
      <c r="L359" s="316"/>
      <c r="M359" s="317"/>
      <c r="O359" s="329" t="str">
        <f>IFERROR(__xludf.DUMMYFUNCTION("""COMPUTED_VALUE"""),"Gold Cove - Scepter 5★ #7C3")</f>
        <v>Gold Cove - Scepter 5★ #7C3</v>
      </c>
      <c r="P359" s="246">
        <f>IFERROR(__xludf.DUMMYFUNCTION("""COMPUTED_VALUE"""),2.0)</f>
        <v>2</v>
      </c>
      <c r="Q359" s="317"/>
    </row>
    <row r="360" ht="12.75" customHeight="1">
      <c r="G360" s="316" t="s">
        <v>1097</v>
      </c>
      <c r="H360" s="246">
        <v>2.0</v>
      </c>
      <c r="I360" s="315">
        <v>9.769441187964049E-5</v>
      </c>
      <c r="K360" s="246"/>
      <c r="L360" s="316"/>
      <c r="M360" s="317"/>
      <c r="O360" s="329" t="str">
        <f>IFERROR(__xludf.DUMMYFUNCTION("""COMPUTED_VALUE"""),"Gold Cove - Scepter 5★ #278")</f>
        <v>Gold Cove - Scepter 5★ #278</v>
      </c>
      <c r="P360" s="246">
        <f>IFERROR(__xludf.DUMMYFUNCTION("""COMPUTED_VALUE"""),2.0)</f>
        <v>2</v>
      </c>
      <c r="Q360" s="317"/>
    </row>
    <row r="361" ht="12.75" customHeight="1">
      <c r="G361" s="316" t="s">
        <v>1098</v>
      </c>
      <c r="H361" s="246">
        <v>2.0</v>
      </c>
      <c r="I361" s="315">
        <v>9.769441187964049E-5</v>
      </c>
      <c r="K361" s="246"/>
      <c r="L361" s="316"/>
      <c r="M361" s="317"/>
      <c r="O361" s="329" t="str">
        <f>IFERROR(__xludf.DUMMYFUNCTION("""COMPUTED_VALUE"""),"Gold Cove - Scepter 5★ #D2D")</f>
        <v>Gold Cove - Scepter 5★ #D2D</v>
      </c>
      <c r="P361" s="246">
        <f>IFERROR(__xludf.DUMMYFUNCTION("""COMPUTED_VALUE"""),2.0)</f>
        <v>2</v>
      </c>
      <c r="Q361" s="317"/>
    </row>
    <row r="362" ht="12.75" customHeight="1">
      <c r="G362" s="316" t="s">
        <v>1099</v>
      </c>
      <c r="H362" s="246">
        <v>2.0</v>
      </c>
      <c r="I362" s="315">
        <v>9.769441187964049E-5</v>
      </c>
      <c r="K362" s="246"/>
      <c r="L362" s="316"/>
      <c r="M362" s="317"/>
      <c r="O362" s="329" t="str">
        <f>IFERROR(__xludf.DUMMYFUNCTION("""COMPUTED_VALUE"""),"Gold Cove - Scepter 5★ #7E2")</f>
        <v>Gold Cove - Scepter 5★ #7E2</v>
      </c>
      <c r="P362" s="246">
        <f>IFERROR(__xludf.DUMMYFUNCTION("""COMPUTED_VALUE"""),2.0)</f>
        <v>2</v>
      </c>
      <c r="Q362" s="317"/>
    </row>
    <row r="363" ht="12.75" customHeight="1">
      <c r="G363" s="316" t="s">
        <v>1100</v>
      </c>
      <c r="H363" s="246">
        <v>2.0</v>
      </c>
      <c r="I363" s="315">
        <v>9.769441187964049E-5</v>
      </c>
      <c r="K363" s="246"/>
      <c r="L363" s="316"/>
      <c r="M363" s="317"/>
      <c r="O363" s="329" t="str">
        <f>IFERROR(__xludf.DUMMYFUNCTION("""COMPUTED_VALUE"""),"Gold Cove - Scepter 5★ #297")</f>
        <v>Gold Cove - Scepter 5★ #297</v>
      </c>
      <c r="P363" s="246">
        <f>IFERROR(__xludf.DUMMYFUNCTION("""COMPUTED_VALUE"""),2.0)</f>
        <v>2</v>
      </c>
      <c r="Q363" s="317"/>
    </row>
    <row r="364" ht="12.75" customHeight="1">
      <c r="G364" s="316" t="s">
        <v>1101</v>
      </c>
      <c r="H364" s="246">
        <v>50.0</v>
      </c>
      <c r="I364" s="315">
        <v>0.0024423602969910123</v>
      </c>
      <c r="K364" s="246"/>
      <c r="L364" s="316"/>
      <c r="M364" s="317"/>
      <c r="O364" s="329" t="str">
        <f>IFERROR(__xludf.DUMMYFUNCTION("""COMPUTED_VALUE"""),"Ghost Ship - Fog Horn 1★ #D4C")</f>
        <v>Ghost Ship - Fog Horn 1★ #D4C</v>
      </c>
      <c r="P364" s="246">
        <f>IFERROR(__xludf.DUMMYFUNCTION("""COMPUTED_VALUE"""),50.0)</f>
        <v>50</v>
      </c>
      <c r="Q364" s="317"/>
    </row>
    <row r="365" ht="12.75" customHeight="1">
      <c r="G365" s="316" t="s">
        <v>1102</v>
      </c>
      <c r="H365" s="246">
        <v>50.0</v>
      </c>
      <c r="I365" s="315">
        <v>0.0024423602969910123</v>
      </c>
      <c r="K365" s="246"/>
      <c r="L365" s="316"/>
      <c r="M365" s="317"/>
      <c r="O365" s="329" t="str">
        <f>IFERROR(__xludf.DUMMYFUNCTION("""COMPUTED_VALUE"""),"Ghost Ship - Fog Horn 1★ #801")</f>
        <v>Ghost Ship - Fog Horn 1★ #801</v>
      </c>
      <c r="P365" s="246">
        <f>IFERROR(__xludf.DUMMYFUNCTION("""COMPUTED_VALUE"""),50.0)</f>
        <v>50</v>
      </c>
      <c r="Q365" s="317"/>
    </row>
    <row r="366" ht="12.75" customHeight="1">
      <c r="G366" s="316" t="s">
        <v>1103</v>
      </c>
      <c r="H366" s="246">
        <v>50.0</v>
      </c>
      <c r="I366" s="315">
        <v>0.0024423602969910123</v>
      </c>
      <c r="K366" s="246"/>
      <c r="L366" s="316"/>
      <c r="M366" s="317"/>
      <c r="O366" s="329" t="str">
        <f>IFERROR(__xludf.DUMMYFUNCTION("""COMPUTED_VALUE"""),"Ghost Ship - Fog Horn 1★ #2B6")</f>
        <v>Ghost Ship - Fog Horn 1★ #2B6</v>
      </c>
      <c r="P366" s="246">
        <f>IFERROR(__xludf.DUMMYFUNCTION("""COMPUTED_VALUE"""),50.0)</f>
        <v>50</v>
      </c>
      <c r="Q366" s="317"/>
    </row>
    <row r="367" ht="12.75" customHeight="1">
      <c r="G367" s="316" t="s">
        <v>1104</v>
      </c>
      <c r="H367" s="246">
        <v>50.0</v>
      </c>
      <c r="I367" s="315">
        <v>0.0024423602969910123</v>
      </c>
      <c r="K367" s="246"/>
      <c r="L367" s="316"/>
      <c r="M367" s="317"/>
      <c r="O367" s="329" t="str">
        <f>IFERROR(__xludf.DUMMYFUNCTION("""COMPUTED_VALUE"""),"Ghost Ship - Fog Horn 1★ #D6B")</f>
        <v>Ghost Ship - Fog Horn 1★ #D6B</v>
      </c>
      <c r="P367" s="246">
        <f>IFERROR(__xludf.DUMMYFUNCTION("""COMPUTED_VALUE"""),50.0)</f>
        <v>50</v>
      </c>
      <c r="Q367" s="317"/>
    </row>
    <row r="368" ht="12.75" customHeight="1">
      <c r="G368" s="316" t="s">
        <v>1105</v>
      </c>
      <c r="H368" s="246">
        <v>50.0</v>
      </c>
      <c r="I368" s="315">
        <v>0.0024423602969910123</v>
      </c>
      <c r="K368" s="246"/>
      <c r="L368" s="316"/>
      <c r="M368" s="317"/>
      <c r="O368" s="329" t="str">
        <f>IFERROR(__xludf.DUMMYFUNCTION("""COMPUTED_VALUE"""),"Ghost Ship - Fog Horn 1★ #820")</f>
        <v>Ghost Ship - Fog Horn 1★ #820</v>
      </c>
      <c r="P368" s="246">
        <f>IFERROR(__xludf.DUMMYFUNCTION("""COMPUTED_VALUE"""),50.0)</f>
        <v>50</v>
      </c>
      <c r="Q368" s="317"/>
    </row>
    <row r="369" ht="12.75" customHeight="1">
      <c r="G369" s="316" t="s">
        <v>1106</v>
      </c>
      <c r="H369" s="246">
        <v>50.0</v>
      </c>
      <c r="I369" s="315">
        <v>0.0024423602969910123</v>
      </c>
      <c r="K369" s="246"/>
      <c r="L369" s="316"/>
      <c r="M369" s="317"/>
      <c r="O369" s="329" t="str">
        <f>IFERROR(__xludf.DUMMYFUNCTION("""COMPUTED_VALUE"""),"Ghost Ship - Fog Horn 1★ #2D5")</f>
        <v>Ghost Ship - Fog Horn 1★ #2D5</v>
      </c>
      <c r="P369" s="246">
        <f>IFERROR(__xludf.DUMMYFUNCTION("""COMPUTED_VALUE"""),50.0)</f>
        <v>50</v>
      </c>
      <c r="Q369" s="317"/>
    </row>
    <row r="370" ht="12.75" customHeight="1">
      <c r="G370" s="316" t="s">
        <v>1107</v>
      </c>
      <c r="H370" s="246">
        <v>50.0</v>
      </c>
      <c r="I370" s="315">
        <v>0.0024423602969910123</v>
      </c>
      <c r="K370" s="246"/>
      <c r="L370" s="316"/>
      <c r="M370" s="317"/>
      <c r="O370" s="329" t="str">
        <f>IFERROR(__xludf.DUMMYFUNCTION("""COMPUTED_VALUE"""),"Ghost Ship - Fog Horn 1★ #D8A")</f>
        <v>Ghost Ship - Fog Horn 1★ #D8A</v>
      </c>
      <c r="P370" s="246">
        <f>IFERROR(__xludf.DUMMYFUNCTION("""COMPUTED_VALUE"""),50.0)</f>
        <v>50</v>
      </c>
      <c r="Q370" s="317"/>
    </row>
    <row r="371" ht="12.75" customHeight="1">
      <c r="G371" s="316" t="s">
        <v>1108</v>
      </c>
      <c r="H371" s="246">
        <v>50.0</v>
      </c>
      <c r="I371" s="315">
        <v>0.0024423602969910123</v>
      </c>
      <c r="K371" s="246"/>
      <c r="L371" s="316"/>
      <c r="M371" s="317"/>
      <c r="O371" s="329" t="str">
        <f>IFERROR(__xludf.DUMMYFUNCTION("""COMPUTED_VALUE"""),"Ghost Ship - Fog Horn 1★ #83F")</f>
        <v>Ghost Ship - Fog Horn 1★ #83F</v>
      </c>
      <c r="P371" s="246">
        <f>IFERROR(__xludf.DUMMYFUNCTION("""COMPUTED_VALUE"""),50.0)</f>
        <v>50</v>
      </c>
      <c r="Q371" s="317"/>
    </row>
    <row r="372" ht="12.75" customHeight="1">
      <c r="G372" s="316" t="s">
        <v>1109</v>
      </c>
      <c r="H372" s="246">
        <v>50.0</v>
      </c>
      <c r="I372" s="315">
        <v>0.0024423602969910123</v>
      </c>
      <c r="K372" s="246"/>
      <c r="L372" s="316"/>
      <c r="M372" s="317"/>
      <c r="O372" s="329" t="str">
        <f>IFERROR(__xludf.DUMMYFUNCTION("""COMPUTED_VALUE"""),"Ghost Ship - Fog Horn 1★ #2F4")</f>
        <v>Ghost Ship - Fog Horn 1★ #2F4</v>
      </c>
      <c r="P372" s="246">
        <f>IFERROR(__xludf.DUMMYFUNCTION("""COMPUTED_VALUE"""),50.0)</f>
        <v>50</v>
      </c>
      <c r="Q372" s="317"/>
    </row>
    <row r="373" ht="12.75" customHeight="1">
      <c r="G373" s="316" t="s">
        <v>1110</v>
      </c>
      <c r="H373" s="246">
        <v>50.0</v>
      </c>
      <c r="I373" s="315">
        <v>0.0024423602969910123</v>
      </c>
      <c r="K373" s="246"/>
      <c r="L373" s="316"/>
      <c r="M373" s="317"/>
      <c r="O373" s="329" t="str">
        <f>IFERROR(__xludf.DUMMYFUNCTION("""COMPUTED_VALUE"""),"Ghost Ship - Fog Horn 1★ #DA9")</f>
        <v>Ghost Ship - Fog Horn 1★ #DA9</v>
      </c>
      <c r="P373" s="246">
        <f>IFERROR(__xludf.DUMMYFUNCTION("""COMPUTED_VALUE"""),50.0)</f>
        <v>50</v>
      </c>
      <c r="Q373" s="317"/>
    </row>
    <row r="374" ht="12.75" customHeight="1">
      <c r="G374" s="316" t="s">
        <v>1111</v>
      </c>
      <c r="H374" s="246">
        <v>50.0</v>
      </c>
      <c r="I374" s="315">
        <v>0.0024423602969910123</v>
      </c>
      <c r="K374" s="246"/>
      <c r="L374" s="316"/>
      <c r="M374" s="317"/>
      <c r="O374" s="329" t="str">
        <f>IFERROR(__xludf.DUMMYFUNCTION("""COMPUTED_VALUE"""),"Ghost Ship - Fog Horn 1★ #85E")</f>
        <v>Ghost Ship - Fog Horn 1★ #85E</v>
      </c>
      <c r="P374" s="246">
        <f>IFERROR(__xludf.DUMMYFUNCTION("""COMPUTED_VALUE"""),50.0)</f>
        <v>50</v>
      </c>
      <c r="Q374" s="317"/>
    </row>
    <row r="375" ht="12.75" customHeight="1">
      <c r="G375" s="316" t="s">
        <v>1112</v>
      </c>
      <c r="H375" s="246">
        <v>50.0</v>
      </c>
      <c r="I375" s="315">
        <v>0.0024423602969910123</v>
      </c>
      <c r="K375" s="246"/>
      <c r="L375" s="316"/>
      <c r="M375" s="317"/>
      <c r="O375" s="329" t="str">
        <f>IFERROR(__xludf.DUMMYFUNCTION("""COMPUTED_VALUE"""),"Ghost Ship - Fog Horn 1★ #313")</f>
        <v>Ghost Ship - Fog Horn 1★ #313</v>
      </c>
      <c r="P375" s="246">
        <f>IFERROR(__xludf.DUMMYFUNCTION("""COMPUTED_VALUE"""),50.0)</f>
        <v>50</v>
      </c>
      <c r="Q375" s="317"/>
    </row>
    <row r="376" ht="12.75" customHeight="1">
      <c r="G376" s="316" t="s">
        <v>1113</v>
      </c>
      <c r="H376" s="246">
        <v>50.0</v>
      </c>
      <c r="I376" s="315">
        <v>0.0024423602969910123</v>
      </c>
      <c r="K376" s="246"/>
      <c r="L376" s="316"/>
      <c r="M376" s="317"/>
      <c r="O376" s="329" t="str">
        <f>IFERROR(__xludf.DUMMYFUNCTION("""COMPUTED_VALUE"""),"Ghost Ship - Fog Horn 1★ #DC8")</f>
        <v>Ghost Ship - Fog Horn 1★ #DC8</v>
      </c>
      <c r="P376" s="246">
        <f>IFERROR(__xludf.DUMMYFUNCTION("""COMPUTED_VALUE"""),50.0)</f>
        <v>50</v>
      </c>
      <c r="Q376" s="317"/>
    </row>
    <row r="377" ht="12.75" customHeight="1">
      <c r="G377" s="316" t="s">
        <v>1114</v>
      </c>
      <c r="H377" s="246">
        <v>50.0</v>
      </c>
      <c r="I377" s="315">
        <v>0.0024423602969910123</v>
      </c>
      <c r="K377" s="246"/>
      <c r="L377" s="316"/>
      <c r="M377" s="317"/>
      <c r="O377" s="329" t="str">
        <f>IFERROR(__xludf.DUMMYFUNCTION("""COMPUTED_VALUE"""),"Ghost Ship - Sail 1★ #87D")</f>
        <v>Ghost Ship - Sail 1★ #87D</v>
      </c>
      <c r="P377" s="246">
        <f>IFERROR(__xludf.DUMMYFUNCTION("""COMPUTED_VALUE"""),50.0)</f>
        <v>50</v>
      </c>
      <c r="Q377" s="317"/>
    </row>
    <row r="378" ht="12.75" customHeight="1">
      <c r="G378" s="316" t="s">
        <v>1115</v>
      </c>
      <c r="H378" s="246">
        <v>50.0</v>
      </c>
      <c r="I378" s="315">
        <v>0.0024423602969910123</v>
      </c>
      <c r="K378" s="246"/>
      <c r="L378" s="316"/>
      <c r="M378" s="317"/>
      <c r="O378" s="329" t="str">
        <f>IFERROR(__xludf.DUMMYFUNCTION("""COMPUTED_VALUE"""),"Ghost Ship - Sail 1★ #332")</f>
        <v>Ghost Ship - Sail 1★ #332</v>
      </c>
      <c r="P378" s="246">
        <f>IFERROR(__xludf.DUMMYFUNCTION("""COMPUTED_VALUE"""),50.0)</f>
        <v>50</v>
      </c>
      <c r="Q378" s="317"/>
    </row>
    <row r="379" ht="12.75" customHeight="1">
      <c r="G379" s="316" t="s">
        <v>1116</v>
      </c>
      <c r="H379" s="246">
        <v>50.0</v>
      </c>
      <c r="I379" s="315">
        <v>0.0024423602969910123</v>
      </c>
      <c r="K379" s="246"/>
      <c r="L379" s="316"/>
      <c r="M379" s="317"/>
      <c r="O379" s="329" t="str">
        <f>IFERROR(__xludf.DUMMYFUNCTION("""COMPUTED_VALUE"""),"Ghost Ship - Sail 1★ #DE7")</f>
        <v>Ghost Ship - Sail 1★ #DE7</v>
      </c>
      <c r="P379" s="246">
        <f>IFERROR(__xludf.DUMMYFUNCTION("""COMPUTED_VALUE"""),50.0)</f>
        <v>50</v>
      </c>
      <c r="Q379" s="317"/>
    </row>
    <row r="380" ht="12.75" customHeight="1">
      <c r="G380" s="316" t="s">
        <v>1117</v>
      </c>
      <c r="H380" s="246">
        <v>50.0</v>
      </c>
      <c r="I380" s="315">
        <v>0.0024423602969910123</v>
      </c>
      <c r="K380" s="246"/>
      <c r="L380" s="316"/>
      <c r="M380" s="317"/>
      <c r="O380" s="329" t="str">
        <f>IFERROR(__xludf.DUMMYFUNCTION("""COMPUTED_VALUE"""),"Ghost Ship - Sail 1★ #89C")</f>
        <v>Ghost Ship - Sail 1★ #89C</v>
      </c>
      <c r="P380" s="246">
        <f>IFERROR(__xludf.DUMMYFUNCTION("""COMPUTED_VALUE"""),50.0)</f>
        <v>50</v>
      </c>
      <c r="Q380" s="317"/>
    </row>
    <row r="381" ht="12.75" customHeight="1">
      <c r="G381" s="316" t="s">
        <v>1118</v>
      </c>
      <c r="H381" s="246">
        <v>50.0</v>
      </c>
      <c r="I381" s="315">
        <v>0.0024423602969910123</v>
      </c>
      <c r="K381" s="246"/>
      <c r="L381" s="316"/>
      <c r="M381" s="317"/>
      <c r="O381" s="329" t="str">
        <f>IFERROR(__xludf.DUMMYFUNCTION("""COMPUTED_VALUE"""),"Ghost Ship - Sail 1★ #351")</f>
        <v>Ghost Ship - Sail 1★ #351</v>
      </c>
      <c r="P381" s="246">
        <f>IFERROR(__xludf.DUMMYFUNCTION("""COMPUTED_VALUE"""),50.0)</f>
        <v>50</v>
      </c>
      <c r="Q381" s="317"/>
    </row>
    <row r="382" ht="12.75" customHeight="1">
      <c r="G382" s="316" t="s">
        <v>1119</v>
      </c>
      <c r="H382" s="246">
        <v>50.0</v>
      </c>
      <c r="I382" s="315">
        <v>0.0024423602969910123</v>
      </c>
      <c r="K382" s="246"/>
      <c r="L382" s="316"/>
      <c r="M382" s="317"/>
      <c r="O382" s="329" t="str">
        <f>IFERROR(__xludf.DUMMYFUNCTION("""COMPUTED_VALUE"""),"Ghost Ship - Sail 1★ #E06")</f>
        <v>Ghost Ship - Sail 1★ #E06</v>
      </c>
      <c r="P382" s="246">
        <f>IFERROR(__xludf.DUMMYFUNCTION("""COMPUTED_VALUE"""),50.0)</f>
        <v>50</v>
      </c>
      <c r="Q382" s="317"/>
    </row>
    <row r="383" ht="12.75" customHeight="1">
      <c r="G383" s="316" t="s">
        <v>1120</v>
      </c>
      <c r="H383" s="246">
        <v>50.0</v>
      </c>
      <c r="I383" s="315">
        <v>0.0024423602969910123</v>
      </c>
      <c r="K383" s="246"/>
      <c r="L383" s="316"/>
      <c r="M383" s="317"/>
      <c r="O383" s="329" t="str">
        <f>IFERROR(__xludf.DUMMYFUNCTION("""COMPUTED_VALUE"""),"Ghost Ship - Sail 1★ #8BB")</f>
        <v>Ghost Ship - Sail 1★ #8BB</v>
      </c>
      <c r="P383" s="246">
        <f>IFERROR(__xludf.DUMMYFUNCTION("""COMPUTED_VALUE"""),50.0)</f>
        <v>50</v>
      </c>
      <c r="Q383" s="317"/>
    </row>
    <row r="384" ht="12.75" customHeight="1">
      <c r="G384" s="316" t="s">
        <v>1121</v>
      </c>
      <c r="H384" s="246">
        <v>50.0</v>
      </c>
      <c r="I384" s="315">
        <v>0.0024423602969910123</v>
      </c>
      <c r="K384" s="246"/>
      <c r="L384" s="316"/>
      <c r="M384" s="317"/>
      <c r="O384" s="329" t="str">
        <f>IFERROR(__xludf.DUMMYFUNCTION("""COMPUTED_VALUE"""),"Ghost Ship - Sail 1★ #370")</f>
        <v>Ghost Ship - Sail 1★ #370</v>
      </c>
      <c r="P384" s="246">
        <f>IFERROR(__xludf.DUMMYFUNCTION("""COMPUTED_VALUE"""),50.0)</f>
        <v>50</v>
      </c>
      <c r="Q384" s="317"/>
    </row>
    <row r="385" ht="12.75" customHeight="1">
      <c r="G385" s="316" t="s">
        <v>1122</v>
      </c>
      <c r="H385" s="246">
        <v>50.0</v>
      </c>
      <c r="I385" s="315">
        <v>0.0024423602969910123</v>
      </c>
      <c r="K385" s="246"/>
      <c r="L385" s="316"/>
      <c r="M385" s="317"/>
      <c r="O385" s="329" t="str">
        <f>IFERROR(__xludf.DUMMYFUNCTION("""COMPUTED_VALUE"""),"Ghost Ship - Sail 1★ #E25")</f>
        <v>Ghost Ship - Sail 1★ #E25</v>
      </c>
      <c r="P385" s="246">
        <f>IFERROR(__xludf.DUMMYFUNCTION("""COMPUTED_VALUE"""),50.0)</f>
        <v>50</v>
      </c>
      <c r="Q385" s="317"/>
    </row>
    <row r="386" ht="12.75" customHeight="1">
      <c r="G386" s="316" t="s">
        <v>1123</v>
      </c>
      <c r="H386" s="246">
        <v>50.0</v>
      </c>
      <c r="I386" s="315">
        <v>0.0024423602969910123</v>
      </c>
      <c r="K386" s="246"/>
      <c r="L386" s="316"/>
      <c r="M386" s="317"/>
      <c r="O386" s="329" t="str">
        <f>IFERROR(__xludf.DUMMYFUNCTION("""COMPUTED_VALUE"""),"Ghost Ship - Sail 1★ #8DA")</f>
        <v>Ghost Ship - Sail 1★ #8DA</v>
      </c>
      <c r="P386" s="246">
        <f>IFERROR(__xludf.DUMMYFUNCTION("""COMPUTED_VALUE"""),50.0)</f>
        <v>50</v>
      </c>
      <c r="Q386" s="317"/>
    </row>
    <row r="387" ht="12.75" customHeight="1">
      <c r="G387" s="316" t="s">
        <v>1124</v>
      </c>
      <c r="H387" s="246">
        <v>50.0</v>
      </c>
      <c r="I387" s="315">
        <v>0.0024423602969910123</v>
      </c>
      <c r="K387" s="246"/>
      <c r="L387" s="316"/>
      <c r="M387" s="317"/>
      <c r="O387" s="329" t="str">
        <f>IFERROR(__xludf.DUMMYFUNCTION("""COMPUTED_VALUE"""),"Ghost Ship - Sail 1★ #38F")</f>
        <v>Ghost Ship - Sail 1★ #38F</v>
      </c>
      <c r="P387" s="246">
        <f>IFERROR(__xludf.DUMMYFUNCTION("""COMPUTED_VALUE"""),50.0)</f>
        <v>50</v>
      </c>
      <c r="Q387" s="317"/>
    </row>
    <row r="388" ht="12.75" customHeight="1">
      <c r="G388" s="316" t="s">
        <v>1125</v>
      </c>
      <c r="H388" s="246">
        <v>50.0</v>
      </c>
      <c r="I388" s="315">
        <v>0.0024423602969910123</v>
      </c>
      <c r="K388" s="246"/>
      <c r="L388" s="316"/>
      <c r="M388" s="317"/>
      <c r="O388" s="329" t="str">
        <f>IFERROR(__xludf.DUMMYFUNCTION("""COMPUTED_VALUE"""),"Ghost Ship - Sail 1★ #E44")</f>
        <v>Ghost Ship - Sail 1★ #E44</v>
      </c>
      <c r="P388" s="246">
        <f>IFERROR(__xludf.DUMMYFUNCTION("""COMPUTED_VALUE"""),50.0)</f>
        <v>50</v>
      </c>
      <c r="Q388" s="317"/>
    </row>
    <row r="389" ht="12.75" customHeight="1">
      <c r="G389" s="316" t="s">
        <v>1126</v>
      </c>
      <c r="H389" s="246">
        <v>50.0</v>
      </c>
      <c r="I389" s="315">
        <v>0.0024423602969910123</v>
      </c>
      <c r="K389" s="246"/>
      <c r="L389" s="316"/>
      <c r="M389" s="317"/>
      <c r="O389" s="329" t="str">
        <f>IFERROR(__xludf.DUMMYFUNCTION("""COMPUTED_VALUE"""),"Ghost Ship - Sail 1★ #8F9")</f>
        <v>Ghost Ship - Sail 1★ #8F9</v>
      </c>
      <c r="P389" s="246">
        <f>IFERROR(__xludf.DUMMYFUNCTION("""COMPUTED_VALUE"""),50.0)</f>
        <v>50</v>
      </c>
      <c r="Q389" s="317"/>
    </row>
    <row r="390" ht="12.75" customHeight="1">
      <c r="G390" s="316" t="s">
        <v>1127</v>
      </c>
      <c r="H390" s="246">
        <v>20.0</v>
      </c>
      <c r="I390" s="315">
        <v>9.769441187964048E-4</v>
      </c>
      <c r="K390" s="246"/>
      <c r="L390" s="316"/>
      <c r="M390" s="317"/>
      <c r="O390" s="329" t="str">
        <f>IFERROR(__xludf.DUMMYFUNCTION("""COMPUTED_VALUE"""),"Ghost Ship - Ghost Lamp 2★ #3AE")</f>
        <v>Ghost Ship - Ghost Lamp 2★ #3AE</v>
      </c>
      <c r="P390" s="246">
        <f>IFERROR(__xludf.DUMMYFUNCTION("""COMPUTED_VALUE"""),20.0)</f>
        <v>20</v>
      </c>
      <c r="Q390" s="317"/>
    </row>
    <row r="391" ht="12.75" customHeight="1">
      <c r="G391" s="316" t="s">
        <v>1128</v>
      </c>
      <c r="H391" s="246">
        <v>20.0</v>
      </c>
      <c r="I391" s="315">
        <v>9.769441187964048E-4</v>
      </c>
      <c r="K391" s="246"/>
      <c r="L391" s="316"/>
      <c r="M391" s="317"/>
      <c r="O391" s="329" t="str">
        <f>IFERROR(__xludf.DUMMYFUNCTION("""COMPUTED_VALUE"""),"Ghost Ship - Ghost Lamp 2★ #E63")</f>
        <v>Ghost Ship - Ghost Lamp 2★ #E63</v>
      </c>
      <c r="P391" s="246">
        <f>IFERROR(__xludf.DUMMYFUNCTION("""COMPUTED_VALUE"""),20.0)</f>
        <v>20</v>
      </c>
      <c r="Q391" s="317"/>
    </row>
    <row r="392" ht="12.75" customHeight="1">
      <c r="G392" s="316" t="s">
        <v>1129</v>
      </c>
      <c r="H392" s="246">
        <v>20.0</v>
      </c>
      <c r="I392" s="315">
        <v>9.769441187964048E-4</v>
      </c>
      <c r="K392" s="246"/>
      <c r="L392" s="316"/>
      <c r="M392" s="317"/>
      <c r="O392" s="329" t="str">
        <f>IFERROR(__xludf.DUMMYFUNCTION("""COMPUTED_VALUE"""),"Ghost Ship - Ghost Lamp 2★ #918")</f>
        <v>Ghost Ship - Ghost Lamp 2★ #918</v>
      </c>
      <c r="P392" s="246">
        <f>IFERROR(__xludf.DUMMYFUNCTION("""COMPUTED_VALUE"""),20.0)</f>
        <v>20</v>
      </c>
      <c r="Q392" s="317"/>
    </row>
    <row r="393" ht="12.75" customHeight="1">
      <c r="G393" s="316" t="s">
        <v>1130</v>
      </c>
      <c r="H393" s="246">
        <v>20.0</v>
      </c>
      <c r="I393" s="315">
        <v>9.769441187964048E-4</v>
      </c>
      <c r="K393" s="246"/>
      <c r="L393" s="316"/>
      <c r="M393" s="317"/>
      <c r="O393" s="329" t="str">
        <f>IFERROR(__xludf.DUMMYFUNCTION("""COMPUTED_VALUE"""),"Ghost Ship - Ghost Lamp 2★ #3CD")</f>
        <v>Ghost Ship - Ghost Lamp 2★ #3CD</v>
      </c>
      <c r="P393" s="246">
        <f>IFERROR(__xludf.DUMMYFUNCTION("""COMPUTED_VALUE"""),20.0)</f>
        <v>20</v>
      </c>
      <c r="Q393" s="317"/>
    </row>
    <row r="394" ht="12.75" customHeight="1">
      <c r="G394" s="316" t="s">
        <v>1131</v>
      </c>
      <c r="H394" s="246">
        <v>20.0</v>
      </c>
      <c r="I394" s="315">
        <v>9.769441187964048E-4</v>
      </c>
      <c r="K394" s="246"/>
      <c r="L394" s="316"/>
      <c r="M394" s="317"/>
      <c r="O394" s="329" t="str">
        <f>IFERROR(__xludf.DUMMYFUNCTION("""COMPUTED_VALUE"""),"Ghost Ship - Ghost Lamp 2★ #E82")</f>
        <v>Ghost Ship - Ghost Lamp 2★ #E82</v>
      </c>
      <c r="P394" s="246">
        <f>IFERROR(__xludf.DUMMYFUNCTION("""COMPUTED_VALUE"""),20.0)</f>
        <v>20</v>
      </c>
      <c r="Q394" s="317"/>
    </row>
    <row r="395" ht="12.75" customHeight="1">
      <c r="G395" s="316" t="s">
        <v>1132</v>
      </c>
      <c r="H395" s="246">
        <v>20.0</v>
      </c>
      <c r="I395" s="315">
        <v>9.769441187964048E-4</v>
      </c>
      <c r="K395" s="246"/>
      <c r="L395" s="316"/>
      <c r="M395" s="317"/>
      <c r="O395" s="329" t="str">
        <f>IFERROR(__xludf.DUMMYFUNCTION("""COMPUTED_VALUE"""),"Ghost Ship - Ghost Lamp 2★ #937")</f>
        <v>Ghost Ship - Ghost Lamp 2★ #937</v>
      </c>
      <c r="P395" s="246">
        <f>IFERROR(__xludf.DUMMYFUNCTION("""COMPUTED_VALUE"""),20.0)</f>
        <v>20</v>
      </c>
      <c r="Q395" s="317"/>
    </row>
    <row r="396" ht="12.75" customHeight="1">
      <c r="G396" s="316" t="s">
        <v>1133</v>
      </c>
      <c r="H396" s="246">
        <v>20.0</v>
      </c>
      <c r="I396" s="315">
        <v>9.769441187964048E-4</v>
      </c>
      <c r="K396" s="246"/>
      <c r="L396" s="316"/>
      <c r="M396" s="317"/>
      <c r="O396" s="329" t="str">
        <f>IFERROR(__xludf.DUMMYFUNCTION("""COMPUTED_VALUE"""),"Ghost Ship - Ghost Lamp 2★ #3EC")</f>
        <v>Ghost Ship - Ghost Lamp 2★ #3EC</v>
      </c>
      <c r="P396" s="246">
        <f>IFERROR(__xludf.DUMMYFUNCTION("""COMPUTED_VALUE"""),20.0)</f>
        <v>20</v>
      </c>
      <c r="Q396" s="317"/>
    </row>
    <row r="397" ht="12.75" customHeight="1">
      <c r="G397" s="316" t="s">
        <v>1134</v>
      </c>
      <c r="H397" s="246">
        <v>20.0</v>
      </c>
      <c r="I397" s="315">
        <v>9.769441187964048E-4</v>
      </c>
      <c r="K397" s="246"/>
      <c r="L397" s="316"/>
      <c r="M397" s="317"/>
      <c r="O397" s="329" t="str">
        <f>IFERROR(__xludf.DUMMYFUNCTION("""COMPUTED_VALUE"""),"Ghost Ship - Ghost Lamp 2★ #EA1")</f>
        <v>Ghost Ship - Ghost Lamp 2★ #EA1</v>
      </c>
      <c r="P397" s="246">
        <f>IFERROR(__xludf.DUMMYFUNCTION("""COMPUTED_VALUE"""),20.0)</f>
        <v>20</v>
      </c>
      <c r="Q397" s="317"/>
    </row>
    <row r="398" ht="12.75" customHeight="1">
      <c r="G398" s="316" t="s">
        <v>1135</v>
      </c>
      <c r="H398" s="246">
        <v>20.0</v>
      </c>
      <c r="I398" s="315">
        <v>9.769441187964048E-4</v>
      </c>
      <c r="K398" s="246"/>
      <c r="L398" s="316"/>
      <c r="M398" s="317"/>
      <c r="O398" s="329" t="str">
        <f>IFERROR(__xludf.DUMMYFUNCTION("""COMPUTED_VALUE"""),"Ghost Ship - Ghost Lamp 2★ #956")</f>
        <v>Ghost Ship - Ghost Lamp 2★ #956</v>
      </c>
      <c r="P398" s="246">
        <f>IFERROR(__xludf.DUMMYFUNCTION("""COMPUTED_VALUE"""),20.0)</f>
        <v>20</v>
      </c>
      <c r="Q398" s="317"/>
    </row>
    <row r="399" ht="12.75" customHeight="1">
      <c r="G399" s="316" t="s">
        <v>1136</v>
      </c>
      <c r="H399" s="246">
        <v>20.0</v>
      </c>
      <c r="I399" s="315">
        <v>9.769441187964048E-4</v>
      </c>
      <c r="K399" s="246"/>
      <c r="L399" s="316"/>
      <c r="M399" s="317"/>
      <c r="O399" s="329" t="str">
        <f>IFERROR(__xludf.DUMMYFUNCTION("""COMPUTED_VALUE"""),"Ghost Ship - Ghost Lamp 2★ #40B")</f>
        <v>Ghost Ship - Ghost Lamp 2★ #40B</v>
      </c>
      <c r="P399" s="246">
        <f>IFERROR(__xludf.DUMMYFUNCTION("""COMPUTED_VALUE"""),20.0)</f>
        <v>20</v>
      </c>
      <c r="Q399" s="317"/>
    </row>
    <row r="400" ht="12.75" customHeight="1">
      <c r="G400" s="316" t="s">
        <v>1137</v>
      </c>
      <c r="H400" s="246">
        <v>20.0</v>
      </c>
      <c r="I400" s="315">
        <v>9.769441187964048E-4</v>
      </c>
      <c r="K400" s="246"/>
      <c r="L400" s="316"/>
      <c r="M400" s="317"/>
      <c r="O400" s="329" t="str">
        <f>IFERROR(__xludf.DUMMYFUNCTION("""COMPUTED_VALUE"""),"Ghost Ship - Ghost Lamp 2★ #EC0")</f>
        <v>Ghost Ship - Ghost Lamp 2★ #EC0</v>
      </c>
      <c r="P400" s="246">
        <f>IFERROR(__xludf.DUMMYFUNCTION("""COMPUTED_VALUE"""),20.0)</f>
        <v>20</v>
      </c>
      <c r="Q400" s="317"/>
    </row>
    <row r="401" ht="12.75" customHeight="1">
      <c r="G401" s="316" t="s">
        <v>1138</v>
      </c>
      <c r="H401" s="246">
        <v>20.0</v>
      </c>
      <c r="I401" s="315">
        <v>9.769441187964048E-4</v>
      </c>
      <c r="K401" s="246"/>
      <c r="L401" s="316"/>
      <c r="M401" s="317"/>
      <c r="O401" s="329" t="str">
        <f>IFERROR(__xludf.DUMMYFUNCTION("""COMPUTED_VALUE"""),"Ghost Ship - Ghost Lamp 2★ #975")</f>
        <v>Ghost Ship - Ghost Lamp 2★ #975</v>
      </c>
      <c r="P401" s="246">
        <f>IFERROR(__xludf.DUMMYFUNCTION("""COMPUTED_VALUE"""),20.0)</f>
        <v>20</v>
      </c>
      <c r="Q401" s="317"/>
    </row>
    <row r="402" ht="12.75" customHeight="1">
      <c r="G402" s="316" t="s">
        <v>1139</v>
      </c>
      <c r="H402" s="246">
        <v>20.0</v>
      </c>
      <c r="I402" s="315">
        <v>9.769441187964048E-4</v>
      </c>
      <c r="K402" s="246"/>
      <c r="L402" s="316"/>
      <c r="M402" s="317"/>
      <c r="O402" s="329" t="str">
        <f>IFERROR(__xludf.DUMMYFUNCTION("""COMPUTED_VALUE"""),"Ghost Ship - Ghost Lamp 2★ #42A")</f>
        <v>Ghost Ship - Ghost Lamp 2★ #42A</v>
      </c>
      <c r="P402" s="246">
        <f>IFERROR(__xludf.DUMMYFUNCTION("""COMPUTED_VALUE"""),20.0)</f>
        <v>20</v>
      </c>
      <c r="Q402" s="317"/>
    </row>
    <row r="403" ht="12.75" customHeight="1">
      <c r="G403" s="316" t="s">
        <v>1140</v>
      </c>
      <c r="H403" s="246">
        <v>20.0</v>
      </c>
      <c r="I403" s="315">
        <v>9.769441187964048E-4</v>
      </c>
      <c r="K403" s="246"/>
      <c r="L403" s="316"/>
      <c r="M403" s="317"/>
      <c r="O403" s="329" t="str">
        <f>IFERROR(__xludf.DUMMYFUNCTION("""COMPUTED_VALUE"""),"Ghost Ship - Key 2★ #EDF")</f>
        <v>Ghost Ship - Key 2★ #EDF</v>
      </c>
      <c r="P403" s="246">
        <f>IFERROR(__xludf.DUMMYFUNCTION("""COMPUTED_VALUE"""),20.0)</f>
        <v>20</v>
      </c>
      <c r="Q403" s="317"/>
    </row>
    <row r="404" ht="12.75" customHeight="1">
      <c r="G404" s="316" t="s">
        <v>1141</v>
      </c>
      <c r="H404" s="246">
        <v>20.0</v>
      </c>
      <c r="I404" s="315">
        <v>9.769441187964048E-4</v>
      </c>
      <c r="K404" s="246"/>
      <c r="L404" s="316"/>
      <c r="M404" s="317"/>
      <c r="O404" s="329" t="str">
        <f>IFERROR(__xludf.DUMMYFUNCTION("""COMPUTED_VALUE"""),"Ghost Ship - Key 2★ #994")</f>
        <v>Ghost Ship - Key 2★ #994</v>
      </c>
      <c r="P404" s="246">
        <f>IFERROR(__xludf.DUMMYFUNCTION("""COMPUTED_VALUE"""),20.0)</f>
        <v>20</v>
      </c>
      <c r="Q404" s="317"/>
    </row>
    <row r="405" ht="12.75" customHeight="1">
      <c r="G405" s="316" t="s">
        <v>1142</v>
      </c>
      <c r="H405" s="246">
        <v>20.0</v>
      </c>
      <c r="I405" s="315">
        <v>9.769441187964048E-4</v>
      </c>
      <c r="K405" s="246"/>
      <c r="L405" s="316"/>
      <c r="M405" s="317"/>
      <c r="O405" s="329" t="str">
        <f>IFERROR(__xludf.DUMMYFUNCTION("""COMPUTED_VALUE"""),"Ghost Ship - Key 2★ #449")</f>
        <v>Ghost Ship - Key 2★ #449</v>
      </c>
      <c r="P405" s="246">
        <f>IFERROR(__xludf.DUMMYFUNCTION("""COMPUTED_VALUE"""),20.0)</f>
        <v>20</v>
      </c>
      <c r="Q405" s="317"/>
    </row>
    <row r="406" ht="12.75" customHeight="1">
      <c r="G406" s="316" t="s">
        <v>1143</v>
      </c>
      <c r="H406" s="246">
        <v>20.0</v>
      </c>
      <c r="I406" s="315">
        <v>9.769441187964048E-4</v>
      </c>
      <c r="K406" s="246"/>
      <c r="L406" s="316"/>
      <c r="M406" s="317"/>
      <c r="O406" s="329" t="str">
        <f>IFERROR(__xludf.DUMMYFUNCTION("""COMPUTED_VALUE"""),"Ghost Ship - Key 2★ #EFE")</f>
        <v>Ghost Ship - Key 2★ #EFE</v>
      </c>
      <c r="P406" s="246">
        <f>IFERROR(__xludf.DUMMYFUNCTION("""COMPUTED_VALUE"""),20.0)</f>
        <v>20</v>
      </c>
      <c r="Q406" s="317"/>
    </row>
    <row r="407" ht="12.75" customHeight="1">
      <c r="G407" s="316" t="s">
        <v>1144</v>
      </c>
      <c r="H407" s="246">
        <v>20.0</v>
      </c>
      <c r="I407" s="315">
        <v>9.769441187964048E-4</v>
      </c>
      <c r="K407" s="246"/>
      <c r="L407" s="316"/>
      <c r="M407" s="317"/>
      <c r="O407" s="329" t="str">
        <f>IFERROR(__xludf.DUMMYFUNCTION("""COMPUTED_VALUE"""),"Ghost Ship - Key 2★ #9B3")</f>
        <v>Ghost Ship - Key 2★ #9B3</v>
      </c>
      <c r="P407" s="246">
        <f>IFERROR(__xludf.DUMMYFUNCTION("""COMPUTED_VALUE"""),20.0)</f>
        <v>20</v>
      </c>
      <c r="Q407" s="317"/>
    </row>
    <row r="408" ht="12.75" customHeight="1">
      <c r="G408" s="316" t="s">
        <v>1145</v>
      </c>
      <c r="H408" s="246">
        <v>20.0</v>
      </c>
      <c r="I408" s="315">
        <v>9.769441187964048E-4</v>
      </c>
      <c r="K408" s="246"/>
      <c r="L408" s="316"/>
      <c r="M408" s="317"/>
      <c r="O408" s="329" t="str">
        <f>IFERROR(__xludf.DUMMYFUNCTION("""COMPUTED_VALUE"""),"Ghost Ship - Key 2★ #468")</f>
        <v>Ghost Ship - Key 2★ #468</v>
      </c>
      <c r="P408" s="246">
        <f>IFERROR(__xludf.DUMMYFUNCTION("""COMPUTED_VALUE"""),20.0)</f>
        <v>20</v>
      </c>
      <c r="Q408" s="317"/>
    </row>
    <row r="409" ht="12.75" customHeight="1">
      <c r="G409" s="316" t="s">
        <v>1146</v>
      </c>
      <c r="H409" s="246">
        <v>20.0</v>
      </c>
      <c r="I409" s="315">
        <v>9.769441187964048E-4</v>
      </c>
      <c r="K409" s="246"/>
      <c r="L409" s="316"/>
      <c r="M409" s="317"/>
      <c r="O409" s="329" t="str">
        <f>IFERROR(__xludf.DUMMYFUNCTION("""COMPUTED_VALUE"""),"Ghost Ship - Key 2★ #F1D")</f>
        <v>Ghost Ship - Key 2★ #F1D</v>
      </c>
      <c r="P409" s="246">
        <f>IFERROR(__xludf.DUMMYFUNCTION("""COMPUTED_VALUE"""),20.0)</f>
        <v>20</v>
      </c>
      <c r="Q409" s="317"/>
    </row>
    <row r="410" ht="12.75" customHeight="1">
      <c r="G410" s="316" t="s">
        <v>1147</v>
      </c>
      <c r="H410" s="246">
        <v>20.0</v>
      </c>
      <c r="I410" s="315">
        <v>9.769441187964048E-4</v>
      </c>
      <c r="K410" s="246"/>
      <c r="L410" s="316"/>
      <c r="M410" s="317"/>
      <c r="O410" s="329" t="str">
        <f>IFERROR(__xludf.DUMMYFUNCTION("""COMPUTED_VALUE"""),"Ghost Ship - Key 2★ #9D2")</f>
        <v>Ghost Ship - Key 2★ #9D2</v>
      </c>
      <c r="P410" s="246">
        <f>IFERROR(__xludf.DUMMYFUNCTION("""COMPUTED_VALUE"""),20.0)</f>
        <v>20</v>
      </c>
      <c r="Q410" s="317"/>
    </row>
    <row r="411" ht="12.75" customHeight="1">
      <c r="G411" s="316" t="s">
        <v>1148</v>
      </c>
      <c r="H411" s="246">
        <v>20.0</v>
      </c>
      <c r="I411" s="315">
        <v>9.769441187964048E-4</v>
      </c>
      <c r="K411" s="246"/>
      <c r="L411" s="316"/>
      <c r="M411" s="317"/>
      <c r="O411" s="329" t="str">
        <f>IFERROR(__xludf.DUMMYFUNCTION("""COMPUTED_VALUE"""),"Ghost Ship - Key 2★ #487")</f>
        <v>Ghost Ship - Key 2★ #487</v>
      </c>
      <c r="P411" s="246">
        <f>IFERROR(__xludf.DUMMYFUNCTION("""COMPUTED_VALUE"""),20.0)</f>
        <v>20</v>
      </c>
      <c r="Q411" s="317"/>
    </row>
    <row r="412" ht="12.75" customHeight="1">
      <c r="G412" s="316" t="s">
        <v>1149</v>
      </c>
      <c r="H412" s="246">
        <v>20.0</v>
      </c>
      <c r="I412" s="315">
        <v>9.769441187964048E-4</v>
      </c>
      <c r="K412" s="246"/>
      <c r="L412" s="316"/>
      <c r="M412" s="317"/>
      <c r="O412" s="329" t="str">
        <f>IFERROR(__xludf.DUMMYFUNCTION("""COMPUTED_VALUE"""),"Ghost Ship - Key 2★ #F3C")</f>
        <v>Ghost Ship - Key 2★ #F3C</v>
      </c>
      <c r="P412" s="246">
        <f>IFERROR(__xludf.DUMMYFUNCTION("""COMPUTED_VALUE"""),20.0)</f>
        <v>20</v>
      </c>
      <c r="Q412" s="317"/>
    </row>
    <row r="413" ht="12.75" customHeight="1">
      <c r="G413" s="316" t="s">
        <v>1150</v>
      </c>
      <c r="H413" s="246">
        <v>20.0</v>
      </c>
      <c r="I413" s="315">
        <v>9.769441187964048E-4</v>
      </c>
      <c r="K413" s="246"/>
      <c r="L413" s="316"/>
      <c r="M413" s="317"/>
      <c r="O413" s="329" t="str">
        <f>IFERROR(__xludf.DUMMYFUNCTION("""COMPUTED_VALUE"""),"Ghost Ship - Key 2★ #9F1")</f>
        <v>Ghost Ship - Key 2★ #9F1</v>
      </c>
      <c r="P413" s="246">
        <f>IFERROR(__xludf.DUMMYFUNCTION("""COMPUTED_VALUE"""),20.0)</f>
        <v>20</v>
      </c>
      <c r="Q413" s="317"/>
    </row>
    <row r="414" ht="12.75" customHeight="1">
      <c r="G414" s="316" t="s">
        <v>1151</v>
      </c>
      <c r="H414" s="246">
        <v>20.0</v>
      </c>
      <c r="I414" s="315">
        <v>9.769441187964048E-4</v>
      </c>
      <c r="K414" s="246"/>
      <c r="L414" s="316"/>
      <c r="M414" s="317"/>
      <c r="O414" s="329" t="str">
        <f>IFERROR(__xludf.DUMMYFUNCTION("""COMPUTED_VALUE"""),"Ghost Ship - Key 2★ #4A6")</f>
        <v>Ghost Ship - Key 2★ #4A6</v>
      </c>
      <c r="P414" s="246">
        <f>IFERROR(__xludf.DUMMYFUNCTION("""COMPUTED_VALUE"""),20.0)</f>
        <v>20</v>
      </c>
      <c r="Q414" s="317"/>
    </row>
    <row r="415" ht="12.75" customHeight="1">
      <c r="G415" s="316" t="s">
        <v>1152</v>
      </c>
      <c r="H415" s="246">
        <v>20.0</v>
      </c>
      <c r="I415" s="315">
        <v>9.769441187964048E-4</v>
      </c>
      <c r="K415" s="246"/>
      <c r="L415" s="316"/>
      <c r="M415" s="317"/>
      <c r="O415" s="329" t="str">
        <f>IFERROR(__xludf.DUMMYFUNCTION("""COMPUTED_VALUE"""),"Ghost Ship - Key 2★ #F5B")</f>
        <v>Ghost Ship - Key 2★ #F5B</v>
      </c>
      <c r="P415" s="246">
        <f>IFERROR(__xludf.DUMMYFUNCTION("""COMPUTED_VALUE"""),20.0)</f>
        <v>20</v>
      </c>
      <c r="Q415" s="317"/>
    </row>
    <row r="416" ht="12.75" customHeight="1">
      <c r="G416" s="316" t="s">
        <v>1153</v>
      </c>
      <c r="H416" s="246">
        <v>10.0</v>
      </c>
      <c r="I416" s="315">
        <v>4.884720593982024E-4</v>
      </c>
      <c r="K416" s="246"/>
      <c r="L416" s="316"/>
      <c r="M416" s="317"/>
      <c r="O416" s="329" t="str">
        <f>IFERROR(__xludf.DUMMYFUNCTION("""COMPUTED_VALUE"""),"Ghost Ship - Plank 3★ #A10")</f>
        <v>Ghost Ship - Plank 3★ #A10</v>
      </c>
      <c r="P416" s="246">
        <f>IFERROR(__xludf.DUMMYFUNCTION("""COMPUTED_VALUE"""),10.0)</f>
        <v>10</v>
      </c>
      <c r="Q416" s="317"/>
    </row>
    <row r="417" ht="12.75" customHeight="1">
      <c r="G417" s="316" t="s">
        <v>1154</v>
      </c>
      <c r="H417" s="246">
        <v>10.0</v>
      </c>
      <c r="I417" s="315">
        <v>4.884720593982024E-4</v>
      </c>
      <c r="K417" s="246"/>
      <c r="L417" s="316"/>
      <c r="M417" s="317"/>
      <c r="O417" s="329" t="str">
        <f>IFERROR(__xludf.DUMMYFUNCTION("""COMPUTED_VALUE"""),"Ghost Ship - Plank 3★ #4C5")</f>
        <v>Ghost Ship - Plank 3★ #4C5</v>
      </c>
      <c r="P417" s="246">
        <f>IFERROR(__xludf.DUMMYFUNCTION("""COMPUTED_VALUE"""),10.0)</f>
        <v>10</v>
      </c>
      <c r="Q417" s="317"/>
    </row>
    <row r="418" ht="12.75" customHeight="1">
      <c r="G418" s="316" t="s">
        <v>1155</v>
      </c>
      <c r="H418" s="246">
        <v>10.0</v>
      </c>
      <c r="I418" s="315">
        <v>4.884720593982024E-4</v>
      </c>
      <c r="K418" s="246"/>
      <c r="L418" s="316"/>
      <c r="M418" s="317"/>
      <c r="O418" s="329" t="str">
        <f>IFERROR(__xludf.DUMMYFUNCTION("""COMPUTED_VALUE"""),"Ghost Ship - Plank 3★ #F7A")</f>
        <v>Ghost Ship - Plank 3★ #F7A</v>
      </c>
      <c r="P418" s="246">
        <f>IFERROR(__xludf.DUMMYFUNCTION("""COMPUTED_VALUE"""),10.0)</f>
        <v>10</v>
      </c>
      <c r="Q418" s="317"/>
    </row>
    <row r="419" ht="12.75" customHeight="1">
      <c r="G419" s="316" t="s">
        <v>1156</v>
      </c>
      <c r="H419" s="246">
        <v>10.0</v>
      </c>
      <c r="I419" s="315">
        <v>4.884720593982024E-4</v>
      </c>
      <c r="K419" s="246"/>
      <c r="L419" s="316"/>
      <c r="M419" s="317"/>
      <c r="O419" s="329" t="str">
        <f>IFERROR(__xludf.DUMMYFUNCTION("""COMPUTED_VALUE"""),"Ghost Ship - Plank 3★ #A2F")</f>
        <v>Ghost Ship - Plank 3★ #A2F</v>
      </c>
      <c r="P419" s="246">
        <f>IFERROR(__xludf.DUMMYFUNCTION("""COMPUTED_VALUE"""),10.0)</f>
        <v>10</v>
      </c>
      <c r="Q419" s="317"/>
    </row>
    <row r="420" ht="12.75" customHeight="1">
      <c r="G420" s="316" t="s">
        <v>1157</v>
      </c>
      <c r="H420" s="246">
        <v>10.0</v>
      </c>
      <c r="I420" s="315">
        <v>4.884720593982024E-4</v>
      </c>
      <c r="K420" s="246"/>
      <c r="L420" s="316"/>
      <c r="M420" s="317"/>
      <c r="O420" s="329" t="str">
        <f>IFERROR(__xludf.DUMMYFUNCTION("""COMPUTED_VALUE"""),"Ghost Ship - Plank 3★ #4E4")</f>
        <v>Ghost Ship - Plank 3★ #4E4</v>
      </c>
      <c r="P420" s="246">
        <f>IFERROR(__xludf.DUMMYFUNCTION("""COMPUTED_VALUE"""),10.0)</f>
        <v>10</v>
      </c>
      <c r="Q420" s="317"/>
    </row>
    <row r="421" ht="12.75" customHeight="1">
      <c r="G421" s="316" t="s">
        <v>1158</v>
      </c>
      <c r="H421" s="246">
        <v>10.0</v>
      </c>
      <c r="I421" s="315">
        <v>4.884720593982024E-4</v>
      </c>
      <c r="K421" s="246"/>
      <c r="L421" s="316"/>
      <c r="M421" s="317"/>
      <c r="O421" s="329" t="str">
        <f>IFERROR(__xludf.DUMMYFUNCTION("""COMPUTED_VALUE"""),"Ghost Ship - Plank 3★ #F99")</f>
        <v>Ghost Ship - Plank 3★ #F99</v>
      </c>
      <c r="P421" s="246">
        <f>IFERROR(__xludf.DUMMYFUNCTION("""COMPUTED_VALUE"""),10.0)</f>
        <v>10</v>
      </c>
      <c r="Q421" s="317"/>
    </row>
    <row r="422" ht="12.75" customHeight="1">
      <c r="G422" s="316" t="s">
        <v>1159</v>
      </c>
      <c r="H422" s="246">
        <v>10.0</v>
      </c>
      <c r="I422" s="315">
        <v>4.884720593982024E-4</v>
      </c>
      <c r="K422" s="246"/>
      <c r="L422" s="316"/>
      <c r="M422" s="317"/>
      <c r="O422" s="329" t="str">
        <f>IFERROR(__xludf.DUMMYFUNCTION("""COMPUTED_VALUE"""),"Ghost Ship - Plank 3★ #A4E")</f>
        <v>Ghost Ship - Plank 3★ #A4E</v>
      </c>
      <c r="P422" s="246">
        <f>IFERROR(__xludf.DUMMYFUNCTION("""COMPUTED_VALUE"""),10.0)</f>
        <v>10</v>
      </c>
      <c r="Q422" s="317"/>
    </row>
    <row r="423" ht="12.75" customHeight="1">
      <c r="G423" s="316" t="s">
        <v>1160</v>
      </c>
      <c r="H423" s="246">
        <v>10.0</v>
      </c>
      <c r="I423" s="315">
        <v>4.884720593982024E-4</v>
      </c>
      <c r="K423" s="246"/>
      <c r="L423" s="316"/>
      <c r="M423" s="317"/>
      <c r="O423" s="329" t="str">
        <f>IFERROR(__xludf.DUMMYFUNCTION("""COMPUTED_VALUE"""),"Ghost Ship - Plank 3★ #503")</f>
        <v>Ghost Ship - Plank 3★ #503</v>
      </c>
      <c r="P423" s="246">
        <f>IFERROR(__xludf.DUMMYFUNCTION("""COMPUTED_VALUE"""),10.0)</f>
        <v>10</v>
      </c>
      <c r="Q423" s="317"/>
    </row>
    <row r="424" ht="12.75" customHeight="1">
      <c r="G424" s="316" t="s">
        <v>1161</v>
      </c>
      <c r="H424" s="246">
        <v>10.0</v>
      </c>
      <c r="I424" s="315">
        <v>4.884720593982024E-4</v>
      </c>
      <c r="K424" s="246"/>
      <c r="L424" s="316"/>
      <c r="M424" s="317"/>
      <c r="O424" s="329" t="str">
        <f>IFERROR(__xludf.DUMMYFUNCTION("""COMPUTED_VALUE"""),"Ghost Ship - Plank 3★ #FB8")</f>
        <v>Ghost Ship - Plank 3★ #FB8</v>
      </c>
      <c r="P424" s="246">
        <f>IFERROR(__xludf.DUMMYFUNCTION("""COMPUTED_VALUE"""),10.0)</f>
        <v>10</v>
      </c>
      <c r="Q424" s="317"/>
    </row>
    <row r="425" ht="12.75" customHeight="1">
      <c r="G425" s="316" t="s">
        <v>1162</v>
      </c>
      <c r="H425" s="246">
        <v>10.0</v>
      </c>
      <c r="I425" s="315">
        <v>4.884720593982024E-4</v>
      </c>
      <c r="K425" s="246"/>
      <c r="L425" s="316"/>
      <c r="M425" s="317"/>
      <c r="O425" s="329" t="str">
        <f>IFERROR(__xludf.DUMMYFUNCTION("""COMPUTED_VALUE"""),"Ghost Ship - Plank 3★ #A6D")</f>
        <v>Ghost Ship - Plank 3★ #A6D</v>
      </c>
      <c r="P425" s="246">
        <f>IFERROR(__xludf.DUMMYFUNCTION("""COMPUTED_VALUE"""),10.0)</f>
        <v>10</v>
      </c>
      <c r="Q425" s="317"/>
    </row>
    <row r="426" ht="12.75" customHeight="1">
      <c r="G426" s="316" t="s">
        <v>1163</v>
      </c>
      <c r="H426" s="246">
        <v>10.0</v>
      </c>
      <c r="I426" s="315">
        <v>4.884720593982024E-4</v>
      </c>
      <c r="K426" s="246"/>
      <c r="L426" s="316"/>
      <c r="M426" s="317"/>
      <c r="O426" s="329" t="str">
        <f>IFERROR(__xludf.DUMMYFUNCTION("""COMPUTED_VALUE"""),"Ghost Ship - Plank 3★ #522")</f>
        <v>Ghost Ship - Plank 3★ #522</v>
      </c>
      <c r="P426" s="246">
        <f>IFERROR(__xludf.DUMMYFUNCTION("""COMPUTED_VALUE"""),10.0)</f>
        <v>10</v>
      </c>
      <c r="Q426" s="317"/>
    </row>
    <row r="427" ht="12.75" customHeight="1">
      <c r="G427" s="316" t="s">
        <v>1164</v>
      </c>
      <c r="H427" s="246">
        <v>10.0</v>
      </c>
      <c r="I427" s="315">
        <v>4.884720593982024E-4</v>
      </c>
      <c r="K427" s="246"/>
      <c r="L427" s="316"/>
      <c r="M427" s="317"/>
      <c r="O427" s="329" t="str">
        <f>IFERROR(__xludf.DUMMYFUNCTION("""COMPUTED_VALUE"""),"Ghost Ship - Plank 3★ #FD7")</f>
        <v>Ghost Ship - Plank 3★ #FD7</v>
      </c>
      <c r="P427" s="246">
        <f>IFERROR(__xludf.DUMMYFUNCTION("""COMPUTED_VALUE"""),10.0)</f>
        <v>10</v>
      </c>
      <c r="Q427" s="317"/>
    </row>
    <row r="428" ht="12.75" customHeight="1">
      <c r="G428" s="316" t="s">
        <v>1165</v>
      </c>
      <c r="H428" s="246">
        <v>10.0</v>
      </c>
      <c r="I428" s="315">
        <v>4.884720593982024E-4</v>
      </c>
      <c r="K428" s="246"/>
      <c r="L428" s="316"/>
      <c r="M428" s="317"/>
      <c r="O428" s="329" t="str">
        <f>IFERROR(__xludf.DUMMYFUNCTION("""COMPUTED_VALUE"""),"Ghost Ship - Plank 3★ #A8C")</f>
        <v>Ghost Ship - Plank 3★ #A8C</v>
      </c>
      <c r="P428" s="246">
        <f>IFERROR(__xludf.DUMMYFUNCTION("""COMPUTED_VALUE"""),10.0)</f>
        <v>10</v>
      </c>
      <c r="Q428" s="317"/>
    </row>
    <row r="429" ht="12.75" customHeight="1">
      <c r="G429" s="316" t="s">
        <v>1166</v>
      </c>
      <c r="H429" s="246">
        <v>10.0</v>
      </c>
      <c r="I429" s="315">
        <v>4.884720593982024E-4</v>
      </c>
      <c r="K429" s="246"/>
      <c r="L429" s="316"/>
      <c r="M429" s="317"/>
      <c r="O429" s="329" t="str">
        <f>IFERROR(__xludf.DUMMYFUNCTION("""COMPUTED_VALUE"""),"Ghost Ship - Nest 3★ #541")</f>
        <v>Ghost Ship - Nest 3★ #541</v>
      </c>
      <c r="P429" s="246">
        <f>IFERROR(__xludf.DUMMYFUNCTION("""COMPUTED_VALUE"""),10.0)</f>
        <v>10</v>
      </c>
      <c r="Q429" s="317"/>
    </row>
    <row r="430" ht="12.75" customHeight="1">
      <c r="G430" s="316" t="s">
        <v>1167</v>
      </c>
      <c r="H430" s="246">
        <v>10.0</v>
      </c>
      <c r="I430" s="315">
        <v>4.884720593982024E-4</v>
      </c>
      <c r="K430" s="246"/>
      <c r="L430" s="316"/>
      <c r="M430" s="317"/>
      <c r="O430" s="329" t="str">
        <f>IFERROR(__xludf.DUMMYFUNCTION("""COMPUTED_VALUE"""),"Ghost Ship - Nest 3★ #FF6")</f>
        <v>Ghost Ship - Nest 3★ #FF6</v>
      </c>
      <c r="P430" s="246">
        <f>IFERROR(__xludf.DUMMYFUNCTION("""COMPUTED_VALUE"""),10.0)</f>
        <v>10</v>
      </c>
      <c r="Q430" s="317"/>
    </row>
    <row r="431" ht="12.75" customHeight="1">
      <c r="G431" s="316" t="s">
        <v>1168</v>
      </c>
      <c r="H431" s="246">
        <v>10.0</v>
      </c>
      <c r="I431" s="315">
        <v>4.884720593982024E-4</v>
      </c>
      <c r="K431" s="246"/>
      <c r="L431" s="316"/>
      <c r="M431" s="317"/>
      <c r="O431" s="329" t="str">
        <f>IFERROR(__xludf.DUMMYFUNCTION("""COMPUTED_VALUE"""),"Ghost Ship - Nest 3★ #AAB")</f>
        <v>Ghost Ship - Nest 3★ #AAB</v>
      </c>
      <c r="P431" s="246">
        <f>IFERROR(__xludf.DUMMYFUNCTION("""COMPUTED_VALUE"""),10.0)</f>
        <v>10</v>
      </c>
      <c r="Q431" s="317"/>
    </row>
    <row r="432" ht="12.75" customHeight="1">
      <c r="G432" s="316" t="s">
        <v>1169</v>
      </c>
      <c r="H432" s="246">
        <v>10.0</v>
      </c>
      <c r="I432" s="315">
        <v>4.884720593982024E-4</v>
      </c>
      <c r="K432" s="246"/>
      <c r="L432" s="316"/>
      <c r="M432" s="317"/>
      <c r="O432" s="329" t="str">
        <f>IFERROR(__xludf.DUMMYFUNCTION("""COMPUTED_VALUE"""),"Ghost Ship - Nest 3★ #560")</f>
        <v>Ghost Ship - Nest 3★ #560</v>
      </c>
      <c r="P432" s="246">
        <f>IFERROR(__xludf.DUMMYFUNCTION("""COMPUTED_VALUE"""),10.0)</f>
        <v>10</v>
      </c>
      <c r="Q432" s="317"/>
    </row>
    <row r="433" ht="12.75" customHeight="1">
      <c r="G433" s="316" t="s">
        <v>1170</v>
      </c>
      <c r="H433" s="246">
        <v>10.0</v>
      </c>
      <c r="I433" s="315">
        <v>4.884720593982024E-4</v>
      </c>
      <c r="K433" s="246"/>
      <c r="L433" s="316"/>
      <c r="M433" s="317"/>
      <c r="O433" s="329" t="str">
        <f>IFERROR(__xludf.DUMMYFUNCTION("""COMPUTED_VALUE"""),"Ghost Ship - Nest 3★ #015")</f>
        <v>Ghost Ship - Nest 3★ #015</v>
      </c>
      <c r="P433" s="246">
        <f>IFERROR(__xludf.DUMMYFUNCTION("""COMPUTED_VALUE"""),10.0)</f>
        <v>10</v>
      </c>
      <c r="Q433" s="317"/>
    </row>
    <row r="434" ht="12.75" customHeight="1">
      <c r="G434" s="316" t="s">
        <v>1171</v>
      </c>
      <c r="H434" s="246">
        <v>10.0</v>
      </c>
      <c r="I434" s="315">
        <v>4.884720593982024E-4</v>
      </c>
      <c r="K434" s="246"/>
      <c r="L434" s="316"/>
      <c r="M434" s="317"/>
      <c r="O434" s="329" t="str">
        <f>IFERROR(__xludf.DUMMYFUNCTION("""COMPUTED_VALUE"""),"Ghost Ship - Nest 3★ #ACA")</f>
        <v>Ghost Ship - Nest 3★ #ACA</v>
      </c>
      <c r="P434" s="246">
        <f>IFERROR(__xludf.DUMMYFUNCTION("""COMPUTED_VALUE"""),10.0)</f>
        <v>10</v>
      </c>
      <c r="Q434" s="317"/>
    </row>
    <row r="435" ht="12.75" customHeight="1">
      <c r="G435" s="316" t="s">
        <v>1172</v>
      </c>
      <c r="H435" s="246">
        <v>10.0</v>
      </c>
      <c r="I435" s="315">
        <v>4.884720593982024E-4</v>
      </c>
      <c r="K435" s="246"/>
      <c r="L435" s="316"/>
      <c r="M435" s="317"/>
      <c r="O435" s="329" t="str">
        <f>IFERROR(__xludf.DUMMYFUNCTION("""COMPUTED_VALUE"""),"Ghost Ship - Nest 3★ #57F")</f>
        <v>Ghost Ship - Nest 3★ #57F</v>
      </c>
      <c r="P435" s="246">
        <f>IFERROR(__xludf.DUMMYFUNCTION("""COMPUTED_VALUE"""),10.0)</f>
        <v>10</v>
      </c>
      <c r="Q435" s="317"/>
    </row>
    <row r="436" ht="12.75" customHeight="1">
      <c r="G436" s="316" t="s">
        <v>1173</v>
      </c>
      <c r="H436" s="246">
        <v>10.0</v>
      </c>
      <c r="I436" s="315">
        <v>4.884720593982024E-4</v>
      </c>
      <c r="K436" s="246"/>
      <c r="L436" s="316"/>
      <c r="M436" s="317"/>
      <c r="O436" s="329" t="str">
        <f>IFERROR(__xludf.DUMMYFUNCTION("""COMPUTED_VALUE"""),"Ghost Ship - Nest 3★ #034")</f>
        <v>Ghost Ship - Nest 3★ #034</v>
      </c>
      <c r="P436" s="246">
        <f>IFERROR(__xludf.DUMMYFUNCTION("""COMPUTED_VALUE"""),10.0)</f>
        <v>10</v>
      </c>
      <c r="Q436" s="317"/>
    </row>
    <row r="437" ht="12.75" customHeight="1">
      <c r="G437" s="316" t="s">
        <v>1174</v>
      </c>
      <c r="H437" s="246">
        <v>10.0</v>
      </c>
      <c r="I437" s="315">
        <v>4.884720593982024E-4</v>
      </c>
      <c r="K437" s="246"/>
      <c r="L437" s="316"/>
      <c r="M437" s="317"/>
      <c r="O437" s="329" t="str">
        <f>IFERROR(__xludf.DUMMYFUNCTION("""COMPUTED_VALUE"""),"Ghost Ship - Nest 3★ #AE9")</f>
        <v>Ghost Ship - Nest 3★ #AE9</v>
      </c>
      <c r="P437" s="246">
        <f>IFERROR(__xludf.DUMMYFUNCTION("""COMPUTED_VALUE"""),10.0)</f>
        <v>10</v>
      </c>
      <c r="Q437" s="317"/>
    </row>
    <row r="438" ht="12.75" customHeight="1">
      <c r="G438" s="316" t="s">
        <v>1175</v>
      </c>
      <c r="H438" s="246">
        <v>10.0</v>
      </c>
      <c r="I438" s="315">
        <v>4.884720593982024E-4</v>
      </c>
      <c r="K438" s="246"/>
      <c r="L438" s="316"/>
      <c r="M438" s="317"/>
      <c r="O438" s="329" t="str">
        <f>IFERROR(__xludf.DUMMYFUNCTION("""COMPUTED_VALUE"""),"Ghost Ship - Nest 3★ #59E")</f>
        <v>Ghost Ship - Nest 3★ #59E</v>
      </c>
      <c r="P438" s="246">
        <f>IFERROR(__xludf.DUMMYFUNCTION("""COMPUTED_VALUE"""),10.0)</f>
        <v>10</v>
      </c>
      <c r="Q438" s="317"/>
    </row>
    <row r="439" ht="12.75" customHeight="1">
      <c r="G439" s="316" t="s">
        <v>1176</v>
      </c>
      <c r="H439" s="246">
        <v>10.0</v>
      </c>
      <c r="I439" s="315">
        <v>4.884720593982024E-4</v>
      </c>
      <c r="K439" s="246"/>
      <c r="L439" s="316"/>
      <c r="M439" s="317"/>
      <c r="O439" s="329" t="str">
        <f>IFERROR(__xludf.DUMMYFUNCTION("""COMPUTED_VALUE"""),"Ghost Ship - Nest 3★ #053")</f>
        <v>Ghost Ship - Nest 3★ #053</v>
      </c>
      <c r="P439" s="246">
        <f>IFERROR(__xludf.DUMMYFUNCTION("""COMPUTED_VALUE"""),10.0)</f>
        <v>10</v>
      </c>
      <c r="Q439" s="317"/>
    </row>
    <row r="440" ht="12.75" customHeight="1">
      <c r="G440" s="316" t="s">
        <v>1177</v>
      </c>
      <c r="H440" s="246">
        <v>10.0</v>
      </c>
      <c r="I440" s="315">
        <v>4.884720593982024E-4</v>
      </c>
      <c r="K440" s="246"/>
      <c r="L440" s="316"/>
      <c r="M440" s="317"/>
      <c r="O440" s="329" t="str">
        <f>IFERROR(__xludf.DUMMYFUNCTION("""COMPUTED_VALUE"""),"Ghost Ship - Nest 3★ #B08")</f>
        <v>Ghost Ship - Nest 3★ #B08</v>
      </c>
      <c r="P440" s="246">
        <f>IFERROR(__xludf.DUMMYFUNCTION("""COMPUTED_VALUE"""),10.0)</f>
        <v>10</v>
      </c>
      <c r="Q440" s="317"/>
    </row>
    <row r="441" ht="12.75" customHeight="1">
      <c r="G441" s="316" t="s">
        <v>1178</v>
      </c>
      <c r="H441" s="246">
        <v>10.0</v>
      </c>
      <c r="I441" s="315">
        <v>4.884720593982024E-4</v>
      </c>
      <c r="K441" s="246"/>
      <c r="L441" s="316"/>
      <c r="M441" s="317"/>
      <c r="O441" s="329" t="str">
        <f>IFERROR(__xludf.DUMMYFUNCTION("""COMPUTED_VALUE"""),"Ghost Ship - Nest 3★ #5BD")</f>
        <v>Ghost Ship - Nest 3★ #5BD</v>
      </c>
      <c r="P441" s="246">
        <f>IFERROR(__xludf.DUMMYFUNCTION("""COMPUTED_VALUE"""),10.0)</f>
        <v>10</v>
      </c>
      <c r="Q441" s="317"/>
    </row>
    <row r="442" ht="12.75" customHeight="1">
      <c r="G442" s="316" t="s">
        <v>1179</v>
      </c>
      <c r="H442" s="246">
        <v>5.0</v>
      </c>
      <c r="I442" s="315">
        <v>2.442360296991012E-4</v>
      </c>
      <c r="K442" s="246"/>
      <c r="L442" s="316"/>
      <c r="M442" s="317"/>
      <c r="O442" s="329" t="str">
        <f>IFERROR(__xludf.DUMMYFUNCTION("""COMPUTED_VALUE"""),"Ghost Ship - Flag 4★ #072")</f>
        <v>Ghost Ship - Flag 4★ #072</v>
      </c>
      <c r="P442" s="246">
        <f>IFERROR(__xludf.DUMMYFUNCTION("""COMPUTED_VALUE"""),5.0)</f>
        <v>5</v>
      </c>
      <c r="Q442" s="317"/>
    </row>
    <row r="443" ht="12.75" customHeight="1">
      <c r="G443" s="316" t="s">
        <v>1180</v>
      </c>
      <c r="H443" s="246">
        <v>5.0</v>
      </c>
      <c r="I443" s="315">
        <v>2.442360296991012E-4</v>
      </c>
      <c r="K443" s="246"/>
      <c r="L443" s="316"/>
      <c r="M443" s="317"/>
      <c r="O443" s="329" t="str">
        <f>IFERROR(__xludf.DUMMYFUNCTION("""COMPUTED_VALUE"""),"Ghost Ship - Flag 4★ #B27")</f>
        <v>Ghost Ship - Flag 4★ #B27</v>
      </c>
      <c r="P443" s="246">
        <f>IFERROR(__xludf.DUMMYFUNCTION("""COMPUTED_VALUE"""),5.0)</f>
        <v>5</v>
      </c>
      <c r="Q443" s="317"/>
    </row>
    <row r="444" ht="12.75" customHeight="1">
      <c r="G444" s="316" t="s">
        <v>1181</v>
      </c>
      <c r="H444" s="246">
        <v>5.0</v>
      </c>
      <c r="I444" s="315">
        <v>2.442360296991012E-4</v>
      </c>
      <c r="K444" s="246"/>
      <c r="L444" s="316"/>
      <c r="M444" s="317"/>
      <c r="O444" s="329" t="str">
        <f>IFERROR(__xludf.DUMMYFUNCTION("""COMPUTED_VALUE"""),"Ghost Ship - Flag 4★ #5DC")</f>
        <v>Ghost Ship - Flag 4★ #5DC</v>
      </c>
      <c r="P444" s="246">
        <f>IFERROR(__xludf.DUMMYFUNCTION("""COMPUTED_VALUE"""),5.0)</f>
        <v>5</v>
      </c>
      <c r="Q444" s="317"/>
    </row>
    <row r="445" ht="12.75" customHeight="1">
      <c r="G445" s="316" t="s">
        <v>1182</v>
      </c>
      <c r="H445" s="246">
        <v>5.0</v>
      </c>
      <c r="I445" s="315">
        <v>2.442360296991012E-4</v>
      </c>
      <c r="K445" s="246"/>
      <c r="L445" s="316"/>
      <c r="M445" s="317"/>
      <c r="O445" s="329" t="str">
        <f>IFERROR(__xludf.DUMMYFUNCTION("""COMPUTED_VALUE"""),"Ghost Ship - Flag 4★ #091")</f>
        <v>Ghost Ship - Flag 4★ #091</v>
      </c>
      <c r="P445" s="246">
        <f>IFERROR(__xludf.DUMMYFUNCTION("""COMPUTED_VALUE"""),5.0)</f>
        <v>5</v>
      </c>
      <c r="Q445" s="317"/>
    </row>
    <row r="446" ht="12.75" customHeight="1">
      <c r="G446" s="316" t="s">
        <v>1183</v>
      </c>
      <c r="H446" s="246">
        <v>5.0</v>
      </c>
      <c r="I446" s="315">
        <v>2.442360296991012E-4</v>
      </c>
      <c r="K446" s="246"/>
      <c r="L446" s="316"/>
      <c r="M446" s="317"/>
      <c r="O446" s="329" t="str">
        <f>IFERROR(__xludf.DUMMYFUNCTION("""COMPUTED_VALUE"""),"Ghost Ship - Flag 4★ #B46")</f>
        <v>Ghost Ship - Flag 4★ #B46</v>
      </c>
      <c r="P446" s="246">
        <f>IFERROR(__xludf.DUMMYFUNCTION("""COMPUTED_VALUE"""),5.0)</f>
        <v>5</v>
      </c>
      <c r="Q446" s="317"/>
    </row>
    <row r="447" ht="12.75" customHeight="1">
      <c r="G447" s="316" t="s">
        <v>1184</v>
      </c>
      <c r="H447" s="246">
        <v>5.0</v>
      </c>
      <c r="I447" s="315">
        <v>2.442360296991012E-4</v>
      </c>
      <c r="K447" s="246"/>
      <c r="L447" s="316"/>
      <c r="M447" s="317"/>
      <c r="O447" s="329" t="str">
        <f>IFERROR(__xludf.DUMMYFUNCTION("""COMPUTED_VALUE"""),"Ghost Ship - Flag 4★ #5FB")</f>
        <v>Ghost Ship - Flag 4★ #5FB</v>
      </c>
      <c r="P447" s="246">
        <f>IFERROR(__xludf.DUMMYFUNCTION("""COMPUTED_VALUE"""),5.0)</f>
        <v>5</v>
      </c>
      <c r="Q447" s="317"/>
    </row>
    <row r="448" ht="12.75" customHeight="1">
      <c r="G448" s="316" t="s">
        <v>1185</v>
      </c>
      <c r="H448" s="246">
        <v>5.0</v>
      </c>
      <c r="I448" s="315">
        <v>2.442360296991012E-4</v>
      </c>
      <c r="K448" s="246"/>
      <c r="L448" s="316"/>
      <c r="M448" s="317"/>
      <c r="O448" s="329" t="str">
        <f>IFERROR(__xludf.DUMMYFUNCTION("""COMPUTED_VALUE"""),"Ghost Ship - Flag 4★ #0B0")</f>
        <v>Ghost Ship - Flag 4★ #0B0</v>
      </c>
      <c r="P448" s="246">
        <f>IFERROR(__xludf.DUMMYFUNCTION("""COMPUTED_VALUE"""),5.0)</f>
        <v>5</v>
      </c>
      <c r="Q448" s="317"/>
    </row>
    <row r="449" ht="12.75" customHeight="1">
      <c r="G449" s="316" t="s">
        <v>1186</v>
      </c>
      <c r="H449" s="246">
        <v>5.0</v>
      </c>
      <c r="I449" s="315">
        <v>2.442360296991012E-4</v>
      </c>
      <c r="K449" s="246"/>
      <c r="L449" s="316"/>
      <c r="M449" s="317"/>
      <c r="O449" s="329" t="str">
        <f>IFERROR(__xludf.DUMMYFUNCTION("""COMPUTED_VALUE"""),"Ghost Ship - Flag 4★ #B65")</f>
        <v>Ghost Ship - Flag 4★ #B65</v>
      </c>
      <c r="P449" s="246">
        <f>IFERROR(__xludf.DUMMYFUNCTION("""COMPUTED_VALUE"""),5.0)</f>
        <v>5</v>
      </c>
      <c r="Q449" s="317"/>
    </row>
    <row r="450" ht="12.75" customHeight="1">
      <c r="G450" s="316" t="s">
        <v>1187</v>
      </c>
      <c r="H450" s="246">
        <v>5.0</v>
      </c>
      <c r="I450" s="315">
        <v>2.442360296991012E-4</v>
      </c>
      <c r="K450" s="246"/>
      <c r="L450" s="316"/>
      <c r="M450" s="317"/>
      <c r="O450" s="329" t="str">
        <f>IFERROR(__xludf.DUMMYFUNCTION("""COMPUTED_VALUE"""),"Ghost Ship - Flag 4★ #61A")</f>
        <v>Ghost Ship - Flag 4★ #61A</v>
      </c>
      <c r="P450" s="246">
        <f>IFERROR(__xludf.DUMMYFUNCTION("""COMPUTED_VALUE"""),5.0)</f>
        <v>5</v>
      </c>
      <c r="Q450" s="317"/>
    </row>
    <row r="451" ht="12.75" customHeight="1">
      <c r="G451" s="316" t="s">
        <v>1188</v>
      </c>
      <c r="H451" s="246">
        <v>5.0</v>
      </c>
      <c r="I451" s="315">
        <v>2.442360296991012E-4</v>
      </c>
      <c r="K451" s="246"/>
      <c r="L451" s="316"/>
      <c r="M451" s="317"/>
      <c r="O451" s="329" t="str">
        <f>IFERROR(__xludf.DUMMYFUNCTION("""COMPUTED_VALUE"""),"Ghost Ship - Flag 4★ #0CF")</f>
        <v>Ghost Ship - Flag 4★ #0CF</v>
      </c>
      <c r="P451" s="246">
        <f>IFERROR(__xludf.DUMMYFUNCTION("""COMPUTED_VALUE"""),5.0)</f>
        <v>5</v>
      </c>
      <c r="Q451" s="317"/>
    </row>
    <row r="452" ht="12.75" customHeight="1">
      <c r="G452" s="316" t="s">
        <v>1189</v>
      </c>
      <c r="H452" s="246">
        <v>5.0</v>
      </c>
      <c r="I452" s="315">
        <v>2.442360296991012E-4</v>
      </c>
      <c r="K452" s="246"/>
      <c r="L452" s="316"/>
      <c r="M452" s="317"/>
      <c r="O452" s="329" t="str">
        <f>IFERROR(__xludf.DUMMYFUNCTION("""COMPUTED_VALUE"""),"Ghost Ship - Flag 4★ #B84")</f>
        <v>Ghost Ship - Flag 4★ #B84</v>
      </c>
      <c r="P452" s="246">
        <f>IFERROR(__xludf.DUMMYFUNCTION("""COMPUTED_VALUE"""),5.0)</f>
        <v>5</v>
      </c>
      <c r="Q452" s="317"/>
    </row>
    <row r="453" ht="12.75" customHeight="1">
      <c r="G453" s="316" t="s">
        <v>1190</v>
      </c>
      <c r="H453" s="246">
        <v>5.0</v>
      </c>
      <c r="I453" s="315">
        <v>2.442360296991012E-4</v>
      </c>
      <c r="K453" s="246"/>
      <c r="L453" s="316"/>
      <c r="M453" s="317"/>
      <c r="O453" s="329" t="str">
        <f>IFERROR(__xludf.DUMMYFUNCTION("""COMPUTED_VALUE"""),"Ghost Ship - Chain 4★ #639")</f>
        <v>Ghost Ship - Chain 4★ #639</v>
      </c>
      <c r="P453" s="246">
        <f>IFERROR(__xludf.DUMMYFUNCTION("""COMPUTED_VALUE"""),5.0)</f>
        <v>5</v>
      </c>
      <c r="Q453" s="317"/>
    </row>
    <row r="454" ht="12.75" customHeight="1">
      <c r="G454" s="316" t="s">
        <v>1191</v>
      </c>
      <c r="H454" s="246">
        <v>5.0</v>
      </c>
      <c r="I454" s="315">
        <v>2.442360296991012E-4</v>
      </c>
      <c r="K454" s="246"/>
      <c r="L454" s="316"/>
      <c r="M454" s="317"/>
      <c r="O454" s="329" t="str">
        <f>IFERROR(__xludf.DUMMYFUNCTION("""COMPUTED_VALUE"""),"Ghost Ship - Chain 4★ #0EE")</f>
        <v>Ghost Ship - Chain 4★ #0EE</v>
      </c>
      <c r="P454" s="246">
        <f>IFERROR(__xludf.DUMMYFUNCTION("""COMPUTED_VALUE"""),5.0)</f>
        <v>5</v>
      </c>
      <c r="Q454" s="317"/>
    </row>
    <row r="455" ht="12.75" customHeight="1">
      <c r="G455" s="316" t="s">
        <v>1192</v>
      </c>
      <c r="H455" s="246">
        <v>5.0</v>
      </c>
      <c r="I455" s="315">
        <v>2.442360296991012E-4</v>
      </c>
      <c r="K455" s="246"/>
      <c r="L455" s="316"/>
      <c r="M455" s="317"/>
      <c r="O455" s="329" t="str">
        <f>IFERROR(__xludf.DUMMYFUNCTION("""COMPUTED_VALUE"""),"Ghost Ship - Chain 4★ #BA3")</f>
        <v>Ghost Ship - Chain 4★ #BA3</v>
      </c>
      <c r="P455" s="246">
        <f>IFERROR(__xludf.DUMMYFUNCTION("""COMPUTED_VALUE"""),5.0)</f>
        <v>5</v>
      </c>
      <c r="Q455" s="317"/>
    </row>
    <row r="456" ht="12.75" customHeight="1">
      <c r="G456" s="316" t="s">
        <v>1193</v>
      </c>
      <c r="H456" s="246">
        <v>5.0</v>
      </c>
      <c r="I456" s="315">
        <v>2.442360296991012E-4</v>
      </c>
      <c r="K456" s="246"/>
      <c r="L456" s="316"/>
      <c r="M456" s="317"/>
      <c r="O456" s="329" t="str">
        <f>IFERROR(__xludf.DUMMYFUNCTION("""COMPUTED_VALUE"""),"Ghost Ship - Chain 4★ #658")</f>
        <v>Ghost Ship - Chain 4★ #658</v>
      </c>
      <c r="P456" s="246">
        <f>IFERROR(__xludf.DUMMYFUNCTION("""COMPUTED_VALUE"""),5.0)</f>
        <v>5</v>
      </c>
      <c r="Q456" s="317"/>
    </row>
    <row r="457" ht="12.75" customHeight="1">
      <c r="G457" s="316" t="s">
        <v>1194</v>
      </c>
      <c r="H457" s="246">
        <v>5.0</v>
      </c>
      <c r="I457" s="315">
        <v>2.442360296991012E-4</v>
      </c>
      <c r="K457" s="246"/>
      <c r="L457" s="316"/>
      <c r="M457" s="317"/>
      <c r="O457" s="329" t="str">
        <f>IFERROR(__xludf.DUMMYFUNCTION("""COMPUTED_VALUE"""),"Ghost Ship - Chain 4★ #10D")</f>
        <v>Ghost Ship - Chain 4★ #10D</v>
      </c>
      <c r="P457" s="246">
        <f>IFERROR(__xludf.DUMMYFUNCTION("""COMPUTED_VALUE"""),5.0)</f>
        <v>5</v>
      </c>
      <c r="Q457" s="317"/>
    </row>
    <row r="458" ht="12.75" customHeight="1">
      <c r="G458" s="316" t="s">
        <v>1195</v>
      </c>
      <c r="H458" s="246">
        <v>5.0</v>
      </c>
      <c r="I458" s="315">
        <v>2.442360296991012E-4</v>
      </c>
      <c r="K458" s="246"/>
      <c r="L458" s="316"/>
      <c r="M458" s="317"/>
      <c r="O458" s="329" t="str">
        <f>IFERROR(__xludf.DUMMYFUNCTION("""COMPUTED_VALUE"""),"Ghost Ship - Chain 4★ #BC2")</f>
        <v>Ghost Ship - Chain 4★ #BC2</v>
      </c>
      <c r="P458" s="246">
        <f>IFERROR(__xludf.DUMMYFUNCTION("""COMPUTED_VALUE"""),5.0)</f>
        <v>5</v>
      </c>
      <c r="Q458" s="317"/>
    </row>
    <row r="459" ht="12.75" customHeight="1">
      <c r="G459" s="316" t="s">
        <v>1196</v>
      </c>
      <c r="H459" s="246">
        <v>5.0</v>
      </c>
      <c r="I459" s="315">
        <v>2.442360296991012E-4</v>
      </c>
      <c r="K459" s="246"/>
      <c r="L459" s="316"/>
      <c r="M459" s="317"/>
      <c r="O459" s="329" t="str">
        <f>IFERROR(__xludf.DUMMYFUNCTION("""COMPUTED_VALUE"""),"Ghost Ship - Chain 4★ #677")</f>
        <v>Ghost Ship - Chain 4★ #677</v>
      </c>
      <c r="P459" s="246">
        <f>IFERROR(__xludf.DUMMYFUNCTION("""COMPUTED_VALUE"""),5.0)</f>
        <v>5</v>
      </c>
      <c r="Q459" s="317"/>
    </row>
    <row r="460" ht="12.75" customHeight="1">
      <c r="G460" s="316" t="s">
        <v>1197</v>
      </c>
      <c r="H460" s="246">
        <v>5.0</v>
      </c>
      <c r="I460" s="315">
        <v>2.442360296991012E-4</v>
      </c>
      <c r="K460" s="246"/>
      <c r="L460" s="316"/>
      <c r="M460" s="317"/>
      <c r="O460" s="329" t="str">
        <f>IFERROR(__xludf.DUMMYFUNCTION("""COMPUTED_VALUE"""),"Ghost Ship - Chain 4★ #12C")</f>
        <v>Ghost Ship - Chain 4★ #12C</v>
      </c>
      <c r="P460" s="246">
        <f>IFERROR(__xludf.DUMMYFUNCTION("""COMPUTED_VALUE"""),5.0)</f>
        <v>5</v>
      </c>
      <c r="Q460" s="317"/>
    </row>
    <row r="461" ht="12.75" customHeight="1">
      <c r="G461" s="316" t="s">
        <v>1198</v>
      </c>
      <c r="H461" s="246">
        <v>5.0</v>
      </c>
      <c r="I461" s="315">
        <v>2.442360296991012E-4</v>
      </c>
      <c r="K461" s="246"/>
      <c r="L461" s="316"/>
      <c r="M461" s="317"/>
      <c r="O461" s="329" t="str">
        <f>IFERROR(__xludf.DUMMYFUNCTION("""COMPUTED_VALUE"""),"Ghost Ship - Chain 4★ #BE1")</f>
        <v>Ghost Ship - Chain 4★ #BE1</v>
      </c>
      <c r="P461" s="246">
        <f>IFERROR(__xludf.DUMMYFUNCTION("""COMPUTED_VALUE"""),5.0)</f>
        <v>5</v>
      </c>
      <c r="Q461" s="317"/>
    </row>
    <row r="462" ht="12.75" customHeight="1">
      <c r="G462" s="316" t="s">
        <v>1199</v>
      </c>
      <c r="H462" s="246">
        <v>5.0</v>
      </c>
      <c r="I462" s="315">
        <v>2.442360296991012E-4</v>
      </c>
      <c r="K462" s="246"/>
      <c r="L462" s="316"/>
      <c r="M462" s="317"/>
      <c r="O462" s="329" t="str">
        <f>IFERROR(__xludf.DUMMYFUNCTION("""COMPUTED_VALUE"""),"Ghost Ship - Chain 4★ #696")</f>
        <v>Ghost Ship - Chain 4★ #696</v>
      </c>
      <c r="P462" s="246">
        <f>IFERROR(__xludf.DUMMYFUNCTION("""COMPUTED_VALUE"""),5.0)</f>
        <v>5</v>
      </c>
      <c r="Q462" s="317"/>
    </row>
    <row r="463" ht="12.75" customHeight="1">
      <c r="G463" s="316" t="s">
        <v>1200</v>
      </c>
      <c r="H463" s="246">
        <v>5.0</v>
      </c>
      <c r="I463" s="315">
        <v>2.442360296991012E-4</v>
      </c>
      <c r="K463" s="246"/>
      <c r="L463" s="316"/>
      <c r="M463" s="317"/>
      <c r="O463" s="329" t="str">
        <f>IFERROR(__xludf.DUMMYFUNCTION("""COMPUTED_VALUE"""),"Ghost Ship - Chain 4★ #14B")</f>
        <v>Ghost Ship - Chain 4★ #14B</v>
      </c>
      <c r="P463" s="246">
        <f>IFERROR(__xludf.DUMMYFUNCTION("""COMPUTED_VALUE"""),5.0)</f>
        <v>5</v>
      </c>
      <c r="Q463" s="317"/>
    </row>
    <row r="464" ht="12.75" customHeight="1">
      <c r="G464" s="316" t="s">
        <v>1201</v>
      </c>
      <c r="H464" s="246">
        <v>2.0</v>
      </c>
      <c r="I464" s="315">
        <v>9.769441187964049E-5</v>
      </c>
      <c r="K464" s="246"/>
      <c r="L464" s="316"/>
      <c r="M464" s="317"/>
      <c r="O464" s="329" t="str">
        <f>IFERROR(__xludf.DUMMYFUNCTION("""COMPUTED_VALUE"""),"Ghost Ship - Log 5★ #C00")</f>
        <v>Ghost Ship - Log 5★ #C00</v>
      </c>
      <c r="P464" s="246">
        <f>IFERROR(__xludf.DUMMYFUNCTION("""COMPUTED_VALUE"""),2.0)</f>
        <v>2</v>
      </c>
      <c r="Q464" s="317"/>
    </row>
    <row r="465" ht="12.75" customHeight="1">
      <c r="G465" s="316" t="s">
        <v>1202</v>
      </c>
      <c r="H465" s="246">
        <v>2.0</v>
      </c>
      <c r="I465" s="315">
        <v>9.769441187964049E-5</v>
      </c>
      <c r="K465" s="246"/>
      <c r="L465" s="316"/>
      <c r="M465" s="317"/>
      <c r="O465" s="329" t="str">
        <f>IFERROR(__xludf.DUMMYFUNCTION("""COMPUTED_VALUE"""),"Ghost Ship - Log 5★ #6B5")</f>
        <v>Ghost Ship - Log 5★ #6B5</v>
      </c>
      <c r="P465" s="246">
        <f>IFERROR(__xludf.DUMMYFUNCTION("""COMPUTED_VALUE"""),2.0)</f>
        <v>2</v>
      </c>
      <c r="Q465" s="317"/>
    </row>
    <row r="466" ht="12.75" customHeight="1">
      <c r="G466" s="316" t="s">
        <v>1203</v>
      </c>
      <c r="H466" s="246">
        <v>2.0</v>
      </c>
      <c r="I466" s="315">
        <v>9.769441187964049E-5</v>
      </c>
      <c r="K466" s="246"/>
      <c r="L466" s="316"/>
      <c r="M466" s="317"/>
      <c r="O466" s="329" t="str">
        <f>IFERROR(__xludf.DUMMYFUNCTION("""COMPUTED_VALUE"""),"Ghost Ship - Log 5★ #16A")</f>
        <v>Ghost Ship - Log 5★ #16A</v>
      </c>
      <c r="P466" s="246">
        <f>IFERROR(__xludf.DUMMYFUNCTION("""COMPUTED_VALUE"""),2.0)</f>
        <v>2</v>
      </c>
      <c r="Q466" s="317"/>
    </row>
    <row r="467" ht="12.75" customHeight="1">
      <c r="G467" s="316" t="s">
        <v>1204</v>
      </c>
      <c r="H467" s="246">
        <v>2.0</v>
      </c>
      <c r="I467" s="315">
        <v>9.769441187964049E-5</v>
      </c>
      <c r="K467" s="246"/>
      <c r="L467" s="316"/>
      <c r="M467" s="317"/>
      <c r="O467" s="329" t="str">
        <f>IFERROR(__xludf.DUMMYFUNCTION("""COMPUTED_VALUE"""),"Ghost Ship - Log 5★ #C1F")</f>
        <v>Ghost Ship - Log 5★ #C1F</v>
      </c>
      <c r="P467" s="246">
        <f>IFERROR(__xludf.DUMMYFUNCTION("""COMPUTED_VALUE"""),2.0)</f>
        <v>2</v>
      </c>
      <c r="Q467" s="317"/>
    </row>
    <row r="468" ht="12.75" customHeight="1">
      <c r="G468" s="316" t="s">
        <v>1205</v>
      </c>
      <c r="H468" s="246">
        <v>2.0</v>
      </c>
      <c r="I468" s="315">
        <v>9.769441187964049E-5</v>
      </c>
      <c r="K468" s="246"/>
      <c r="L468" s="316"/>
      <c r="M468" s="317"/>
      <c r="O468" s="329" t="str">
        <f>IFERROR(__xludf.DUMMYFUNCTION("""COMPUTED_VALUE"""),"Ghost Ship - Log 5★ #6D4")</f>
        <v>Ghost Ship - Log 5★ #6D4</v>
      </c>
      <c r="P468" s="246">
        <f>IFERROR(__xludf.DUMMYFUNCTION("""COMPUTED_VALUE"""),2.0)</f>
        <v>2</v>
      </c>
      <c r="Q468" s="317"/>
    </row>
    <row r="469" ht="12.75" customHeight="1">
      <c r="G469" s="316" t="s">
        <v>1206</v>
      </c>
      <c r="H469" s="246">
        <v>50.0</v>
      </c>
      <c r="I469" s="315">
        <v>0.0024423602969910123</v>
      </c>
      <c r="K469" s="246"/>
      <c r="L469" s="316"/>
      <c r="M469" s="317"/>
      <c r="O469" s="329" t="str">
        <f>IFERROR(__xludf.DUMMYFUNCTION("""COMPUTED_VALUE"""),"Storm Port - Lightning 1★ #189")</f>
        <v>Storm Port - Lightning 1★ #189</v>
      </c>
      <c r="P469" s="246">
        <f>IFERROR(__xludf.DUMMYFUNCTION("""COMPUTED_VALUE"""),50.0)</f>
        <v>50</v>
      </c>
      <c r="Q469" s="317"/>
    </row>
    <row r="470" ht="12.75" customHeight="1">
      <c r="G470" s="316" t="s">
        <v>1207</v>
      </c>
      <c r="H470" s="246">
        <v>50.0</v>
      </c>
      <c r="I470" s="315">
        <v>0.0024423602969910123</v>
      </c>
      <c r="K470" s="246"/>
      <c r="L470" s="316"/>
      <c r="M470" s="317"/>
      <c r="O470" s="329" t="str">
        <f>IFERROR(__xludf.DUMMYFUNCTION("""COMPUTED_VALUE"""),"Storm Port - Lightning 1★ #C3E")</f>
        <v>Storm Port - Lightning 1★ #C3E</v>
      </c>
      <c r="P470" s="246">
        <f>IFERROR(__xludf.DUMMYFUNCTION("""COMPUTED_VALUE"""),50.0)</f>
        <v>50</v>
      </c>
      <c r="Q470" s="317"/>
    </row>
    <row r="471" ht="12.75" customHeight="1">
      <c r="G471" s="316" t="s">
        <v>1208</v>
      </c>
      <c r="H471" s="246">
        <v>50.0</v>
      </c>
      <c r="I471" s="315">
        <v>0.0024423602969910123</v>
      </c>
      <c r="K471" s="246"/>
      <c r="L471" s="316"/>
      <c r="M471" s="317"/>
      <c r="O471" s="329" t="str">
        <f>IFERROR(__xludf.DUMMYFUNCTION("""COMPUTED_VALUE"""),"Storm Port - Lightning 1★ #6F3")</f>
        <v>Storm Port - Lightning 1★ #6F3</v>
      </c>
      <c r="P471" s="246">
        <f>IFERROR(__xludf.DUMMYFUNCTION("""COMPUTED_VALUE"""),50.0)</f>
        <v>50</v>
      </c>
      <c r="Q471" s="317"/>
    </row>
    <row r="472" ht="12.75" customHeight="1">
      <c r="G472" s="316" t="s">
        <v>1209</v>
      </c>
      <c r="H472" s="246">
        <v>50.0</v>
      </c>
      <c r="I472" s="315">
        <v>0.0024423602969910123</v>
      </c>
      <c r="K472" s="246"/>
      <c r="L472" s="316"/>
      <c r="M472" s="317"/>
      <c r="O472" s="329" t="str">
        <f>IFERROR(__xludf.DUMMYFUNCTION("""COMPUTED_VALUE"""),"Storm Port - Lightning 1★ #1A8")</f>
        <v>Storm Port - Lightning 1★ #1A8</v>
      </c>
      <c r="P472" s="246">
        <f>IFERROR(__xludf.DUMMYFUNCTION("""COMPUTED_VALUE"""),50.0)</f>
        <v>50</v>
      </c>
      <c r="Q472" s="317"/>
    </row>
    <row r="473" ht="12.75" customHeight="1">
      <c r="G473" s="316" t="s">
        <v>1210</v>
      </c>
      <c r="H473" s="246">
        <v>50.0</v>
      </c>
      <c r="I473" s="315">
        <v>0.0024423602969910123</v>
      </c>
      <c r="K473" s="246"/>
      <c r="L473" s="316"/>
      <c r="M473" s="317"/>
      <c r="O473" s="329" t="str">
        <f>IFERROR(__xludf.DUMMYFUNCTION("""COMPUTED_VALUE"""),"Storm Port - Lightning 1★ #C5D")</f>
        <v>Storm Port - Lightning 1★ #C5D</v>
      </c>
      <c r="P473" s="246">
        <f>IFERROR(__xludf.DUMMYFUNCTION("""COMPUTED_VALUE"""),50.0)</f>
        <v>50</v>
      </c>
      <c r="Q473" s="317"/>
    </row>
    <row r="474" ht="12.75" customHeight="1">
      <c r="G474" s="316" t="s">
        <v>1211</v>
      </c>
      <c r="H474" s="246">
        <v>50.0</v>
      </c>
      <c r="I474" s="315">
        <v>0.0024423602969910123</v>
      </c>
      <c r="K474" s="246"/>
      <c r="L474" s="316"/>
      <c r="M474" s="317"/>
      <c r="O474" s="329" t="str">
        <f>IFERROR(__xludf.DUMMYFUNCTION("""COMPUTED_VALUE"""),"Storm Port - Lightning 1★ #712")</f>
        <v>Storm Port - Lightning 1★ #712</v>
      </c>
      <c r="P474" s="246">
        <f>IFERROR(__xludf.DUMMYFUNCTION("""COMPUTED_VALUE"""),50.0)</f>
        <v>50</v>
      </c>
      <c r="Q474" s="317"/>
    </row>
    <row r="475" ht="12.75" customHeight="1">
      <c r="G475" s="316" t="s">
        <v>1212</v>
      </c>
      <c r="H475" s="246">
        <v>50.0</v>
      </c>
      <c r="I475" s="315">
        <v>0.0024423602969910123</v>
      </c>
      <c r="K475" s="246"/>
      <c r="L475" s="316"/>
      <c r="M475" s="317"/>
      <c r="O475" s="329" t="str">
        <f>IFERROR(__xludf.DUMMYFUNCTION("""COMPUTED_VALUE"""),"Storm Port - Lightning 1★ #1C7")</f>
        <v>Storm Port - Lightning 1★ #1C7</v>
      </c>
      <c r="P475" s="246">
        <f>IFERROR(__xludf.DUMMYFUNCTION("""COMPUTED_VALUE"""),50.0)</f>
        <v>50</v>
      </c>
      <c r="Q475" s="317"/>
    </row>
    <row r="476" ht="12.75" customHeight="1">
      <c r="G476" s="316" t="s">
        <v>1213</v>
      </c>
      <c r="H476" s="246">
        <v>50.0</v>
      </c>
      <c r="I476" s="315">
        <v>0.0024423602969910123</v>
      </c>
      <c r="K476" s="246"/>
      <c r="L476" s="316"/>
      <c r="M476" s="317"/>
      <c r="O476" s="329" t="str">
        <f>IFERROR(__xludf.DUMMYFUNCTION("""COMPUTED_VALUE"""),"Storm Port - Lightning 1★ #C7C")</f>
        <v>Storm Port - Lightning 1★ #C7C</v>
      </c>
      <c r="P476" s="246">
        <f>IFERROR(__xludf.DUMMYFUNCTION("""COMPUTED_VALUE"""),50.0)</f>
        <v>50</v>
      </c>
      <c r="Q476" s="317"/>
    </row>
    <row r="477" ht="12.75" customHeight="1">
      <c r="G477" s="316" t="s">
        <v>1214</v>
      </c>
      <c r="H477" s="246">
        <v>50.0</v>
      </c>
      <c r="I477" s="315">
        <v>0.0024423602969910123</v>
      </c>
      <c r="K477" s="246"/>
      <c r="L477" s="316"/>
      <c r="M477" s="317"/>
      <c r="O477" s="329" t="str">
        <f>IFERROR(__xludf.DUMMYFUNCTION("""COMPUTED_VALUE"""),"Storm Port - Lightning 1★ #731")</f>
        <v>Storm Port - Lightning 1★ #731</v>
      </c>
      <c r="P477" s="246">
        <f>IFERROR(__xludf.DUMMYFUNCTION("""COMPUTED_VALUE"""),50.0)</f>
        <v>50</v>
      </c>
      <c r="Q477" s="317"/>
    </row>
    <row r="478" ht="12.75" customHeight="1">
      <c r="G478" s="316" t="s">
        <v>1215</v>
      </c>
      <c r="H478" s="246">
        <v>50.0</v>
      </c>
      <c r="I478" s="315">
        <v>0.0024423602969910123</v>
      </c>
      <c r="K478" s="246"/>
      <c r="L478" s="316"/>
      <c r="M478" s="317"/>
      <c r="O478" s="329" t="str">
        <f>IFERROR(__xludf.DUMMYFUNCTION("""COMPUTED_VALUE"""),"Storm Port - Lightning 1★ #1E6")</f>
        <v>Storm Port - Lightning 1★ #1E6</v>
      </c>
      <c r="P478" s="246">
        <f>IFERROR(__xludf.DUMMYFUNCTION("""COMPUTED_VALUE"""),50.0)</f>
        <v>50</v>
      </c>
      <c r="Q478" s="317"/>
    </row>
    <row r="479" ht="12.75" customHeight="1">
      <c r="G479" s="316" t="s">
        <v>1216</v>
      </c>
      <c r="H479" s="246">
        <v>50.0</v>
      </c>
      <c r="I479" s="315">
        <v>0.0024423602969910123</v>
      </c>
      <c r="K479" s="246"/>
      <c r="L479" s="316"/>
      <c r="M479" s="317"/>
      <c r="O479" s="329" t="str">
        <f>IFERROR(__xludf.DUMMYFUNCTION("""COMPUTED_VALUE"""),"Storm Port - Lightning 1★ #C9B")</f>
        <v>Storm Port - Lightning 1★ #C9B</v>
      </c>
      <c r="P479" s="246">
        <f>IFERROR(__xludf.DUMMYFUNCTION("""COMPUTED_VALUE"""),50.0)</f>
        <v>50</v>
      </c>
      <c r="Q479" s="317"/>
    </row>
    <row r="480" ht="12.75" customHeight="1">
      <c r="G480" s="316" t="s">
        <v>1217</v>
      </c>
      <c r="H480" s="246">
        <v>50.0</v>
      </c>
      <c r="I480" s="315">
        <v>0.0024423602969910123</v>
      </c>
      <c r="K480" s="246"/>
      <c r="L480" s="316"/>
      <c r="M480" s="317"/>
      <c r="O480" s="329" t="str">
        <f>IFERROR(__xludf.DUMMYFUNCTION("""COMPUTED_VALUE"""),"Storm Port - Lightning 1★ #750")</f>
        <v>Storm Port - Lightning 1★ #750</v>
      </c>
      <c r="P480" s="246">
        <f>IFERROR(__xludf.DUMMYFUNCTION("""COMPUTED_VALUE"""),50.0)</f>
        <v>50</v>
      </c>
      <c r="Q480" s="317"/>
    </row>
    <row r="481" ht="12.75" customHeight="1">
      <c r="G481" s="316" t="s">
        <v>1218</v>
      </c>
      <c r="H481" s="246">
        <v>50.0</v>
      </c>
      <c r="I481" s="315">
        <v>0.0024423602969910123</v>
      </c>
      <c r="K481" s="246"/>
      <c r="L481" s="316"/>
      <c r="M481" s="317"/>
      <c r="O481" s="329" t="str">
        <f>IFERROR(__xludf.DUMMYFUNCTION("""COMPUTED_VALUE"""),"Storm Port - Lightning 1★ #205")</f>
        <v>Storm Port - Lightning 1★ #205</v>
      </c>
      <c r="P481" s="246">
        <f>IFERROR(__xludf.DUMMYFUNCTION("""COMPUTED_VALUE"""),50.0)</f>
        <v>50</v>
      </c>
      <c r="Q481" s="317"/>
    </row>
    <row r="482" ht="12.75" customHeight="1">
      <c r="G482" s="316" t="s">
        <v>1219</v>
      </c>
      <c r="H482" s="246">
        <v>50.0</v>
      </c>
      <c r="I482" s="315">
        <v>0.0024423602969910123</v>
      </c>
      <c r="K482" s="246"/>
      <c r="L482" s="316"/>
      <c r="M482" s="317"/>
      <c r="O482" s="329" t="str">
        <f>IFERROR(__xludf.DUMMYFUNCTION("""COMPUTED_VALUE"""),"Storm Port - Barrel 1★ #CBA")</f>
        <v>Storm Port - Barrel 1★ #CBA</v>
      </c>
      <c r="P482" s="246">
        <f>IFERROR(__xludf.DUMMYFUNCTION("""COMPUTED_VALUE"""),50.0)</f>
        <v>50</v>
      </c>
      <c r="Q482" s="317"/>
    </row>
    <row r="483" ht="12.75" customHeight="1">
      <c r="G483" s="316" t="s">
        <v>1220</v>
      </c>
      <c r="H483" s="246">
        <v>50.0</v>
      </c>
      <c r="I483" s="315">
        <v>0.0024423602969910123</v>
      </c>
      <c r="K483" s="246"/>
      <c r="L483" s="316"/>
      <c r="M483" s="317"/>
      <c r="O483" s="329" t="str">
        <f>IFERROR(__xludf.DUMMYFUNCTION("""COMPUTED_VALUE"""),"Storm Port - Barrel 1★ #76F")</f>
        <v>Storm Port - Barrel 1★ #76F</v>
      </c>
      <c r="P483" s="246">
        <f>IFERROR(__xludf.DUMMYFUNCTION("""COMPUTED_VALUE"""),50.0)</f>
        <v>50</v>
      </c>
      <c r="Q483" s="317"/>
    </row>
    <row r="484" ht="12.75" customHeight="1">
      <c r="G484" s="316" t="s">
        <v>1221</v>
      </c>
      <c r="H484" s="246">
        <v>50.0</v>
      </c>
      <c r="I484" s="315">
        <v>0.0024423602969910123</v>
      </c>
      <c r="K484" s="246"/>
      <c r="L484" s="316"/>
      <c r="M484" s="317"/>
      <c r="O484" s="329" t="str">
        <f>IFERROR(__xludf.DUMMYFUNCTION("""COMPUTED_VALUE"""),"Storm Port - Barrel 1★ #224")</f>
        <v>Storm Port - Barrel 1★ #224</v>
      </c>
      <c r="P484" s="246">
        <f>IFERROR(__xludf.DUMMYFUNCTION("""COMPUTED_VALUE"""),50.0)</f>
        <v>50</v>
      </c>
      <c r="Q484" s="317"/>
    </row>
    <row r="485" ht="12.75" customHeight="1">
      <c r="G485" s="316" t="s">
        <v>1222</v>
      </c>
      <c r="H485" s="246">
        <v>50.0</v>
      </c>
      <c r="I485" s="315">
        <v>0.0024423602969910123</v>
      </c>
      <c r="K485" s="246"/>
      <c r="L485" s="316"/>
      <c r="M485" s="317"/>
      <c r="O485" s="329" t="str">
        <f>IFERROR(__xludf.DUMMYFUNCTION("""COMPUTED_VALUE"""),"Storm Port - Barrel 1★ #CD9")</f>
        <v>Storm Port - Barrel 1★ #CD9</v>
      </c>
      <c r="P485" s="246">
        <f>IFERROR(__xludf.DUMMYFUNCTION("""COMPUTED_VALUE"""),50.0)</f>
        <v>50</v>
      </c>
      <c r="Q485" s="317"/>
    </row>
    <row r="486" ht="12.75" customHeight="1">
      <c r="G486" s="316" t="s">
        <v>1223</v>
      </c>
      <c r="H486" s="246">
        <v>50.0</v>
      </c>
      <c r="I486" s="315">
        <v>0.0024423602969910123</v>
      </c>
      <c r="K486" s="246"/>
      <c r="L486" s="316"/>
      <c r="M486" s="317"/>
      <c r="O486" s="329" t="str">
        <f>IFERROR(__xludf.DUMMYFUNCTION("""COMPUTED_VALUE"""),"Storm Port - Barrel 1★ #78E")</f>
        <v>Storm Port - Barrel 1★ #78E</v>
      </c>
      <c r="P486" s="246">
        <f>IFERROR(__xludf.DUMMYFUNCTION("""COMPUTED_VALUE"""),50.0)</f>
        <v>50</v>
      </c>
      <c r="Q486" s="317"/>
    </row>
    <row r="487" ht="12.75" customHeight="1">
      <c r="G487" s="316" t="s">
        <v>1224</v>
      </c>
      <c r="H487" s="246">
        <v>50.0</v>
      </c>
      <c r="I487" s="315">
        <v>0.0024423602969910123</v>
      </c>
      <c r="K487" s="246"/>
      <c r="L487" s="316"/>
      <c r="M487" s="317"/>
      <c r="O487" s="329" t="str">
        <f>IFERROR(__xludf.DUMMYFUNCTION("""COMPUTED_VALUE"""),"Storm Port - Barrel 1★ #243")</f>
        <v>Storm Port - Barrel 1★ #243</v>
      </c>
      <c r="P487" s="246">
        <f>IFERROR(__xludf.DUMMYFUNCTION("""COMPUTED_VALUE"""),50.0)</f>
        <v>50</v>
      </c>
      <c r="Q487" s="317"/>
    </row>
    <row r="488" ht="12.75" customHeight="1">
      <c r="G488" s="316" t="s">
        <v>1225</v>
      </c>
      <c r="H488" s="246">
        <v>50.0</v>
      </c>
      <c r="I488" s="315">
        <v>0.0024423602969910123</v>
      </c>
      <c r="K488" s="246"/>
      <c r="L488" s="316"/>
      <c r="M488" s="317"/>
      <c r="O488" s="329" t="str">
        <f>IFERROR(__xludf.DUMMYFUNCTION("""COMPUTED_VALUE"""),"Storm Port - Barrel 1★ #CF8")</f>
        <v>Storm Port - Barrel 1★ #CF8</v>
      </c>
      <c r="P488" s="246">
        <f>IFERROR(__xludf.DUMMYFUNCTION("""COMPUTED_VALUE"""),50.0)</f>
        <v>50</v>
      </c>
      <c r="Q488" s="317"/>
    </row>
    <row r="489" ht="12.75" customHeight="1">
      <c r="G489" s="316" t="s">
        <v>1226</v>
      </c>
      <c r="H489" s="246">
        <v>50.0</v>
      </c>
      <c r="I489" s="315">
        <v>0.0024423602969910123</v>
      </c>
      <c r="K489" s="246"/>
      <c r="L489" s="316"/>
      <c r="M489" s="317"/>
      <c r="O489" s="329" t="str">
        <f>IFERROR(__xludf.DUMMYFUNCTION("""COMPUTED_VALUE"""),"Storm Port - Barrel 1★ #7AD")</f>
        <v>Storm Port - Barrel 1★ #7AD</v>
      </c>
      <c r="P489" s="246">
        <f>IFERROR(__xludf.DUMMYFUNCTION("""COMPUTED_VALUE"""),50.0)</f>
        <v>50</v>
      </c>
      <c r="Q489" s="317"/>
    </row>
    <row r="490" ht="12.75" customHeight="1">
      <c r="G490" s="316" t="s">
        <v>1227</v>
      </c>
      <c r="H490" s="246">
        <v>50.0</v>
      </c>
      <c r="I490" s="315">
        <v>0.0024423602969910123</v>
      </c>
      <c r="K490" s="246"/>
      <c r="L490" s="316"/>
      <c r="M490" s="317"/>
      <c r="O490" s="329" t="str">
        <f>IFERROR(__xludf.DUMMYFUNCTION("""COMPUTED_VALUE"""),"Storm Port - Barrel 1★ #262")</f>
        <v>Storm Port - Barrel 1★ #262</v>
      </c>
      <c r="P490" s="246">
        <f>IFERROR(__xludf.DUMMYFUNCTION("""COMPUTED_VALUE"""),50.0)</f>
        <v>50</v>
      </c>
      <c r="Q490" s="317"/>
    </row>
    <row r="491" ht="12.75" customHeight="1">
      <c r="G491" s="316" t="s">
        <v>1228</v>
      </c>
      <c r="H491" s="246">
        <v>50.0</v>
      </c>
      <c r="I491" s="315">
        <v>0.0024423602969910123</v>
      </c>
      <c r="K491" s="246"/>
      <c r="L491" s="316"/>
      <c r="M491" s="317"/>
      <c r="O491" s="329" t="str">
        <f>IFERROR(__xludf.DUMMYFUNCTION("""COMPUTED_VALUE"""),"Storm Port - Barrel 1★ #D17")</f>
        <v>Storm Port - Barrel 1★ #D17</v>
      </c>
      <c r="P491" s="246">
        <f>IFERROR(__xludf.DUMMYFUNCTION("""COMPUTED_VALUE"""),50.0)</f>
        <v>50</v>
      </c>
      <c r="Q491" s="317"/>
    </row>
    <row r="492" ht="12.75" customHeight="1">
      <c r="G492" s="316" t="s">
        <v>1229</v>
      </c>
      <c r="H492" s="246">
        <v>50.0</v>
      </c>
      <c r="I492" s="315">
        <v>0.0024423602969910123</v>
      </c>
      <c r="K492" s="246"/>
      <c r="L492" s="316"/>
      <c r="M492" s="317"/>
      <c r="O492" s="329" t="str">
        <f>IFERROR(__xludf.DUMMYFUNCTION("""COMPUTED_VALUE"""),"Storm Port - Barrel 1★ #7CC")</f>
        <v>Storm Port - Barrel 1★ #7CC</v>
      </c>
      <c r="P492" s="246">
        <f>IFERROR(__xludf.DUMMYFUNCTION("""COMPUTED_VALUE"""),50.0)</f>
        <v>50</v>
      </c>
      <c r="Q492" s="317"/>
    </row>
    <row r="493" ht="12.75" customHeight="1">
      <c r="G493" s="316" t="s">
        <v>1230</v>
      </c>
      <c r="H493" s="246">
        <v>50.0</v>
      </c>
      <c r="I493" s="315">
        <v>0.0024423602969910123</v>
      </c>
      <c r="K493" s="246"/>
      <c r="L493" s="316"/>
      <c r="M493" s="317"/>
      <c r="O493" s="329" t="str">
        <f>IFERROR(__xludf.DUMMYFUNCTION("""COMPUTED_VALUE"""),"Storm Port - Barrel 1★ #281")</f>
        <v>Storm Port - Barrel 1★ #281</v>
      </c>
      <c r="P493" s="246">
        <f>IFERROR(__xludf.DUMMYFUNCTION("""COMPUTED_VALUE"""),50.0)</f>
        <v>50</v>
      </c>
      <c r="Q493" s="317"/>
    </row>
    <row r="494" ht="12.75" customHeight="1">
      <c r="G494" s="316" t="s">
        <v>1231</v>
      </c>
      <c r="H494" s="246">
        <v>50.0</v>
      </c>
      <c r="I494" s="315">
        <v>0.0024423602969910123</v>
      </c>
      <c r="K494" s="246"/>
      <c r="L494" s="316"/>
      <c r="M494" s="317"/>
      <c r="O494" s="329" t="str">
        <f>IFERROR(__xludf.DUMMYFUNCTION("""COMPUTED_VALUE"""),"Storm Port - Barrel 1★ #D36")</f>
        <v>Storm Port - Barrel 1★ #D36</v>
      </c>
      <c r="P494" s="246">
        <f>IFERROR(__xludf.DUMMYFUNCTION("""COMPUTED_VALUE"""),50.0)</f>
        <v>50</v>
      </c>
      <c r="Q494" s="317"/>
    </row>
    <row r="495" ht="12.75" customHeight="1">
      <c r="G495" s="316" t="s">
        <v>1232</v>
      </c>
      <c r="H495" s="246">
        <v>20.0</v>
      </c>
      <c r="I495" s="315">
        <v>9.769441187964048E-4</v>
      </c>
      <c r="K495" s="246"/>
      <c r="L495" s="316"/>
      <c r="M495" s="317"/>
      <c r="O495" s="329" t="str">
        <f>IFERROR(__xludf.DUMMYFUNCTION("""COMPUTED_VALUE"""),"Storm Port - Rope 2★ #7EB")</f>
        <v>Storm Port - Rope 2★ #7EB</v>
      </c>
      <c r="P495" s="246">
        <f>IFERROR(__xludf.DUMMYFUNCTION("""COMPUTED_VALUE"""),20.0)</f>
        <v>20</v>
      </c>
      <c r="Q495" s="317"/>
    </row>
    <row r="496" ht="12.75" customHeight="1">
      <c r="G496" s="316" t="s">
        <v>1233</v>
      </c>
      <c r="H496" s="246">
        <v>20.0</v>
      </c>
      <c r="I496" s="315">
        <v>9.769441187964048E-4</v>
      </c>
      <c r="K496" s="246"/>
      <c r="L496" s="316"/>
      <c r="M496" s="317"/>
      <c r="O496" s="329" t="str">
        <f>IFERROR(__xludf.DUMMYFUNCTION("""COMPUTED_VALUE"""),"Storm Port - Rope 2★ #2A0")</f>
        <v>Storm Port - Rope 2★ #2A0</v>
      </c>
      <c r="P496" s="246">
        <f>IFERROR(__xludf.DUMMYFUNCTION("""COMPUTED_VALUE"""),20.0)</f>
        <v>20</v>
      </c>
      <c r="Q496" s="317"/>
    </row>
    <row r="497" ht="12.75" customHeight="1">
      <c r="G497" s="316" t="s">
        <v>1234</v>
      </c>
      <c r="H497" s="246">
        <v>20.0</v>
      </c>
      <c r="I497" s="315">
        <v>9.769441187964048E-4</v>
      </c>
      <c r="K497" s="246"/>
      <c r="L497" s="316"/>
      <c r="M497" s="317"/>
      <c r="O497" s="329" t="str">
        <f>IFERROR(__xludf.DUMMYFUNCTION("""COMPUTED_VALUE"""),"Storm Port - Rope 2★ #D55")</f>
        <v>Storm Port - Rope 2★ #D55</v>
      </c>
      <c r="P497" s="246">
        <f>IFERROR(__xludf.DUMMYFUNCTION("""COMPUTED_VALUE"""),20.0)</f>
        <v>20</v>
      </c>
      <c r="Q497" s="317"/>
    </row>
    <row r="498" ht="12.75" customHeight="1">
      <c r="G498" s="316" t="s">
        <v>1235</v>
      </c>
      <c r="H498" s="246">
        <v>20.0</v>
      </c>
      <c r="I498" s="315">
        <v>9.769441187964048E-4</v>
      </c>
      <c r="K498" s="246"/>
      <c r="L498" s="316"/>
      <c r="M498" s="317"/>
      <c r="O498" s="329" t="str">
        <f>IFERROR(__xludf.DUMMYFUNCTION("""COMPUTED_VALUE"""),"Storm Port - Rope 2★ #80A")</f>
        <v>Storm Port - Rope 2★ #80A</v>
      </c>
      <c r="P498" s="246">
        <f>IFERROR(__xludf.DUMMYFUNCTION("""COMPUTED_VALUE"""),20.0)</f>
        <v>20</v>
      </c>
      <c r="Q498" s="317"/>
    </row>
    <row r="499" ht="12.75" customHeight="1">
      <c r="G499" s="316" t="s">
        <v>1236</v>
      </c>
      <c r="H499" s="246">
        <v>20.0</v>
      </c>
      <c r="I499" s="315">
        <v>9.769441187964048E-4</v>
      </c>
      <c r="K499" s="246"/>
      <c r="L499" s="316"/>
      <c r="M499" s="317"/>
      <c r="O499" s="329" t="str">
        <f>IFERROR(__xludf.DUMMYFUNCTION("""COMPUTED_VALUE"""),"Storm Port - Rope 2★ #2BF")</f>
        <v>Storm Port - Rope 2★ #2BF</v>
      </c>
      <c r="P499" s="246">
        <f>IFERROR(__xludf.DUMMYFUNCTION("""COMPUTED_VALUE"""),20.0)</f>
        <v>20</v>
      </c>
      <c r="Q499" s="317"/>
    </row>
    <row r="500" ht="12.75" customHeight="1">
      <c r="G500" s="316" t="s">
        <v>1237</v>
      </c>
      <c r="H500" s="246">
        <v>20.0</v>
      </c>
      <c r="I500" s="315">
        <v>9.769441187964048E-4</v>
      </c>
      <c r="K500" s="246"/>
      <c r="L500" s="316"/>
      <c r="M500" s="317"/>
      <c r="O500" s="329" t="str">
        <f>IFERROR(__xludf.DUMMYFUNCTION("""COMPUTED_VALUE"""),"Storm Port - Rope 2★ #D74")</f>
        <v>Storm Port - Rope 2★ #D74</v>
      </c>
      <c r="P500" s="246">
        <f>IFERROR(__xludf.DUMMYFUNCTION("""COMPUTED_VALUE"""),20.0)</f>
        <v>20</v>
      </c>
      <c r="Q500" s="317"/>
    </row>
    <row r="501" ht="12.75" customHeight="1">
      <c r="G501" s="316" t="s">
        <v>1238</v>
      </c>
      <c r="H501" s="246">
        <v>20.0</v>
      </c>
      <c r="I501" s="315">
        <v>9.769441187964048E-4</v>
      </c>
      <c r="K501" s="246"/>
      <c r="L501" s="316"/>
      <c r="M501" s="317"/>
      <c r="O501" s="329" t="str">
        <f>IFERROR(__xludf.DUMMYFUNCTION("""COMPUTED_VALUE"""),"Storm Port - Rope 2★ #829")</f>
        <v>Storm Port - Rope 2★ #829</v>
      </c>
      <c r="P501" s="246">
        <f>IFERROR(__xludf.DUMMYFUNCTION("""COMPUTED_VALUE"""),20.0)</f>
        <v>20</v>
      </c>
      <c r="Q501" s="317"/>
    </row>
    <row r="502" ht="12.75" customHeight="1">
      <c r="G502" s="316" t="s">
        <v>1239</v>
      </c>
      <c r="H502" s="246">
        <v>20.0</v>
      </c>
      <c r="I502" s="315">
        <v>9.769441187964048E-4</v>
      </c>
      <c r="K502" s="246"/>
      <c r="L502" s="316"/>
      <c r="M502" s="317"/>
      <c r="O502" s="329" t="str">
        <f>IFERROR(__xludf.DUMMYFUNCTION("""COMPUTED_VALUE"""),"Storm Port - Rope 2★ #2DE")</f>
        <v>Storm Port - Rope 2★ #2DE</v>
      </c>
      <c r="P502" s="246">
        <f>IFERROR(__xludf.DUMMYFUNCTION("""COMPUTED_VALUE"""),20.0)</f>
        <v>20</v>
      </c>
      <c r="Q502" s="317"/>
    </row>
    <row r="503" ht="12.75" customHeight="1">
      <c r="G503" s="316" t="s">
        <v>1240</v>
      </c>
      <c r="H503" s="246">
        <v>20.0</v>
      </c>
      <c r="I503" s="315">
        <v>9.769441187964048E-4</v>
      </c>
      <c r="K503" s="246"/>
      <c r="L503" s="316"/>
      <c r="M503" s="317"/>
      <c r="O503" s="329" t="str">
        <f>IFERROR(__xludf.DUMMYFUNCTION("""COMPUTED_VALUE"""),"Storm Port - Rope 2★ #D93")</f>
        <v>Storm Port - Rope 2★ #D93</v>
      </c>
      <c r="P503" s="246">
        <f>IFERROR(__xludf.DUMMYFUNCTION("""COMPUTED_VALUE"""),20.0)</f>
        <v>20</v>
      </c>
      <c r="Q503" s="317"/>
    </row>
    <row r="504" ht="12.75" customHeight="1">
      <c r="G504" s="316" t="s">
        <v>1241</v>
      </c>
      <c r="H504" s="246">
        <v>20.0</v>
      </c>
      <c r="I504" s="315">
        <v>9.769441187964048E-4</v>
      </c>
      <c r="K504" s="246"/>
      <c r="L504" s="316"/>
      <c r="M504" s="317"/>
      <c r="O504" s="329" t="str">
        <f>IFERROR(__xludf.DUMMYFUNCTION("""COMPUTED_VALUE"""),"Storm Port - Rope 2★ #848")</f>
        <v>Storm Port - Rope 2★ #848</v>
      </c>
      <c r="P504" s="246">
        <f>IFERROR(__xludf.DUMMYFUNCTION("""COMPUTED_VALUE"""),20.0)</f>
        <v>20</v>
      </c>
      <c r="Q504" s="317"/>
    </row>
    <row r="505" ht="12.75" customHeight="1">
      <c r="G505" s="316" t="s">
        <v>1242</v>
      </c>
      <c r="H505" s="246">
        <v>20.0</v>
      </c>
      <c r="I505" s="315">
        <v>9.769441187964048E-4</v>
      </c>
      <c r="K505" s="246"/>
      <c r="L505" s="316"/>
      <c r="M505" s="317"/>
      <c r="O505" s="329" t="str">
        <f>IFERROR(__xludf.DUMMYFUNCTION("""COMPUTED_VALUE"""),"Storm Port - Rope 2★ #2FD")</f>
        <v>Storm Port - Rope 2★ #2FD</v>
      </c>
      <c r="P505" s="246">
        <f>IFERROR(__xludf.DUMMYFUNCTION("""COMPUTED_VALUE"""),20.0)</f>
        <v>20</v>
      </c>
      <c r="Q505" s="317"/>
    </row>
    <row r="506" ht="12.75" customHeight="1">
      <c r="G506" s="316" t="s">
        <v>1243</v>
      </c>
      <c r="H506" s="246">
        <v>20.0</v>
      </c>
      <c r="I506" s="315">
        <v>9.769441187964048E-4</v>
      </c>
      <c r="K506" s="246"/>
      <c r="L506" s="316"/>
      <c r="M506" s="317"/>
      <c r="O506" s="329" t="str">
        <f>IFERROR(__xludf.DUMMYFUNCTION("""COMPUTED_VALUE"""),"Storm Port - Rope 2★ #DB2")</f>
        <v>Storm Port - Rope 2★ #DB2</v>
      </c>
      <c r="P506" s="246">
        <f>IFERROR(__xludf.DUMMYFUNCTION("""COMPUTED_VALUE"""),20.0)</f>
        <v>20</v>
      </c>
      <c r="Q506" s="317"/>
    </row>
    <row r="507" ht="12.75" customHeight="1">
      <c r="G507" s="316" t="s">
        <v>1244</v>
      </c>
      <c r="H507" s="246">
        <v>20.0</v>
      </c>
      <c r="I507" s="315">
        <v>9.769441187964048E-4</v>
      </c>
      <c r="K507" s="246"/>
      <c r="L507" s="316"/>
      <c r="M507" s="317"/>
      <c r="O507" s="329" t="str">
        <f>IFERROR(__xludf.DUMMYFUNCTION("""COMPUTED_VALUE"""),"Storm Port - Rope 2★ #867")</f>
        <v>Storm Port - Rope 2★ #867</v>
      </c>
      <c r="P507" s="246">
        <f>IFERROR(__xludf.DUMMYFUNCTION("""COMPUTED_VALUE"""),20.0)</f>
        <v>20</v>
      </c>
      <c r="Q507" s="317"/>
    </row>
    <row r="508" ht="12.75" customHeight="1">
      <c r="G508" s="316" t="s">
        <v>1245</v>
      </c>
      <c r="H508" s="246">
        <v>20.0</v>
      </c>
      <c r="I508" s="315">
        <v>9.769441187964048E-4</v>
      </c>
      <c r="K508" s="246"/>
      <c r="L508" s="316"/>
      <c r="M508" s="317"/>
      <c r="O508" s="329" t="str">
        <f>IFERROR(__xludf.DUMMYFUNCTION("""COMPUTED_VALUE"""),"Storm Port - Cleat 2★ #31C")</f>
        <v>Storm Port - Cleat 2★ #31C</v>
      </c>
      <c r="P508" s="246">
        <f>IFERROR(__xludf.DUMMYFUNCTION("""COMPUTED_VALUE"""),20.0)</f>
        <v>20</v>
      </c>
      <c r="Q508" s="317"/>
    </row>
    <row r="509" ht="12.75" customHeight="1">
      <c r="G509" s="316" t="s">
        <v>1246</v>
      </c>
      <c r="H509" s="246">
        <v>20.0</v>
      </c>
      <c r="I509" s="315">
        <v>9.769441187964048E-4</v>
      </c>
      <c r="K509" s="246"/>
      <c r="L509" s="316"/>
      <c r="M509" s="317"/>
      <c r="O509" s="329" t="str">
        <f>IFERROR(__xludf.DUMMYFUNCTION("""COMPUTED_VALUE"""),"Storm Port - Cleat 2★ #DD1")</f>
        <v>Storm Port - Cleat 2★ #DD1</v>
      </c>
      <c r="P509" s="246">
        <f>IFERROR(__xludf.DUMMYFUNCTION("""COMPUTED_VALUE"""),20.0)</f>
        <v>20</v>
      </c>
      <c r="Q509" s="317"/>
    </row>
    <row r="510" ht="12.75" customHeight="1">
      <c r="G510" s="316" t="s">
        <v>1247</v>
      </c>
      <c r="H510" s="246">
        <v>20.0</v>
      </c>
      <c r="I510" s="315">
        <v>9.769441187964048E-4</v>
      </c>
      <c r="K510" s="246"/>
      <c r="L510" s="316"/>
      <c r="M510" s="317"/>
      <c r="O510" s="329" t="str">
        <f>IFERROR(__xludf.DUMMYFUNCTION("""COMPUTED_VALUE"""),"Storm Port - Cleat 2★ #886")</f>
        <v>Storm Port - Cleat 2★ #886</v>
      </c>
      <c r="P510" s="246">
        <f>IFERROR(__xludf.DUMMYFUNCTION("""COMPUTED_VALUE"""),20.0)</f>
        <v>20</v>
      </c>
      <c r="Q510" s="317"/>
    </row>
    <row r="511" ht="12.75" customHeight="1">
      <c r="G511" s="316" t="s">
        <v>1248</v>
      </c>
      <c r="H511" s="246">
        <v>20.0</v>
      </c>
      <c r="I511" s="315">
        <v>9.769441187964048E-4</v>
      </c>
      <c r="K511" s="246"/>
      <c r="L511" s="316"/>
      <c r="M511" s="317"/>
      <c r="O511" s="329" t="str">
        <f>IFERROR(__xludf.DUMMYFUNCTION("""COMPUTED_VALUE"""),"Storm Port - Cleat 2★ #33B")</f>
        <v>Storm Port - Cleat 2★ #33B</v>
      </c>
      <c r="P511" s="246">
        <f>IFERROR(__xludf.DUMMYFUNCTION("""COMPUTED_VALUE"""),20.0)</f>
        <v>20</v>
      </c>
      <c r="Q511" s="317"/>
    </row>
    <row r="512" ht="12.75" customHeight="1">
      <c r="G512" s="316" t="s">
        <v>1249</v>
      </c>
      <c r="H512" s="246">
        <v>20.0</v>
      </c>
      <c r="I512" s="315">
        <v>9.769441187964048E-4</v>
      </c>
      <c r="K512" s="246"/>
      <c r="L512" s="316"/>
      <c r="M512" s="317"/>
      <c r="O512" s="329" t="str">
        <f>IFERROR(__xludf.DUMMYFUNCTION("""COMPUTED_VALUE"""),"Storm Port - Cleat 2★ #DF0")</f>
        <v>Storm Port - Cleat 2★ #DF0</v>
      </c>
      <c r="P512" s="246">
        <f>IFERROR(__xludf.DUMMYFUNCTION("""COMPUTED_VALUE"""),20.0)</f>
        <v>20</v>
      </c>
      <c r="Q512" s="317"/>
    </row>
    <row r="513" ht="12.75" customHeight="1">
      <c r="G513" s="316" t="s">
        <v>1250</v>
      </c>
      <c r="H513" s="246">
        <v>20.0</v>
      </c>
      <c r="I513" s="315">
        <v>9.769441187964048E-4</v>
      </c>
      <c r="K513" s="246"/>
      <c r="L513" s="316"/>
      <c r="M513" s="317"/>
      <c r="O513" s="329" t="str">
        <f>IFERROR(__xludf.DUMMYFUNCTION("""COMPUTED_VALUE"""),"Storm Port - Cleat 2★ #8A5")</f>
        <v>Storm Port - Cleat 2★ #8A5</v>
      </c>
      <c r="P513" s="246">
        <f>IFERROR(__xludf.DUMMYFUNCTION("""COMPUTED_VALUE"""),20.0)</f>
        <v>20</v>
      </c>
      <c r="Q513" s="317"/>
    </row>
    <row r="514" ht="12.75" customHeight="1">
      <c r="G514" s="316" t="s">
        <v>1251</v>
      </c>
      <c r="H514" s="246">
        <v>20.0</v>
      </c>
      <c r="I514" s="315">
        <v>9.769441187964048E-4</v>
      </c>
      <c r="K514" s="246"/>
      <c r="L514" s="316"/>
      <c r="M514" s="317"/>
      <c r="O514" s="329" t="str">
        <f>IFERROR(__xludf.DUMMYFUNCTION("""COMPUTED_VALUE"""),"Storm Port - Cleat 2★ #35A")</f>
        <v>Storm Port - Cleat 2★ #35A</v>
      </c>
      <c r="P514" s="246">
        <f>IFERROR(__xludf.DUMMYFUNCTION("""COMPUTED_VALUE"""),20.0)</f>
        <v>20</v>
      </c>
      <c r="Q514" s="317"/>
    </row>
    <row r="515" ht="12.75" customHeight="1">
      <c r="G515" s="316" t="s">
        <v>1252</v>
      </c>
      <c r="H515" s="246">
        <v>20.0</v>
      </c>
      <c r="I515" s="315">
        <v>9.769441187964048E-4</v>
      </c>
      <c r="K515" s="246"/>
      <c r="L515" s="316"/>
      <c r="M515" s="317"/>
      <c r="O515" s="329" t="str">
        <f>IFERROR(__xludf.DUMMYFUNCTION("""COMPUTED_VALUE"""),"Storm Port - Cleat 2★ #E0F")</f>
        <v>Storm Port - Cleat 2★ #E0F</v>
      </c>
      <c r="P515" s="246">
        <f>IFERROR(__xludf.DUMMYFUNCTION("""COMPUTED_VALUE"""),20.0)</f>
        <v>20</v>
      </c>
      <c r="Q515" s="317"/>
    </row>
    <row r="516" ht="12.75" customHeight="1">
      <c r="G516" s="316" t="s">
        <v>1253</v>
      </c>
      <c r="H516" s="246">
        <v>20.0</v>
      </c>
      <c r="I516" s="315">
        <v>9.769441187964048E-4</v>
      </c>
      <c r="K516" s="246"/>
      <c r="L516" s="316"/>
      <c r="M516" s="317"/>
      <c r="O516" s="329" t="str">
        <f>IFERROR(__xludf.DUMMYFUNCTION("""COMPUTED_VALUE"""),"Storm Port - Cleat 2★ #8C4")</f>
        <v>Storm Port - Cleat 2★ #8C4</v>
      </c>
      <c r="P516" s="246">
        <f>IFERROR(__xludf.DUMMYFUNCTION("""COMPUTED_VALUE"""),20.0)</f>
        <v>20</v>
      </c>
      <c r="Q516" s="317"/>
    </row>
    <row r="517" ht="12.75" customHeight="1">
      <c r="G517" s="316" t="s">
        <v>1254</v>
      </c>
      <c r="H517" s="246">
        <v>20.0</v>
      </c>
      <c r="I517" s="315">
        <v>9.769441187964048E-4</v>
      </c>
      <c r="K517" s="246"/>
      <c r="L517" s="316"/>
      <c r="M517" s="317"/>
      <c r="O517" s="329" t="str">
        <f>IFERROR(__xludf.DUMMYFUNCTION("""COMPUTED_VALUE"""),"Storm Port - Cleat 2★ #379")</f>
        <v>Storm Port - Cleat 2★ #379</v>
      </c>
      <c r="P517" s="246">
        <f>IFERROR(__xludf.DUMMYFUNCTION("""COMPUTED_VALUE"""),20.0)</f>
        <v>20</v>
      </c>
      <c r="Q517" s="317"/>
    </row>
    <row r="518" ht="12.75" customHeight="1">
      <c r="G518" s="316" t="s">
        <v>1255</v>
      </c>
      <c r="H518" s="246">
        <v>20.0</v>
      </c>
      <c r="I518" s="315">
        <v>9.769441187964048E-4</v>
      </c>
      <c r="K518" s="246"/>
      <c r="L518" s="316"/>
      <c r="M518" s="317"/>
      <c r="O518" s="329" t="str">
        <f>IFERROR(__xludf.DUMMYFUNCTION("""COMPUTED_VALUE"""),"Storm Port - Cleat 2★ #E2E")</f>
        <v>Storm Port - Cleat 2★ #E2E</v>
      </c>
      <c r="P518" s="246">
        <f>IFERROR(__xludf.DUMMYFUNCTION("""COMPUTED_VALUE"""),20.0)</f>
        <v>20</v>
      </c>
      <c r="Q518" s="317"/>
    </row>
    <row r="519" ht="12.75" customHeight="1">
      <c r="G519" s="316" t="s">
        <v>1256</v>
      </c>
      <c r="H519" s="246">
        <v>20.0</v>
      </c>
      <c r="I519" s="315">
        <v>9.769441187964048E-4</v>
      </c>
      <c r="K519" s="246"/>
      <c r="L519" s="316"/>
      <c r="M519" s="317"/>
      <c r="O519" s="329" t="str">
        <f>IFERROR(__xludf.DUMMYFUNCTION("""COMPUTED_VALUE"""),"Storm Port - Cleat 2★ #8E3")</f>
        <v>Storm Port - Cleat 2★ #8E3</v>
      </c>
      <c r="P519" s="246">
        <f>IFERROR(__xludf.DUMMYFUNCTION("""COMPUTED_VALUE"""),20.0)</f>
        <v>20</v>
      </c>
      <c r="Q519" s="317"/>
    </row>
    <row r="520" ht="12.75" customHeight="1">
      <c r="G520" s="316" t="s">
        <v>1257</v>
      </c>
      <c r="H520" s="246">
        <v>20.0</v>
      </c>
      <c r="I520" s="315">
        <v>9.769441187964048E-4</v>
      </c>
      <c r="K520" s="246"/>
      <c r="L520" s="316"/>
      <c r="M520" s="317"/>
      <c r="O520" s="329" t="str">
        <f>IFERROR(__xludf.DUMMYFUNCTION("""COMPUTED_VALUE"""),"Storm Port - Cleat 2★ #398")</f>
        <v>Storm Port - Cleat 2★ #398</v>
      </c>
      <c r="P520" s="246">
        <f>IFERROR(__xludf.DUMMYFUNCTION("""COMPUTED_VALUE"""),20.0)</f>
        <v>20</v>
      </c>
      <c r="Q520" s="317"/>
    </row>
    <row r="521" ht="12.75" customHeight="1">
      <c r="G521" s="316" t="s">
        <v>1258</v>
      </c>
      <c r="H521" s="246">
        <v>10.0</v>
      </c>
      <c r="I521" s="315">
        <v>4.884720593982024E-4</v>
      </c>
      <c r="K521" s="246"/>
      <c r="L521" s="316"/>
      <c r="M521" s="317"/>
      <c r="O521" s="329" t="str">
        <f>IFERROR(__xludf.DUMMYFUNCTION("""COMPUTED_VALUE"""),"Storm Port - Flare 3★ #E4D")</f>
        <v>Storm Port - Flare 3★ #E4D</v>
      </c>
      <c r="P521" s="246">
        <f>IFERROR(__xludf.DUMMYFUNCTION("""COMPUTED_VALUE"""),10.0)</f>
        <v>10</v>
      </c>
      <c r="Q521" s="317"/>
    </row>
    <row r="522" ht="12.75" customHeight="1">
      <c r="G522" s="316" t="s">
        <v>1259</v>
      </c>
      <c r="H522" s="246">
        <v>10.0</v>
      </c>
      <c r="I522" s="315">
        <v>4.884720593982024E-4</v>
      </c>
      <c r="K522" s="246"/>
      <c r="L522" s="316"/>
      <c r="M522" s="317"/>
      <c r="O522" s="329" t="str">
        <f>IFERROR(__xludf.DUMMYFUNCTION("""COMPUTED_VALUE"""),"Storm Port - Flare 3★ #902")</f>
        <v>Storm Port - Flare 3★ #902</v>
      </c>
      <c r="P522" s="246">
        <f>IFERROR(__xludf.DUMMYFUNCTION("""COMPUTED_VALUE"""),10.0)</f>
        <v>10</v>
      </c>
      <c r="Q522" s="317"/>
    </row>
    <row r="523" ht="12.75" customHeight="1">
      <c r="G523" s="316" t="s">
        <v>1260</v>
      </c>
      <c r="H523" s="246">
        <v>10.0</v>
      </c>
      <c r="I523" s="315">
        <v>4.884720593982024E-4</v>
      </c>
      <c r="K523" s="246"/>
      <c r="L523" s="316"/>
      <c r="M523" s="317"/>
      <c r="O523" s="329" t="str">
        <f>IFERROR(__xludf.DUMMYFUNCTION("""COMPUTED_VALUE"""),"Storm Port - Flare 3★ #3B7")</f>
        <v>Storm Port - Flare 3★ #3B7</v>
      </c>
      <c r="P523" s="246">
        <f>IFERROR(__xludf.DUMMYFUNCTION("""COMPUTED_VALUE"""),10.0)</f>
        <v>10</v>
      </c>
      <c r="Q523" s="317"/>
    </row>
    <row r="524" ht="12.75" customHeight="1">
      <c r="G524" s="316" t="s">
        <v>1261</v>
      </c>
      <c r="H524" s="246">
        <v>10.0</v>
      </c>
      <c r="I524" s="315">
        <v>4.884720593982024E-4</v>
      </c>
      <c r="K524" s="246"/>
      <c r="L524" s="316"/>
      <c r="M524" s="317"/>
      <c r="O524" s="329" t="str">
        <f>IFERROR(__xludf.DUMMYFUNCTION("""COMPUTED_VALUE"""),"Storm Port - Flare 3★ #E6C")</f>
        <v>Storm Port - Flare 3★ #E6C</v>
      </c>
      <c r="P524" s="246">
        <f>IFERROR(__xludf.DUMMYFUNCTION("""COMPUTED_VALUE"""),10.0)</f>
        <v>10</v>
      </c>
      <c r="Q524" s="317"/>
    </row>
    <row r="525" ht="12.75" customHeight="1">
      <c r="G525" s="316" t="s">
        <v>1262</v>
      </c>
      <c r="H525" s="246">
        <v>10.0</v>
      </c>
      <c r="I525" s="315">
        <v>4.884720593982024E-4</v>
      </c>
      <c r="K525" s="246"/>
      <c r="L525" s="316"/>
      <c r="M525" s="317"/>
      <c r="O525" s="329" t="str">
        <f>IFERROR(__xludf.DUMMYFUNCTION("""COMPUTED_VALUE"""),"Storm Port - Flare 3★ #921")</f>
        <v>Storm Port - Flare 3★ #921</v>
      </c>
      <c r="P525" s="246">
        <f>IFERROR(__xludf.DUMMYFUNCTION("""COMPUTED_VALUE"""),10.0)</f>
        <v>10</v>
      </c>
      <c r="Q525" s="317"/>
    </row>
    <row r="526" ht="12.75" customHeight="1">
      <c r="G526" s="316" t="s">
        <v>1263</v>
      </c>
      <c r="H526" s="246">
        <v>10.0</v>
      </c>
      <c r="I526" s="315">
        <v>4.884720593982024E-4</v>
      </c>
      <c r="K526" s="246"/>
      <c r="L526" s="316"/>
      <c r="M526" s="317"/>
      <c r="O526" s="329" t="str">
        <f>IFERROR(__xludf.DUMMYFUNCTION("""COMPUTED_VALUE"""),"Storm Port - Flare 3★ #3D6")</f>
        <v>Storm Port - Flare 3★ #3D6</v>
      </c>
      <c r="P526" s="246">
        <f>IFERROR(__xludf.DUMMYFUNCTION("""COMPUTED_VALUE"""),10.0)</f>
        <v>10</v>
      </c>
      <c r="Q526" s="317"/>
    </row>
    <row r="527" ht="12.75" customHeight="1">
      <c r="G527" s="316" t="s">
        <v>1264</v>
      </c>
      <c r="H527" s="246">
        <v>10.0</v>
      </c>
      <c r="I527" s="315">
        <v>4.884720593982024E-4</v>
      </c>
      <c r="K527" s="246"/>
      <c r="L527" s="316"/>
      <c r="M527" s="317"/>
      <c r="O527" s="329" t="str">
        <f>IFERROR(__xludf.DUMMYFUNCTION("""COMPUTED_VALUE"""),"Storm Port - Flare 3★ #E8B")</f>
        <v>Storm Port - Flare 3★ #E8B</v>
      </c>
      <c r="P527" s="246">
        <f>IFERROR(__xludf.DUMMYFUNCTION("""COMPUTED_VALUE"""),10.0)</f>
        <v>10</v>
      </c>
      <c r="Q527" s="317"/>
    </row>
    <row r="528" ht="12.75" customHeight="1">
      <c r="G528" s="316" t="s">
        <v>1265</v>
      </c>
      <c r="H528" s="246">
        <v>10.0</v>
      </c>
      <c r="I528" s="315">
        <v>4.884720593982024E-4</v>
      </c>
      <c r="K528" s="246"/>
      <c r="L528" s="316"/>
      <c r="M528" s="317"/>
      <c r="O528" s="329" t="str">
        <f>IFERROR(__xludf.DUMMYFUNCTION("""COMPUTED_VALUE"""),"Storm Port - Flare 3★ #940")</f>
        <v>Storm Port - Flare 3★ #940</v>
      </c>
      <c r="P528" s="246">
        <f>IFERROR(__xludf.DUMMYFUNCTION("""COMPUTED_VALUE"""),10.0)</f>
        <v>10</v>
      </c>
      <c r="Q528" s="317"/>
    </row>
    <row r="529" ht="12.75" customHeight="1">
      <c r="G529" s="316" t="s">
        <v>1266</v>
      </c>
      <c r="H529" s="246">
        <v>10.0</v>
      </c>
      <c r="I529" s="315">
        <v>4.884720593982024E-4</v>
      </c>
      <c r="K529" s="246"/>
      <c r="L529" s="316"/>
      <c r="M529" s="317"/>
      <c r="O529" s="329" t="str">
        <f>IFERROR(__xludf.DUMMYFUNCTION("""COMPUTED_VALUE"""),"Storm Port - Flare 3★ #3F5")</f>
        <v>Storm Port - Flare 3★ #3F5</v>
      </c>
      <c r="P529" s="246">
        <f>IFERROR(__xludf.DUMMYFUNCTION("""COMPUTED_VALUE"""),10.0)</f>
        <v>10</v>
      </c>
      <c r="Q529" s="317"/>
    </row>
    <row r="530" ht="12.75" customHeight="1">
      <c r="G530" s="316" t="s">
        <v>1267</v>
      </c>
      <c r="H530" s="246">
        <v>10.0</v>
      </c>
      <c r="I530" s="315">
        <v>4.884720593982024E-4</v>
      </c>
      <c r="K530" s="246"/>
      <c r="L530" s="316"/>
      <c r="M530" s="317"/>
      <c r="O530" s="329" t="str">
        <f>IFERROR(__xludf.DUMMYFUNCTION("""COMPUTED_VALUE"""),"Storm Port - Flare 3★ #EAA")</f>
        <v>Storm Port - Flare 3★ #EAA</v>
      </c>
      <c r="P530" s="246">
        <f>IFERROR(__xludf.DUMMYFUNCTION("""COMPUTED_VALUE"""),10.0)</f>
        <v>10</v>
      </c>
      <c r="Q530" s="317"/>
    </row>
    <row r="531" ht="12.75" customHeight="1">
      <c r="G531" s="316" t="s">
        <v>1268</v>
      </c>
      <c r="H531" s="246">
        <v>10.0</v>
      </c>
      <c r="I531" s="315">
        <v>4.884720593982024E-4</v>
      </c>
      <c r="K531" s="246"/>
      <c r="L531" s="316"/>
      <c r="M531" s="317"/>
      <c r="O531" s="329" t="str">
        <f>IFERROR(__xludf.DUMMYFUNCTION("""COMPUTED_VALUE"""),"Storm Port - Flare 3★ #95F")</f>
        <v>Storm Port - Flare 3★ #95F</v>
      </c>
      <c r="P531" s="246">
        <f>IFERROR(__xludf.DUMMYFUNCTION("""COMPUTED_VALUE"""),10.0)</f>
        <v>10</v>
      </c>
      <c r="Q531" s="317"/>
    </row>
    <row r="532" ht="12.75" customHeight="1">
      <c r="G532" s="316" t="s">
        <v>1269</v>
      </c>
      <c r="H532" s="246">
        <v>10.0</v>
      </c>
      <c r="I532" s="315">
        <v>4.884720593982024E-4</v>
      </c>
      <c r="K532" s="246"/>
      <c r="L532" s="316"/>
      <c r="M532" s="317"/>
      <c r="O532" s="329" t="str">
        <f>IFERROR(__xludf.DUMMYFUNCTION("""COMPUTED_VALUE"""),"Storm Port - Flare 3★ #414")</f>
        <v>Storm Port - Flare 3★ #414</v>
      </c>
      <c r="P532" s="246">
        <f>IFERROR(__xludf.DUMMYFUNCTION("""COMPUTED_VALUE"""),10.0)</f>
        <v>10</v>
      </c>
      <c r="Q532" s="317"/>
    </row>
    <row r="533" ht="12.75" customHeight="1">
      <c r="G533" s="316" t="s">
        <v>1270</v>
      </c>
      <c r="H533" s="246">
        <v>10.0</v>
      </c>
      <c r="I533" s="315">
        <v>4.884720593982024E-4</v>
      </c>
      <c r="K533" s="246"/>
      <c r="L533" s="316"/>
      <c r="M533" s="317"/>
      <c r="O533" s="329" t="str">
        <f>IFERROR(__xludf.DUMMYFUNCTION("""COMPUTED_VALUE"""),"Storm Port - Flare 3★ #EC9")</f>
        <v>Storm Port - Flare 3★ #EC9</v>
      </c>
      <c r="P533" s="246">
        <f>IFERROR(__xludf.DUMMYFUNCTION("""COMPUTED_VALUE"""),10.0)</f>
        <v>10</v>
      </c>
      <c r="Q533" s="317"/>
    </row>
    <row r="534" ht="12.75" customHeight="1">
      <c r="G534" s="316" t="s">
        <v>1271</v>
      </c>
      <c r="H534" s="246">
        <v>5.0</v>
      </c>
      <c r="I534" s="315">
        <v>2.442360296991012E-4</v>
      </c>
      <c r="K534" s="246"/>
      <c r="L534" s="316"/>
      <c r="M534" s="317"/>
      <c r="O534" s="329" t="str">
        <f>IFERROR(__xludf.DUMMYFUNCTION("""COMPUTED_VALUE"""),"Storm Port - Bucket 4★ #97E")</f>
        <v>Storm Port - Bucket 4★ #97E</v>
      </c>
      <c r="P534" s="246">
        <f>IFERROR(__xludf.DUMMYFUNCTION("""COMPUTED_VALUE"""),5.0)</f>
        <v>5</v>
      </c>
      <c r="Q534" s="317"/>
    </row>
    <row r="535" ht="12.75" customHeight="1">
      <c r="G535" s="316" t="s">
        <v>1272</v>
      </c>
      <c r="H535" s="246">
        <v>5.0</v>
      </c>
      <c r="I535" s="315">
        <v>2.442360296991012E-4</v>
      </c>
      <c r="K535" s="246"/>
      <c r="L535" s="316"/>
      <c r="M535" s="317"/>
      <c r="O535" s="329" t="str">
        <f>IFERROR(__xludf.DUMMYFUNCTION("""COMPUTED_VALUE"""),"Storm Port - Bucket 4★ #433")</f>
        <v>Storm Port - Bucket 4★ #433</v>
      </c>
      <c r="P535" s="246">
        <f>IFERROR(__xludf.DUMMYFUNCTION("""COMPUTED_VALUE"""),5.0)</f>
        <v>5</v>
      </c>
      <c r="Q535" s="317"/>
    </row>
    <row r="536" ht="12.75" customHeight="1">
      <c r="G536" s="316" t="s">
        <v>1273</v>
      </c>
      <c r="H536" s="246">
        <v>5.0</v>
      </c>
      <c r="I536" s="315">
        <v>2.442360296991012E-4</v>
      </c>
      <c r="K536" s="246"/>
      <c r="L536" s="316"/>
      <c r="M536" s="317"/>
      <c r="O536" s="329" t="str">
        <f>IFERROR(__xludf.DUMMYFUNCTION("""COMPUTED_VALUE"""),"Storm Port - Bucket 4★ #EE8")</f>
        <v>Storm Port - Bucket 4★ #EE8</v>
      </c>
      <c r="P536" s="246">
        <f>IFERROR(__xludf.DUMMYFUNCTION("""COMPUTED_VALUE"""),5.0)</f>
        <v>5</v>
      </c>
      <c r="Q536" s="317"/>
    </row>
    <row r="537" ht="12.75" customHeight="1">
      <c r="G537" s="316" t="s">
        <v>1274</v>
      </c>
      <c r="H537" s="246">
        <v>5.0</v>
      </c>
      <c r="I537" s="315">
        <v>2.442360296991012E-4</v>
      </c>
      <c r="K537" s="246"/>
      <c r="L537" s="316"/>
      <c r="M537" s="317"/>
      <c r="O537" s="329" t="str">
        <f>IFERROR(__xludf.DUMMYFUNCTION("""COMPUTED_VALUE"""),"Storm Port - Bucket 4★ #99D")</f>
        <v>Storm Port - Bucket 4★ #99D</v>
      </c>
      <c r="P537" s="246">
        <f>IFERROR(__xludf.DUMMYFUNCTION("""COMPUTED_VALUE"""),5.0)</f>
        <v>5</v>
      </c>
      <c r="Q537" s="317"/>
    </row>
    <row r="538" ht="12.75" customHeight="1">
      <c r="G538" s="316" t="s">
        <v>1275</v>
      </c>
      <c r="H538" s="246">
        <v>5.0</v>
      </c>
      <c r="I538" s="315">
        <v>2.442360296991012E-4</v>
      </c>
      <c r="K538" s="246"/>
      <c r="L538" s="316"/>
      <c r="M538" s="317"/>
      <c r="O538" s="329" t="str">
        <f>IFERROR(__xludf.DUMMYFUNCTION("""COMPUTED_VALUE"""),"Storm Port - Bucket 4★ #452")</f>
        <v>Storm Port - Bucket 4★ #452</v>
      </c>
      <c r="P538" s="246">
        <f>IFERROR(__xludf.DUMMYFUNCTION("""COMPUTED_VALUE"""),5.0)</f>
        <v>5</v>
      </c>
      <c r="Q538" s="317"/>
    </row>
    <row r="539" ht="12.75" customHeight="1">
      <c r="G539" s="316" t="s">
        <v>1276</v>
      </c>
      <c r="H539" s="246">
        <v>5.0</v>
      </c>
      <c r="I539" s="315">
        <v>2.442360296991012E-4</v>
      </c>
      <c r="K539" s="246"/>
      <c r="L539" s="316"/>
      <c r="M539" s="317"/>
      <c r="O539" s="329" t="str">
        <f>IFERROR(__xludf.DUMMYFUNCTION("""COMPUTED_VALUE"""),"Storm Port - Bucket 4★ #F07")</f>
        <v>Storm Port - Bucket 4★ #F07</v>
      </c>
      <c r="P539" s="246">
        <f>IFERROR(__xludf.DUMMYFUNCTION("""COMPUTED_VALUE"""),5.0)</f>
        <v>5</v>
      </c>
      <c r="Q539" s="317"/>
    </row>
    <row r="540" ht="12.75" customHeight="1">
      <c r="G540" s="316" t="s">
        <v>1277</v>
      </c>
      <c r="H540" s="246">
        <v>5.0</v>
      </c>
      <c r="I540" s="315">
        <v>2.442360296991012E-4</v>
      </c>
      <c r="K540" s="246"/>
      <c r="L540" s="316"/>
      <c r="M540" s="317"/>
      <c r="O540" s="329" t="str">
        <f>IFERROR(__xludf.DUMMYFUNCTION("""COMPUTED_VALUE"""),"Storm Port - Bucket 4★ #9BC")</f>
        <v>Storm Port - Bucket 4★ #9BC</v>
      </c>
      <c r="P540" s="246">
        <f>IFERROR(__xludf.DUMMYFUNCTION("""COMPUTED_VALUE"""),5.0)</f>
        <v>5</v>
      </c>
      <c r="Q540" s="317"/>
    </row>
    <row r="541" ht="12.75" customHeight="1">
      <c r="G541" s="316" t="s">
        <v>1278</v>
      </c>
      <c r="H541" s="246">
        <v>5.0</v>
      </c>
      <c r="I541" s="315">
        <v>2.442360296991012E-4</v>
      </c>
      <c r="K541" s="246"/>
      <c r="L541" s="316"/>
      <c r="M541" s="317"/>
      <c r="O541" s="329" t="str">
        <f>IFERROR(__xludf.DUMMYFUNCTION("""COMPUTED_VALUE"""),"Storm Port - Bucket 4★ #471")</f>
        <v>Storm Port - Bucket 4★ #471</v>
      </c>
      <c r="P541" s="246">
        <f>IFERROR(__xludf.DUMMYFUNCTION("""COMPUTED_VALUE"""),5.0)</f>
        <v>5</v>
      </c>
      <c r="Q541" s="317"/>
    </row>
    <row r="542" ht="12.75" customHeight="1">
      <c r="G542" s="316" t="s">
        <v>1279</v>
      </c>
      <c r="H542" s="246">
        <v>5.0</v>
      </c>
      <c r="I542" s="315">
        <v>2.442360296991012E-4</v>
      </c>
      <c r="K542" s="246"/>
      <c r="L542" s="316"/>
      <c r="M542" s="317"/>
      <c r="O542" s="329" t="str">
        <f>IFERROR(__xludf.DUMMYFUNCTION("""COMPUTED_VALUE"""),"Storm Port - Bucket 4★ #F26")</f>
        <v>Storm Port - Bucket 4★ #F26</v>
      </c>
      <c r="P542" s="246">
        <f>IFERROR(__xludf.DUMMYFUNCTION("""COMPUTED_VALUE"""),5.0)</f>
        <v>5</v>
      </c>
      <c r="Q542" s="317"/>
    </row>
    <row r="543" ht="12.75" customHeight="1">
      <c r="G543" s="316" t="s">
        <v>1280</v>
      </c>
      <c r="H543" s="246">
        <v>5.0</v>
      </c>
      <c r="I543" s="315">
        <v>2.442360296991012E-4</v>
      </c>
      <c r="K543" s="246"/>
      <c r="L543" s="316"/>
      <c r="M543" s="317"/>
      <c r="O543" s="329" t="str">
        <f>IFERROR(__xludf.DUMMYFUNCTION("""COMPUTED_VALUE"""),"Storm Port - Bucket 4★ #9DB")</f>
        <v>Storm Port - Bucket 4★ #9DB</v>
      </c>
      <c r="P543" s="246">
        <f>IFERROR(__xludf.DUMMYFUNCTION("""COMPUTED_VALUE"""),5.0)</f>
        <v>5</v>
      </c>
      <c r="Q543" s="317"/>
    </row>
    <row r="544" ht="12.75" customHeight="1">
      <c r="G544" s="316" t="s">
        <v>1281</v>
      </c>
      <c r="H544" s="246">
        <v>5.0</v>
      </c>
      <c r="I544" s="315">
        <v>2.442360296991012E-4</v>
      </c>
      <c r="K544" s="246"/>
      <c r="L544" s="316"/>
      <c r="M544" s="317"/>
      <c r="O544" s="329" t="str">
        <f>IFERROR(__xludf.DUMMYFUNCTION("""COMPUTED_VALUE"""),"Storm Port - Bucket 4★ #490")</f>
        <v>Storm Port - Bucket 4★ #490</v>
      </c>
      <c r="P544" s="246">
        <f>IFERROR(__xludf.DUMMYFUNCTION("""COMPUTED_VALUE"""),5.0)</f>
        <v>5</v>
      </c>
      <c r="Q544" s="317"/>
    </row>
    <row r="545" ht="12.75" customHeight="1">
      <c r="G545" s="316" t="s">
        <v>1282</v>
      </c>
      <c r="H545" s="246">
        <v>5.0</v>
      </c>
      <c r="I545" s="315">
        <v>2.442360296991012E-4</v>
      </c>
      <c r="K545" s="246"/>
      <c r="L545" s="316"/>
      <c r="M545" s="317"/>
      <c r="O545" s="329" t="str">
        <f>IFERROR(__xludf.DUMMYFUNCTION("""COMPUTED_VALUE"""),"Storm Port - Windmill 4★ #F45")</f>
        <v>Storm Port - Windmill 4★ #F45</v>
      </c>
      <c r="P545" s="246">
        <f>IFERROR(__xludf.DUMMYFUNCTION("""COMPUTED_VALUE"""),5.0)</f>
        <v>5</v>
      </c>
      <c r="Q545" s="317"/>
    </row>
    <row r="546" ht="12.75" customHeight="1">
      <c r="G546" s="316" t="s">
        <v>1283</v>
      </c>
      <c r="H546" s="246">
        <v>5.0</v>
      </c>
      <c r="I546" s="315">
        <v>2.442360296991012E-4</v>
      </c>
      <c r="K546" s="246"/>
      <c r="L546" s="316"/>
      <c r="M546" s="317"/>
      <c r="O546" s="329" t="str">
        <f>IFERROR(__xludf.DUMMYFUNCTION("""COMPUTED_VALUE"""),"Storm Port - Windmill 4★ #9FA")</f>
        <v>Storm Port - Windmill 4★ #9FA</v>
      </c>
      <c r="P546" s="246">
        <f>IFERROR(__xludf.DUMMYFUNCTION("""COMPUTED_VALUE"""),5.0)</f>
        <v>5</v>
      </c>
      <c r="Q546" s="317"/>
    </row>
    <row r="547" ht="12.75" customHeight="1">
      <c r="G547" s="316" t="s">
        <v>1284</v>
      </c>
      <c r="H547" s="246">
        <v>5.0</v>
      </c>
      <c r="I547" s="315">
        <v>2.442360296991012E-4</v>
      </c>
      <c r="K547" s="246"/>
      <c r="L547" s="316"/>
      <c r="M547" s="317"/>
      <c r="O547" s="329" t="str">
        <f>IFERROR(__xludf.DUMMYFUNCTION("""COMPUTED_VALUE"""),"Storm Port - Windmill 4★ #4AF")</f>
        <v>Storm Port - Windmill 4★ #4AF</v>
      </c>
      <c r="P547" s="246">
        <f>IFERROR(__xludf.DUMMYFUNCTION("""COMPUTED_VALUE"""),5.0)</f>
        <v>5</v>
      </c>
      <c r="Q547" s="317"/>
    </row>
    <row r="548" ht="12.75" customHeight="1">
      <c r="G548" s="316" t="s">
        <v>1285</v>
      </c>
      <c r="H548" s="246">
        <v>5.0</v>
      </c>
      <c r="I548" s="315">
        <v>2.442360296991012E-4</v>
      </c>
      <c r="K548" s="246"/>
      <c r="L548" s="316"/>
      <c r="M548" s="317"/>
      <c r="O548" s="329" t="str">
        <f>IFERROR(__xludf.DUMMYFUNCTION("""COMPUTED_VALUE"""),"Storm Port - Windmill 4★ #F64")</f>
        <v>Storm Port - Windmill 4★ #F64</v>
      </c>
      <c r="P548" s="246">
        <f>IFERROR(__xludf.DUMMYFUNCTION("""COMPUTED_VALUE"""),5.0)</f>
        <v>5</v>
      </c>
      <c r="Q548" s="317"/>
    </row>
    <row r="549" ht="12.75" customHeight="1">
      <c r="G549" s="316" t="s">
        <v>1286</v>
      </c>
      <c r="H549" s="246">
        <v>5.0</v>
      </c>
      <c r="I549" s="315">
        <v>2.442360296991012E-4</v>
      </c>
      <c r="K549" s="246"/>
      <c r="L549" s="316"/>
      <c r="M549" s="317"/>
      <c r="O549" s="329" t="str">
        <f>IFERROR(__xludf.DUMMYFUNCTION("""COMPUTED_VALUE"""),"Storm Port - Windmill 4★ #A19")</f>
        <v>Storm Port - Windmill 4★ #A19</v>
      </c>
      <c r="P549" s="246">
        <f>IFERROR(__xludf.DUMMYFUNCTION("""COMPUTED_VALUE"""),5.0)</f>
        <v>5</v>
      </c>
      <c r="Q549" s="317"/>
    </row>
    <row r="550" ht="12.75" customHeight="1">
      <c r="G550" s="316" t="s">
        <v>1287</v>
      </c>
      <c r="H550" s="246">
        <v>5.0</v>
      </c>
      <c r="I550" s="315">
        <v>2.442360296991012E-4</v>
      </c>
      <c r="K550" s="246"/>
      <c r="L550" s="316"/>
      <c r="M550" s="317"/>
      <c r="O550" s="329" t="str">
        <f>IFERROR(__xludf.DUMMYFUNCTION("""COMPUTED_VALUE"""),"Storm Port - Windmill 4★ #4CE")</f>
        <v>Storm Port - Windmill 4★ #4CE</v>
      </c>
      <c r="P550" s="246">
        <f>IFERROR(__xludf.DUMMYFUNCTION("""COMPUTED_VALUE"""),5.0)</f>
        <v>5</v>
      </c>
      <c r="Q550" s="317"/>
    </row>
    <row r="551" ht="12.75" customHeight="1">
      <c r="G551" s="316" t="s">
        <v>1288</v>
      </c>
      <c r="H551" s="246">
        <v>5.0</v>
      </c>
      <c r="I551" s="315">
        <v>2.442360296991012E-4</v>
      </c>
      <c r="K551" s="246"/>
      <c r="L551" s="316"/>
      <c r="M551" s="317"/>
      <c r="O551" s="329" t="str">
        <f>IFERROR(__xludf.DUMMYFUNCTION("""COMPUTED_VALUE"""),"Storm Port - Windmill 4★ #F83")</f>
        <v>Storm Port - Windmill 4★ #F83</v>
      </c>
      <c r="P551" s="246">
        <f>IFERROR(__xludf.DUMMYFUNCTION("""COMPUTED_VALUE"""),5.0)</f>
        <v>5</v>
      </c>
      <c r="Q551" s="317"/>
    </row>
    <row r="552" ht="12.75" customHeight="1">
      <c r="G552" s="316" t="s">
        <v>1289</v>
      </c>
      <c r="H552" s="246">
        <v>5.0</v>
      </c>
      <c r="I552" s="315">
        <v>2.442360296991012E-4</v>
      </c>
      <c r="K552" s="246"/>
      <c r="L552" s="316"/>
      <c r="M552" s="317"/>
      <c r="O552" s="329" t="str">
        <f>IFERROR(__xludf.DUMMYFUNCTION("""COMPUTED_VALUE"""),"Storm Port - Windmill 4★ #A38")</f>
        <v>Storm Port - Windmill 4★ #A38</v>
      </c>
      <c r="P552" s="246">
        <f>IFERROR(__xludf.DUMMYFUNCTION("""COMPUTED_VALUE"""),5.0)</f>
        <v>5</v>
      </c>
      <c r="Q552" s="317"/>
    </row>
    <row r="553" ht="12.75" customHeight="1">
      <c r="G553" s="316" t="s">
        <v>1290</v>
      </c>
      <c r="H553" s="246">
        <v>5.0</v>
      </c>
      <c r="I553" s="315">
        <v>2.442360296991012E-4</v>
      </c>
      <c r="K553" s="246"/>
      <c r="L553" s="316"/>
      <c r="M553" s="317"/>
      <c r="O553" s="329" t="str">
        <f>IFERROR(__xludf.DUMMYFUNCTION("""COMPUTED_VALUE"""),"Storm Port - Windmill 4★ #4ED")</f>
        <v>Storm Port - Windmill 4★ #4ED</v>
      </c>
      <c r="P553" s="246">
        <f>IFERROR(__xludf.DUMMYFUNCTION("""COMPUTED_VALUE"""),5.0)</f>
        <v>5</v>
      </c>
      <c r="Q553" s="317"/>
    </row>
    <row r="554" ht="12.75" customHeight="1">
      <c r="G554" s="316" t="s">
        <v>1291</v>
      </c>
      <c r="H554" s="246">
        <v>5.0</v>
      </c>
      <c r="I554" s="315">
        <v>2.442360296991012E-4</v>
      </c>
      <c r="K554" s="246"/>
      <c r="L554" s="316"/>
      <c r="M554" s="317"/>
      <c r="O554" s="329" t="str">
        <f>IFERROR(__xludf.DUMMYFUNCTION("""COMPUTED_VALUE"""),"Storm Port - Windmill 4★ #FA2")</f>
        <v>Storm Port - Windmill 4★ #FA2</v>
      </c>
      <c r="P554" s="246">
        <f>IFERROR(__xludf.DUMMYFUNCTION("""COMPUTED_VALUE"""),5.0)</f>
        <v>5</v>
      </c>
      <c r="Q554" s="317"/>
    </row>
    <row r="555" ht="12.75" customHeight="1">
      <c r="G555" s="316" t="s">
        <v>1292</v>
      </c>
      <c r="H555" s="246">
        <v>5.0</v>
      </c>
      <c r="I555" s="315">
        <v>2.442360296991012E-4</v>
      </c>
      <c r="K555" s="246"/>
      <c r="L555" s="316"/>
      <c r="M555" s="317"/>
      <c r="O555" s="329" t="str">
        <f>IFERROR(__xludf.DUMMYFUNCTION("""COMPUTED_VALUE"""),"Storm Port - Windmill 4★ #A57")</f>
        <v>Storm Port - Windmill 4★ #A57</v>
      </c>
      <c r="P555" s="246">
        <f>IFERROR(__xludf.DUMMYFUNCTION("""COMPUTED_VALUE"""),5.0)</f>
        <v>5</v>
      </c>
      <c r="Q555" s="317"/>
    </row>
    <row r="556" ht="12.75" customHeight="1">
      <c r="G556" s="316" t="s">
        <v>1293</v>
      </c>
      <c r="H556" s="246">
        <v>2.0</v>
      </c>
      <c r="I556" s="315">
        <v>9.769441187964049E-5</v>
      </c>
      <c r="K556" s="246"/>
      <c r="L556" s="316"/>
      <c r="M556" s="317"/>
      <c r="O556" s="329" t="str">
        <f>IFERROR(__xludf.DUMMYFUNCTION("""COMPUTED_VALUE"""),"Storm Port - Lighthouse 5★ #50C")</f>
        <v>Storm Port - Lighthouse 5★ #50C</v>
      </c>
      <c r="P556" s="246">
        <f>IFERROR(__xludf.DUMMYFUNCTION("""COMPUTED_VALUE"""),2.0)</f>
        <v>2</v>
      </c>
      <c r="Q556" s="317"/>
    </row>
    <row r="557" ht="12.75" customHeight="1">
      <c r="G557" s="316" t="s">
        <v>1294</v>
      </c>
      <c r="H557" s="246">
        <v>2.0</v>
      </c>
      <c r="I557" s="315">
        <v>9.769441187964049E-5</v>
      </c>
      <c r="K557" s="246"/>
      <c r="L557" s="316"/>
      <c r="M557" s="317"/>
      <c r="O557" s="329" t="str">
        <f>IFERROR(__xludf.DUMMYFUNCTION("""COMPUTED_VALUE"""),"Storm Port - Lighthouse 5★ #FC1")</f>
        <v>Storm Port - Lighthouse 5★ #FC1</v>
      </c>
      <c r="P557" s="246">
        <f>IFERROR(__xludf.DUMMYFUNCTION("""COMPUTED_VALUE"""),2.0)</f>
        <v>2</v>
      </c>
      <c r="Q557" s="317"/>
    </row>
    <row r="558" ht="12.75" customHeight="1">
      <c r="G558" s="316" t="s">
        <v>1295</v>
      </c>
      <c r="H558" s="246">
        <v>2.0</v>
      </c>
      <c r="I558" s="315">
        <v>9.769441187964049E-5</v>
      </c>
      <c r="K558" s="246"/>
      <c r="L558" s="316"/>
      <c r="M558" s="317"/>
      <c r="O558" s="329" t="str">
        <f>IFERROR(__xludf.DUMMYFUNCTION("""COMPUTED_VALUE"""),"Storm Port - Lighthouse 5★ #A76")</f>
        <v>Storm Port - Lighthouse 5★ #A76</v>
      </c>
      <c r="P558" s="246">
        <f>IFERROR(__xludf.DUMMYFUNCTION("""COMPUTED_VALUE"""),2.0)</f>
        <v>2</v>
      </c>
      <c r="Q558" s="317"/>
    </row>
    <row r="559" ht="12.75" customHeight="1">
      <c r="G559" s="316" t="s">
        <v>1296</v>
      </c>
      <c r="H559" s="246">
        <v>2.0</v>
      </c>
      <c r="I559" s="315">
        <v>9.769441187964049E-5</v>
      </c>
      <c r="K559" s="246"/>
      <c r="L559" s="316"/>
      <c r="M559" s="317"/>
      <c r="O559" s="329" t="str">
        <f>IFERROR(__xludf.DUMMYFUNCTION("""COMPUTED_VALUE"""),"Storm Port - Lighthouse 5★ #52B")</f>
        <v>Storm Port - Lighthouse 5★ #52B</v>
      </c>
      <c r="P559" s="246">
        <f>IFERROR(__xludf.DUMMYFUNCTION("""COMPUTED_VALUE"""),2.0)</f>
        <v>2</v>
      </c>
      <c r="Q559" s="317"/>
    </row>
    <row r="560" ht="12.75" customHeight="1">
      <c r="G560" s="316" t="s">
        <v>1297</v>
      </c>
      <c r="H560" s="246">
        <v>2.0</v>
      </c>
      <c r="I560" s="315">
        <v>9.769441187964049E-5</v>
      </c>
      <c r="K560" s="246"/>
      <c r="L560" s="316"/>
      <c r="M560" s="317"/>
      <c r="O560" s="329" t="str">
        <f>IFERROR(__xludf.DUMMYFUNCTION("""COMPUTED_VALUE"""),"Storm Port - Lighthouse 5★ #FE0")</f>
        <v>Storm Port - Lighthouse 5★ #FE0</v>
      </c>
      <c r="P560" s="246">
        <f>IFERROR(__xludf.DUMMYFUNCTION("""COMPUTED_VALUE"""),2.0)</f>
        <v>2</v>
      </c>
      <c r="Q560" s="317"/>
    </row>
    <row r="561" ht="12.75" customHeight="1">
      <c r="G561" s="316" t="s">
        <v>1298</v>
      </c>
      <c r="H561" s="246">
        <v>2.0</v>
      </c>
      <c r="I561" s="315">
        <v>9.769441187964049E-5</v>
      </c>
      <c r="K561" s="246"/>
      <c r="L561" s="316"/>
      <c r="M561" s="317"/>
      <c r="O561" s="329" t="str">
        <f>IFERROR(__xludf.DUMMYFUNCTION("""COMPUTED_VALUE"""),"Storm Port - Drum 5★ #A95")</f>
        <v>Storm Port - Drum 5★ #A95</v>
      </c>
      <c r="P561" s="246">
        <f>IFERROR(__xludf.DUMMYFUNCTION("""COMPUTED_VALUE"""),2.0)</f>
        <v>2</v>
      </c>
      <c r="Q561" s="317"/>
    </row>
    <row r="562" ht="12.75" customHeight="1">
      <c r="G562" s="316" t="s">
        <v>1299</v>
      </c>
      <c r="H562" s="246">
        <v>2.0</v>
      </c>
      <c r="I562" s="315">
        <v>9.769441187964049E-5</v>
      </c>
      <c r="K562" s="246"/>
      <c r="L562" s="316"/>
      <c r="M562" s="317"/>
      <c r="O562" s="329" t="str">
        <f>IFERROR(__xludf.DUMMYFUNCTION("""COMPUTED_VALUE"""),"Storm Port - Drum 5★ #54A")</f>
        <v>Storm Port - Drum 5★ #54A</v>
      </c>
      <c r="P562" s="246">
        <f>IFERROR(__xludf.DUMMYFUNCTION("""COMPUTED_VALUE"""),2.0)</f>
        <v>2</v>
      </c>
      <c r="Q562" s="317"/>
    </row>
    <row r="563" ht="12.75" customHeight="1">
      <c r="G563" s="316" t="s">
        <v>1300</v>
      </c>
      <c r="H563" s="246">
        <v>2.0</v>
      </c>
      <c r="I563" s="315">
        <v>9.769441187964049E-5</v>
      </c>
      <c r="K563" s="246"/>
      <c r="L563" s="316"/>
      <c r="M563" s="317"/>
      <c r="O563" s="329" t="str">
        <f>IFERROR(__xludf.DUMMYFUNCTION("""COMPUTED_VALUE"""),"Storm Port - Drum 5★ #FFF")</f>
        <v>Storm Port - Drum 5★ #FFF</v>
      </c>
      <c r="P563" s="246">
        <f>IFERROR(__xludf.DUMMYFUNCTION("""COMPUTED_VALUE"""),2.0)</f>
        <v>2</v>
      </c>
      <c r="Q563" s="317"/>
    </row>
    <row r="564" ht="12.75" customHeight="1">
      <c r="G564" s="316" t="s">
        <v>1301</v>
      </c>
      <c r="H564" s="246">
        <v>2.0</v>
      </c>
      <c r="I564" s="315">
        <v>9.769441187964049E-5</v>
      </c>
      <c r="K564" s="246"/>
      <c r="L564" s="316"/>
      <c r="M564" s="317"/>
      <c r="O564" s="329" t="str">
        <f>IFERROR(__xludf.DUMMYFUNCTION("""COMPUTED_VALUE"""),"Storm Port - Drum 5★ #AB4")</f>
        <v>Storm Port - Drum 5★ #AB4</v>
      </c>
      <c r="P564" s="246">
        <f>IFERROR(__xludf.DUMMYFUNCTION("""COMPUTED_VALUE"""),2.0)</f>
        <v>2</v>
      </c>
      <c r="Q564" s="317"/>
    </row>
    <row r="565" ht="12.75" customHeight="1">
      <c r="G565" s="316" t="s">
        <v>1302</v>
      </c>
      <c r="H565" s="246">
        <v>2.0</v>
      </c>
      <c r="I565" s="315">
        <v>9.769441187964049E-5</v>
      </c>
      <c r="K565" s="246"/>
      <c r="L565" s="316"/>
      <c r="M565" s="317"/>
      <c r="O565" s="329" t="str">
        <f>IFERROR(__xludf.DUMMYFUNCTION("""COMPUTED_VALUE"""),"Storm Port - Drum 5★ #569")</f>
        <v>Storm Port - Drum 5★ #569</v>
      </c>
      <c r="P565" s="246">
        <f>IFERROR(__xludf.DUMMYFUNCTION("""COMPUTED_VALUE"""),2.0)</f>
        <v>2</v>
      </c>
      <c r="Q565" s="317"/>
    </row>
    <row r="566" ht="12.75" customHeight="1">
      <c r="G566" s="316" t="s">
        <v>1303</v>
      </c>
      <c r="H566" s="246">
        <v>50.0</v>
      </c>
      <c r="I566" s="315">
        <v>0.0024423602969910123</v>
      </c>
      <c r="K566" s="246"/>
      <c r="L566" s="316"/>
      <c r="M566" s="317"/>
      <c r="O566" s="329" t="str">
        <f>IFERROR(__xludf.DUMMYFUNCTION("""COMPUTED_VALUE"""),"Cannon Fort - Cannonball 1★ #01E")</f>
        <v>Cannon Fort - Cannonball 1★ #01E</v>
      </c>
      <c r="P566" s="246">
        <f>IFERROR(__xludf.DUMMYFUNCTION("""COMPUTED_VALUE"""),50.0)</f>
        <v>50</v>
      </c>
      <c r="Q566" s="317"/>
    </row>
    <row r="567" ht="12.75" customHeight="1">
      <c r="G567" s="316" t="s">
        <v>1304</v>
      </c>
      <c r="H567" s="246">
        <v>50.0</v>
      </c>
      <c r="I567" s="315">
        <v>0.0024423602969910123</v>
      </c>
      <c r="K567" s="246"/>
      <c r="L567" s="316"/>
      <c r="M567" s="317"/>
      <c r="O567" s="329" t="str">
        <f>IFERROR(__xludf.DUMMYFUNCTION("""COMPUTED_VALUE"""),"Cannon Fort - Cannonball 1★ #AD3")</f>
        <v>Cannon Fort - Cannonball 1★ #AD3</v>
      </c>
      <c r="P567" s="246">
        <f>IFERROR(__xludf.DUMMYFUNCTION("""COMPUTED_VALUE"""),50.0)</f>
        <v>50</v>
      </c>
      <c r="Q567" s="317"/>
    </row>
    <row r="568" ht="12.75" customHeight="1">
      <c r="G568" s="316" t="s">
        <v>1305</v>
      </c>
      <c r="H568" s="246">
        <v>50.0</v>
      </c>
      <c r="I568" s="315">
        <v>0.0024423602969910123</v>
      </c>
      <c r="K568" s="246"/>
      <c r="L568" s="316"/>
      <c r="M568" s="317"/>
      <c r="O568" s="329" t="str">
        <f>IFERROR(__xludf.DUMMYFUNCTION("""COMPUTED_VALUE"""),"Cannon Fort - Cannonball 1★ #588")</f>
        <v>Cannon Fort - Cannonball 1★ #588</v>
      </c>
      <c r="P568" s="246">
        <f>IFERROR(__xludf.DUMMYFUNCTION("""COMPUTED_VALUE"""),50.0)</f>
        <v>50</v>
      </c>
      <c r="Q568" s="317"/>
    </row>
    <row r="569" ht="12.75" customHeight="1">
      <c r="G569" s="316" t="s">
        <v>1306</v>
      </c>
      <c r="H569" s="246">
        <v>50.0</v>
      </c>
      <c r="I569" s="315">
        <v>0.0024423602969910123</v>
      </c>
      <c r="K569" s="246"/>
      <c r="L569" s="316"/>
      <c r="M569" s="317"/>
      <c r="O569" s="329" t="str">
        <f>IFERROR(__xludf.DUMMYFUNCTION("""COMPUTED_VALUE"""),"Cannon Fort - Cannonball 1★ #03D")</f>
        <v>Cannon Fort - Cannonball 1★ #03D</v>
      </c>
      <c r="P569" s="246">
        <f>IFERROR(__xludf.DUMMYFUNCTION("""COMPUTED_VALUE"""),50.0)</f>
        <v>50</v>
      </c>
      <c r="Q569" s="317"/>
    </row>
    <row r="570" ht="12.75" customHeight="1">
      <c r="G570" s="316" t="s">
        <v>1307</v>
      </c>
      <c r="H570" s="246">
        <v>50.0</v>
      </c>
      <c r="I570" s="315">
        <v>0.0024423602969910123</v>
      </c>
      <c r="K570" s="246"/>
      <c r="L570" s="316"/>
      <c r="M570" s="317"/>
      <c r="O570" s="329" t="str">
        <f>IFERROR(__xludf.DUMMYFUNCTION("""COMPUTED_VALUE"""),"Cannon Fort - Cannonball 1★ #AF2")</f>
        <v>Cannon Fort - Cannonball 1★ #AF2</v>
      </c>
      <c r="P570" s="246">
        <f>IFERROR(__xludf.DUMMYFUNCTION("""COMPUTED_VALUE"""),50.0)</f>
        <v>50</v>
      </c>
      <c r="Q570" s="317"/>
    </row>
    <row r="571" ht="12.75" customHeight="1">
      <c r="G571" s="316" t="s">
        <v>1308</v>
      </c>
      <c r="H571" s="246">
        <v>50.0</v>
      </c>
      <c r="I571" s="315">
        <v>0.0024423602969910123</v>
      </c>
      <c r="K571" s="246"/>
      <c r="L571" s="316"/>
      <c r="M571" s="317"/>
      <c r="O571" s="329" t="str">
        <f>IFERROR(__xludf.DUMMYFUNCTION("""COMPUTED_VALUE"""),"Cannon Fort - Cannonball 1★ #5A7")</f>
        <v>Cannon Fort - Cannonball 1★ #5A7</v>
      </c>
      <c r="P571" s="246">
        <f>IFERROR(__xludf.DUMMYFUNCTION("""COMPUTED_VALUE"""),50.0)</f>
        <v>50</v>
      </c>
      <c r="Q571" s="317"/>
    </row>
    <row r="572" ht="12.75" customHeight="1">
      <c r="G572" s="316" t="s">
        <v>1309</v>
      </c>
      <c r="H572" s="246">
        <v>50.0</v>
      </c>
      <c r="I572" s="315">
        <v>0.0024423602969910123</v>
      </c>
      <c r="K572" s="246"/>
      <c r="L572" s="316"/>
      <c r="M572" s="317"/>
      <c r="O572" s="329" t="str">
        <f>IFERROR(__xludf.DUMMYFUNCTION("""COMPUTED_VALUE"""),"Cannon Fort - Cannonball 1★ #05C")</f>
        <v>Cannon Fort - Cannonball 1★ #05C</v>
      </c>
      <c r="P572" s="246">
        <f>IFERROR(__xludf.DUMMYFUNCTION("""COMPUTED_VALUE"""),50.0)</f>
        <v>50</v>
      </c>
      <c r="Q572" s="317"/>
    </row>
    <row r="573" ht="12.75" customHeight="1">
      <c r="G573" s="316" t="s">
        <v>1310</v>
      </c>
      <c r="H573" s="246">
        <v>50.0</v>
      </c>
      <c r="I573" s="315">
        <v>0.0024423602969910123</v>
      </c>
      <c r="K573" s="246"/>
      <c r="L573" s="316"/>
      <c r="M573" s="317"/>
      <c r="O573" s="329" t="str">
        <f>IFERROR(__xludf.DUMMYFUNCTION("""COMPUTED_VALUE"""),"Cannon Fort - Cannonball 1★ #B11")</f>
        <v>Cannon Fort - Cannonball 1★ #B11</v>
      </c>
      <c r="P573" s="246">
        <f>IFERROR(__xludf.DUMMYFUNCTION("""COMPUTED_VALUE"""),50.0)</f>
        <v>50</v>
      </c>
      <c r="Q573" s="317"/>
    </row>
    <row r="574" ht="12.75" customHeight="1">
      <c r="G574" s="316" t="s">
        <v>1311</v>
      </c>
      <c r="H574" s="246">
        <v>50.0</v>
      </c>
      <c r="I574" s="315">
        <v>0.0024423602969910123</v>
      </c>
      <c r="K574" s="246"/>
      <c r="L574" s="316"/>
      <c r="M574" s="317"/>
      <c r="O574" s="329" t="str">
        <f>IFERROR(__xludf.DUMMYFUNCTION("""COMPUTED_VALUE"""),"Cannon Fort - Cannonball 1★ #5C6")</f>
        <v>Cannon Fort - Cannonball 1★ #5C6</v>
      </c>
      <c r="P574" s="246">
        <f>IFERROR(__xludf.DUMMYFUNCTION("""COMPUTED_VALUE"""),50.0)</f>
        <v>50</v>
      </c>
      <c r="Q574" s="317"/>
    </row>
    <row r="575" ht="12.75" customHeight="1">
      <c r="G575" s="316" t="s">
        <v>1312</v>
      </c>
      <c r="H575" s="246">
        <v>50.0</v>
      </c>
      <c r="I575" s="315">
        <v>0.0024423602969910123</v>
      </c>
      <c r="K575" s="246"/>
      <c r="L575" s="316"/>
      <c r="M575" s="317"/>
      <c r="O575" s="329" t="str">
        <f>IFERROR(__xludf.DUMMYFUNCTION("""COMPUTED_VALUE"""),"Cannon Fort - Cannonball 1★ #07B")</f>
        <v>Cannon Fort - Cannonball 1★ #07B</v>
      </c>
      <c r="P575" s="246">
        <f>IFERROR(__xludf.DUMMYFUNCTION("""COMPUTED_VALUE"""),50.0)</f>
        <v>50</v>
      </c>
      <c r="Q575" s="317"/>
    </row>
    <row r="576" ht="12.75" customHeight="1">
      <c r="G576" s="316" t="s">
        <v>1313</v>
      </c>
      <c r="H576" s="246">
        <v>50.0</v>
      </c>
      <c r="I576" s="315">
        <v>0.0024423602969910123</v>
      </c>
      <c r="K576" s="246"/>
      <c r="L576" s="316"/>
      <c r="M576" s="317"/>
      <c r="O576" s="329" t="str">
        <f>IFERROR(__xludf.DUMMYFUNCTION("""COMPUTED_VALUE"""),"Cannon Fort - Cannonball 1★ #B30")</f>
        <v>Cannon Fort - Cannonball 1★ #B30</v>
      </c>
      <c r="P576" s="246">
        <f>IFERROR(__xludf.DUMMYFUNCTION("""COMPUTED_VALUE"""),50.0)</f>
        <v>50</v>
      </c>
      <c r="Q576" s="317"/>
    </row>
    <row r="577" ht="12.75" customHeight="1">
      <c r="G577" s="316" t="s">
        <v>1314</v>
      </c>
      <c r="H577" s="246">
        <v>50.0</v>
      </c>
      <c r="I577" s="315">
        <v>0.0024423602969910123</v>
      </c>
      <c r="K577" s="246"/>
      <c r="L577" s="316"/>
      <c r="M577" s="317"/>
      <c r="O577" s="329" t="str">
        <f>IFERROR(__xludf.DUMMYFUNCTION("""COMPUTED_VALUE"""),"Cannon Fort - Cannonball 1★ #5E5")</f>
        <v>Cannon Fort - Cannonball 1★ #5E5</v>
      </c>
      <c r="P577" s="246">
        <f>IFERROR(__xludf.DUMMYFUNCTION("""COMPUTED_VALUE"""),50.0)</f>
        <v>50</v>
      </c>
      <c r="Q577" s="317"/>
    </row>
    <row r="578" ht="12.75" customHeight="1">
      <c r="G578" s="316" t="s">
        <v>1315</v>
      </c>
      <c r="H578" s="246">
        <v>50.0</v>
      </c>
      <c r="I578" s="315">
        <v>0.0024423602969910123</v>
      </c>
      <c r="K578" s="246"/>
      <c r="L578" s="316"/>
      <c r="M578" s="317"/>
      <c r="O578" s="329" t="str">
        <f>IFERROR(__xludf.DUMMYFUNCTION("""COMPUTED_VALUE"""),"Cannon Fort - Cannonball 1★ #09A")</f>
        <v>Cannon Fort - Cannonball 1★ #09A</v>
      </c>
      <c r="P578" s="246">
        <f>IFERROR(__xludf.DUMMYFUNCTION("""COMPUTED_VALUE"""),50.0)</f>
        <v>50</v>
      </c>
      <c r="Q578" s="317"/>
    </row>
    <row r="579" ht="12.75" customHeight="1">
      <c r="G579" s="316" t="s">
        <v>1316</v>
      </c>
      <c r="H579" s="246">
        <v>50.0</v>
      </c>
      <c r="I579" s="315">
        <v>0.0024423602969910123</v>
      </c>
      <c r="K579" s="246"/>
      <c r="L579" s="316"/>
      <c r="M579" s="317"/>
      <c r="O579" s="329" t="str">
        <f>IFERROR(__xludf.DUMMYFUNCTION("""COMPUTED_VALUE"""),"Cannon Fort - Powder 1★ #B4F")</f>
        <v>Cannon Fort - Powder 1★ #B4F</v>
      </c>
      <c r="P579" s="246">
        <f>IFERROR(__xludf.DUMMYFUNCTION("""COMPUTED_VALUE"""),50.0)</f>
        <v>50</v>
      </c>
      <c r="Q579" s="317"/>
    </row>
    <row r="580" ht="12.75" customHeight="1">
      <c r="G580" s="316" t="s">
        <v>1317</v>
      </c>
      <c r="H580" s="246">
        <v>50.0</v>
      </c>
      <c r="I580" s="315">
        <v>0.0024423602969910123</v>
      </c>
      <c r="K580" s="246"/>
      <c r="L580" s="316"/>
      <c r="M580" s="317"/>
      <c r="O580" s="329" t="str">
        <f>IFERROR(__xludf.DUMMYFUNCTION("""COMPUTED_VALUE"""),"Cannon Fort - Powder 1★ #604")</f>
        <v>Cannon Fort - Powder 1★ #604</v>
      </c>
      <c r="P580" s="246">
        <f>IFERROR(__xludf.DUMMYFUNCTION("""COMPUTED_VALUE"""),50.0)</f>
        <v>50</v>
      </c>
      <c r="Q580" s="317"/>
    </row>
    <row r="581" ht="12.75" customHeight="1">
      <c r="G581" s="316" t="s">
        <v>1318</v>
      </c>
      <c r="H581" s="246">
        <v>50.0</v>
      </c>
      <c r="I581" s="315">
        <v>0.0024423602969910123</v>
      </c>
      <c r="K581" s="246"/>
      <c r="L581" s="316"/>
      <c r="M581" s="317"/>
      <c r="O581" s="329" t="str">
        <f>IFERROR(__xludf.DUMMYFUNCTION("""COMPUTED_VALUE"""),"Cannon Fort - Powder 1★ #0B9")</f>
        <v>Cannon Fort - Powder 1★ #0B9</v>
      </c>
      <c r="P581" s="246">
        <f>IFERROR(__xludf.DUMMYFUNCTION("""COMPUTED_VALUE"""),50.0)</f>
        <v>50</v>
      </c>
      <c r="Q581" s="317"/>
    </row>
    <row r="582" ht="12.75" customHeight="1">
      <c r="G582" s="316" t="s">
        <v>1319</v>
      </c>
      <c r="H582" s="246">
        <v>50.0</v>
      </c>
      <c r="I582" s="315">
        <v>0.0024423602969910123</v>
      </c>
      <c r="K582" s="246"/>
      <c r="L582" s="316"/>
      <c r="M582" s="317"/>
      <c r="O582" s="329" t="str">
        <f>IFERROR(__xludf.DUMMYFUNCTION("""COMPUTED_VALUE"""),"Cannon Fort - Powder 1★ #B6E")</f>
        <v>Cannon Fort - Powder 1★ #B6E</v>
      </c>
      <c r="P582" s="246">
        <f>IFERROR(__xludf.DUMMYFUNCTION("""COMPUTED_VALUE"""),50.0)</f>
        <v>50</v>
      </c>
      <c r="Q582" s="317"/>
    </row>
    <row r="583" ht="12.75" customHeight="1">
      <c r="G583" s="316" t="s">
        <v>1320</v>
      </c>
      <c r="H583" s="246">
        <v>50.0</v>
      </c>
      <c r="I583" s="315">
        <v>0.0024423602969910123</v>
      </c>
      <c r="K583" s="246"/>
      <c r="L583" s="316"/>
      <c r="M583" s="317"/>
      <c r="O583" s="329" t="str">
        <f>IFERROR(__xludf.DUMMYFUNCTION("""COMPUTED_VALUE"""),"Cannon Fort - Powder 1★ #623")</f>
        <v>Cannon Fort - Powder 1★ #623</v>
      </c>
      <c r="P583" s="246">
        <f>IFERROR(__xludf.DUMMYFUNCTION("""COMPUTED_VALUE"""),50.0)</f>
        <v>50</v>
      </c>
      <c r="Q583" s="317"/>
    </row>
    <row r="584" ht="12.75" customHeight="1">
      <c r="G584" s="316" t="s">
        <v>1321</v>
      </c>
      <c r="H584" s="246">
        <v>50.0</v>
      </c>
      <c r="I584" s="315">
        <v>0.0024423602969910123</v>
      </c>
      <c r="K584" s="246"/>
      <c r="L584" s="316"/>
      <c r="M584" s="317"/>
      <c r="O584" s="329" t="str">
        <f>IFERROR(__xludf.DUMMYFUNCTION("""COMPUTED_VALUE"""),"Cannon Fort - Powder 1★ #0D8")</f>
        <v>Cannon Fort - Powder 1★ #0D8</v>
      </c>
      <c r="P584" s="246">
        <f>IFERROR(__xludf.DUMMYFUNCTION("""COMPUTED_VALUE"""),50.0)</f>
        <v>50</v>
      </c>
      <c r="Q584" s="317"/>
    </row>
    <row r="585" ht="12.75" customHeight="1">
      <c r="G585" s="316" t="s">
        <v>1322</v>
      </c>
      <c r="H585" s="246">
        <v>50.0</v>
      </c>
      <c r="I585" s="315">
        <v>0.0024423602969910123</v>
      </c>
      <c r="K585" s="246"/>
      <c r="L585" s="316"/>
      <c r="M585" s="317"/>
      <c r="O585" s="329" t="str">
        <f>IFERROR(__xludf.DUMMYFUNCTION("""COMPUTED_VALUE"""),"Cannon Fort - Powder 1★ #B8D")</f>
        <v>Cannon Fort - Powder 1★ #B8D</v>
      </c>
      <c r="P585" s="246">
        <f>IFERROR(__xludf.DUMMYFUNCTION("""COMPUTED_VALUE"""),50.0)</f>
        <v>50</v>
      </c>
      <c r="Q585" s="317"/>
    </row>
    <row r="586" ht="12.75" customHeight="1">
      <c r="G586" s="316" t="s">
        <v>1323</v>
      </c>
      <c r="H586" s="246">
        <v>50.0</v>
      </c>
      <c r="I586" s="315">
        <v>0.0024423602969910123</v>
      </c>
      <c r="K586" s="246"/>
      <c r="L586" s="316"/>
      <c r="M586" s="317"/>
      <c r="O586" s="329" t="str">
        <f>IFERROR(__xludf.DUMMYFUNCTION("""COMPUTED_VALUE"""),"Cannon Fort - Powder 1★ #642")</f>
        <v>Cannon Fort - Powder 1★ #642</v>
      </c>
      <c r="P586" s="246">
        <f>IFERROR(__xludf.DUMMYFUNCTION("""COMPUTED_VALUE"""),50.0)</f>
        <v>50</v>
      </c>
      <c r="Q586" s="317"/>
    </row>
    <row r="587" ht="12.75" customHeight="1">
      <c r="G587" s="316" t="s">
        <v>1324</v>
      </c>
      <c r="H587" s="246">
        <v>50.0</v>
      </c>
      <c r="I587" s="315">
        <v>0.0024423602969910123</v>
      </c>
      <c r="K587" s="246"/>
      <c r="L587" s="316"/>
      <c r="M587" s="317"/>
      <c r="O587" s="329" t="str">
        <f>IFERROR(__xludf.DUMMYFUNCTION("""COMPUTED_VALUE"""),"Cannon Fort - Powder 1★ #0F7")</f>
        <v>Cannon Fort - Powder 1★ #0F7</v>
      </c>
      <c r="P587" s="246">
        <f>IFERROR(__xludf.DUMMYFUNCTION("""COMPUTED_VALUE"""),50.0)</f>
        <v>50</v>
      </c>
      <c r="Q587" s="317"/>
    </row>
    <row r="588" ht="12.75" customHeight="1">
      <c r="G588" s="316" t="s">
        <v>1325</v>
      </c>
      <c r="H588" s="246">
        <v>50.0</v>
      </c>
      <c r="I588" s="315">
        <v>0.0024423602969910123</v>
      </c>
      <c r="K588" s="246"/>
      <c r="L588" s="316"/>
      <c r="M588" s="317"/>
      <c r="O588" s="329" t="str">
        <f>IFERROR(__xludf.DUMMYFUNCTION("""COMPUTED_VALUE"""),"Cannon Fort - Powder 1★ #BAC")</f>
        <v>Cannon Fort - Powder 1★ #BAC</v>
      </c>
      <c r="P588" s="246">
        <f>IFERROR(__xludf.DUMMYFUNCTION("""COMPUTED_VALUE"""),50.0)</f>
        <v>50</v>
      </c>
      <c r="Q588" s="317"/>
    </row>
    <row r="589" ht="12.75" customHeight="1">
      <c r="G589" s="316" t="s">
        <v>1326</v>
      </c>
      <c r="H589" s="246">
        <v>50.0</v>
      </c>
      <c r="I589" s="315">
        <v>0.0024423602969910123</v>
      </c>
      <c r="K589" s="246"/>
      <c r="L589" s="316"/>
      <c r="M589" s="317"/>
      <c r="O589" s="329" t="str">
        <f>IFERROR(__xludf.DUMMYFUNCTION("""COMPUTED_VALUE"""),"Cannon Fort - Powder 1★ #661")</f>
        <v>Cannon Fort - Powder 1★ #661</v>
      </c>
      <c r="P589" s="246">
        <f>IFERROR(__xludf.DUMMYFUNCTION("""COMPUTED_VALUE"""),50.0)</f>
        <v>50</v>
      </c>
      <c r="Q589" s="317"/>
    </row>
    <row r="590" ht="12.75" customHeight="1">
      <c r="G590" s="316" t="s">
        <v>1327</v>
      </c>
      <c r="H590" s="246">
        <v>50.0</v>
      </c>
      <c r="I590" s="315">
        <v>0.0024423602969910123</v>
      </c>
      <c r="K590" s="246"/>
      <c r="L590" s="316"/>
      <c r="M590" s="317"/>
      <c r="O590" s="329" t="str">
        <f>IFERROR(__xludf.DUMMYFUNCTION("""COMPUTED_VALUE"""),"Cannon Fort - Powder 1★ #116")</f>
        <v>Cannon Fort - Powder 1★ #116</v>
      </c>
      <c r="P590" s="246">
        <f>IFERROR(__xludf.DUMMYFUNCTION("""COMPUTED_VALUE"""),50.0)</f>
        <v>50</v>
      </c>
      <c r="Q590" s="317"/>
    </row>
    <row r="591" ht="12.75" customHeight="1">
      <c r="G591" s="316" t="s">
        <v>1328</v>
      </c>
      <c r="H591" s="246">
        <v>50.0</v>
      </c>
      <c r="I591" s="315">
        <v>0.0024423602969910123</v>
      </c>
      <c r="K591" s="246"/>
      <c r="L591" s="316"/>
      <c r="M591" s="317"/>
      <c r="O591" s="329" t="str">
        <f>IFERROR(__xludf.DUMMYFUNCTION("""COMPUTED_VALUE"""),"Cannon Fort - Powder 1★ #BCB")</f>
        <v>Cannon Fort - Powder 1★ #BCB</v>
      </c>
      <c r="P591" s="246">
        <f>IFERROR(__xludf.DUMMYFUNCTION("""COMPUTED_VALUE"""),50.0)</f>
        <v>50</v>
      </c>
      <c r="Q591" s="317"/>
    </row>
    <row r="592" ht="12.75" customHeight="1">
      <c r="G592" s="316" t="s">
        <v>1329</v>
      </c>
      <c r="H592" s="246">
        <v>20.0</v>
      </c>
      <c r="I592" s="315">
        <v>9.769441187964048E-4</v>
      </c>
      <c r="K592" s="246"/>
      <c r="L592" s="316"/>
      <c r="M592" s="317"/>
      <c r="O592" s="329" t="str">
        <f>IFERROR(__xludf.DUMMYFUNCTION("""COMPUTED_VALUE"""),"Cannon Fort - Fuse 2★ #680")</f>
        <v>Cannon Fort - Fuse 2★ #680</v>
      </c>
      <c r="P592" s="246">
        <f>IFERROR(__xludf.DUMMYFUNCTION("""COMPUTED_VALUE"""),20.0)</f>
        <v>20</v>
      </c>
      <c r="Q592" s="317"/>
    </row>
    <row r="593" ht="12.75" customHeight="1">
      <c r="G593" s="316" t="s">
        <v>1330</v>
      </c>
      <c r="H593" s="246">
        <v>20.0</v>
      </c>
      <c r="I593" s="315">
        <v>9.769441187964048E-4</v>
      </c>
      <c r="K593" s="246"/>
      <c r="L593" s="316"/>
      <c r="M593" s="317"/>
      <c r="O593" s="329" t="str">
        <f>IFERROR(__xludf.DUMMYFUNCTION("""COMPUTED_VALUE"""),"Cannon Fort - Fuse 2★ #135")</f>
        <v>Cannon Fort - Fuse 2★ #135</v>
      </c>
      <c r="P593" s="246">
        <f>IFERROR(__xludf.DUMMYFUNCTION("""COMPUTED_VALUE"""),20.0)</f>
        <v>20</v>
      </c>
      <c r="Q593" s="317"/>
    </row>
    <row r="594" ht="12.75" customHeight="1">
      <c r="G594" s="316" t="s">
        <v>1331</v>
      </c>
      <c r="H594" s="246">
        <v>20.0</v>
      </c>
      <c r="I594" s="315">
        <v>9.769441187964048E-4</v>
      </c>
      <c r="K594" s="246"/>
      <c r="L594" s="316"/>
      <c r="M594" s="317"/>
      <c r="O594" s="329" t="str">
        <f>IFERROR(__xludf.DUMMYFUNCTION("""COMPUTED_VALUE"""),"Cannon Fort - Fuse 2★ #BEA")</f>
        <v>Cannon Fort - Fuse 2★ #BEA</v>
      </c>
      <c r="P594" s="246">
        <f>IFERROR(__xludf.DUMMYFUNCTION("""COMPUTED_VALUE"""),20.0)</f>
        <v>20</v>
      </c>
      <c r="Q594" s="317"/>
    </row>
    <row r="595" ht="12.75" customHeight="1">
      <c r="G595" s="316" t="s">
        <v>1332</v>
      </c>
      <c r="H595" s="246">
        <v>20.0</v>
      </c>
      <c r="I595" s="315">
        <v>9.769441187964048E-4</v>
      </c>
      <c r="K595" s="246"/>
      <c r="L595" s="316"/>
      <c r="M595" s="317"/>
      <c r="O595" s="329" t="str">
        <f>IFERROR(__xludf.DUMMYFUNCTION("""COMPUTED_VALUE"""),"Cannon Fort - Fuse 2★ #69F")</f>
        <v>Cannon Fort - Fuse 2★ #69F</v>
      </c>
      <c r="P595" s="246">
        <f>IFERROR(__xludf.DUMMYFUNCTION("""COMPUTED_VALUE"""),20.0)</f>
        <v>20</v>
      </c>
      <c r="Q595" s="317"/>
    </row>
    <row r="596" ht="12.75" customHeight="1">
      <c r="G596" s="316" t="s">
        <v>1333</v>
      </c>
      <c r="H596" s="246">
        <v>20.0</v>
      </c>
      <c r="I596" s="315">
        <v>9.769441187964048E-4</v>
      </c>
      <c r="K596" s="246"/>
      <c r="L596" s="316"/>
      <c r="M596" s="317"/>
      <c r="O596" s="329" t="str">
        <f>IFERROR(__xludf.DUMMYFUNCTION("""COMPUTED_VALUE"""),"Cannon Fort - Fuse 2★ #154")</f>
        <v>Cannon Fort - Fuse 2★ #154</v>
      </c>
      <c r="P596" s="246">
        <f>IFERROR(__xludf.DUMMYFUNCTION("""COMPUTED_VALUE"""),20.0)</f>
        <v>20</v>
      </c>
      <c r="Q596" s="317"/>
    </row>
    <row r="597" ht="12.75" customHeight="1">
      <c r="G597" s="316" t="s">
        <v>1334</v>
      </c>
      <c r="H597" s="246">
        <v>20.0</v>
      </c>
      <c r="I597" s="315">
        <v>9.769441187964048E-4</v>
      </c>
      <c r="K597" s="246"/>
      <c r="L597" s="316"/>
      <c r="M597" s="317"/>
      <c r="O597" s="329" t="str">
        <f>IFERROR(__xludf.DUMMYFUNCTION("""COMPUTED_VALUE"""),"Cannon Fort - Fuse 2★ #C09")</f>
        <v>Cannon Fort - Fuse 2★ #C09</v>
      </c>
      <c r="P597" s="246">
        <f>IFERROR(__xludf.DUMMYFUNCTION("""COMPUTED_VALUE"""),20.0)</f>
        <v>20</v>
      </c>
      <c r="Q597" s="317"/>
    </row>
    <row r="598" ht="12.75" customHeight="1">
      <c r="G598" s="316" t="s">
        <v>1335</v>
      </c>
      <c r="H598" s="246">
        <v>20.0</v>
      </c>
      <c r="I598" s="315">
        <v>9.769441187964048E-4</v>
      </c>
      <c r="K598" s="246"/>
      <c r="L598" s="316"/>
      <c r="M598" s="317"/>
      <c r="O598" s="329" t="str">
        <f>IFERROR(__xludf.DUMMYFUNCTION("""COMPUTED_VALUE"""),"Cannon Fort - Fuse 2★ #6BE")</f>
        <v>Cannon Fort - Fuse 2★ #6BE</v>
      </c>
      <c r="P598" s="246">
        <f>IFERROR(__xludf.DUMMYFUNCTION("""COMPUTED_VALUE"""),20.0)</f>
        <v>20</v>
      </c>
      <c r="Q598" s="317"/>
    </row>
    <row r="599" ht="12.75" customHeight="1">
      <c r="G599" s="316" t="s">
        <v>1336</v>
      </c>
      <c r="H599" s="246">
        <v>20.0</v>
      </c>
      <c r="I599" s="315">
        <v>9.769441187964048E-4</v>
      </c>
      <c r="K599" s="246"/>
      <c r="L599" s="316"/>
      <c r="M599" s="317"/>
      <c r="O599" s="329" t="str">
        <f>IFERROR(__xludf.DUMMYFUNCTION("""COMPUTED_VALUE"""),"Cannon Fort - Fuse 2★ #173")</f>
        <v>Cannon Fort - Fuse 2★ #173</v>
      </c>
      <c r="P599" s="246">
        <f>IFERROR(__xludf.DUMMYFUNCTION("""COMPUTED_VALUE"""),20.0)</f>
        <v>20</v>
      </c>
      <c r="Q599" s="317"/>
    </row>
    <row r="600" ht="12.75" customHeight="1">
      <c r="G600" s="316" t="s">
        <v>1337</v>
      </c>
      <c r="H600" s="246">
        <v>20.0</v>
      </c>
      <c r="I600" s="315">
        <v>9.769441187964048E-4</v>
      </c>
      <c r="K600" s="246"/>
      <c r="L600" s="316"/>
      <c r="M600" s="317"/>
      <c r="O600" s="329" t="str">
        <f>IFERROR(__xludf.DUMMYFUNCTION("""COMPUTED_VALUE"""),"Cannon Fort - Fuse 2★ #C28")</f>
        <v>Cannon Fort - Fuse 2★ #C28</v>
      </c>
      <c r="P600" s="246">
        <f>IFERROR(__xludf.DUMMYFUNCTION("""COMPUTED_VALUE"""),20.0)</f>
        <v>20</v>
      </c>
      <c r="Q600" s="317"/>
    </row>
    <row r="601" ht="12.75" customHeight="1">
      <c r="G601" s="316" t="s">
        <v>1338</v>
      </c>
      <c r="H601" s="246">
        <v>20.0</v>
      </c>
      <c r="I601" s="315">
        <v>9.769441187964048E-4</v>
      </c>
      <c r="K601" s="246"/>
      <c r="L601" s="316"/>
      <c r="M601" s="317"/>
      <c r="O601" s="329" t="str">
        <f>IFERROR(__xludf.DUMMYFUNCTION("""COMPUTED_VALUE"""),"Cannon Fort - Fuse 2★ #6DD")</f>
        <v>Cannon Fort - Fuse 2★ #6DD</v>
      </c>
      <c r="P601" s="246">
        <f>IFERROR(__xludf.DUMMYFUNCTION("""COMPUTED_VALUE"""),20.0)</f>
        <v>20</v>
      </c>
      <c r="Q601" s="317"/>
    </row>
    <row r="602" ht="12.75" customHeight="1">
      <c r="G602" s="316" t="s">
        <v>1339</v>
      </c>
      <c r="H602" s="246">
        <v>20.0</v>
      </c>
      <c r="I602" s="315">
        <v>9.769441187964048E-4</v>
      </c>
      <c r="K602" s="246"/>
      <c r="L602" s="316"/>
      <c r="M602" s="317"/>
      <c r="O602" s="329" t="str">
        <f>IFERROR(__xludf.DUMMYFUNCTION("""COMPUTED_VALUE"""),"Cannon Fort - Fuse 2★ #192")</f>
        <v>Cannon Fort - Fuse 2★ #192</v>
      </c>
      <c r="P602" s="246">
        <f>IFERROR(__xludf.DUMMYFUNCTION("""COMPUTED_VALUE"""),20.0)</f>
        <v>20</v>
      </c>
      <c r="Q602" s="317"/>
    </row>
    <row r="603" ht="12.75" customHeight="1">
      <c r="G603" s="316" t="s">
        <v>1340</v>
      </c>
      <c r="H603" s="246">
        <v>20.0</v>
      </c>
      <c r="I603" s="315">
        <v>9.769441187964048E-4</v>
      </c>
      <c r="K603" s="246"/>
      <c r="L603" s="316"/>
      <c r="M603" s="317"/>
      <c r="O603" s="329" t="str">
        <f>IFERROR(__xludf.DUMMYFUNCTION("""COMPUTED_VALUE"""),"Cannon Fort - Fuse 2★ #C47")</f>
        <v>Cannon Fort - Fuse 2★ #C47</v>
      </c>
      <c r="P603" s="246">
        <f>IFERROR(__xludf.DUMMYFUNCTION("""COMPUTED_VALUE"""),20.0)</f>
        <v>20</v>
      </c>
      <c r="Q603" s="317"/>
    </row>
    <row r="604" ht="12.75" customHeight="1">
      <c r="G604" s="316" t="s">
        <v>1341</v>
      </c>
      <c r="H604" s="246">
        <v>20.0</v>
      </c>
      <c r="I604" s="315">
        <v>9.769441187964048E-4</v>
      </c>
      <c r="K604" s="246"/>
      <c r="L604" s="316"/>
      <c r="M604" s="317"/>
      <c r="O604" s="329" t="str">
        <f>IFERROR(__xludf.DUMMYFUNCTION("""COMPUTED_VALUE"""),"Cannon Fort - Ramrod 2★ #6FC")</f>
        <v>Cannon Fort - Ramrod 2★ #6FC</v>
      </c>
      <c r="P604" s="246">
        <f>IFERROR(__xludf.DUMMYFUNCTION("""COMPUTED_VALUE"""),20.0)</f>
        <v>20</v>
      </c>
      <c r="Q604" s="317"/>
    </row>
    <row r="605" ht="12.75" customHeight="1">
      <c r="G605" s="316" t="s">
        <v>1342</v>
      </c>
      <c r="H605" s="246">
        <v>20.0</v>
      </c>
      <c r="I605" s="315">
        <v>9.769441187964048E-4</v>
      </c>
      <c r="K605" s="246"/>
      <c r="L605" s="316"/>
      <c r="M605" s="317"/>
      <c r="O605" s="329" t="str">
        <f>IFERROR(__xludf.DUMMYFUNCTION("""COMPUTED_VALUE"""),"Cannon Fort - Ramrod 2★ #1B1")</f>
        <v>Cannon Fort - Ramrod 2★ #1B1</v>
      </c>
      <c r="P605" s="246">
        <f>IFERROR(__xludf.DUMMYFUNCTION("""COMPUTED_VALUE"""),20.0)</f>
        <v>20</v>
      </c>
      <c r="Q605" s="317"/>
    </row>
    <row r="606" ht="12.75" customHeight="1">
      <c r="G606" s="316" t="s">
        <v>1343</v>
      </c>
      <c r="H606" s="246">
        <v>20.0</v>
      </c>
      <c r="I606" s="315">
        <v>9.769441187964048E-4</v>
      </c>
      <c r="K606" s="246"/>
      <c r="L606" s="316"/>
      <c r="M606" s="317"/>
      <c r="O606" s="329" t="str">
        <f>IFERROR(__xludf.DUMMYFUNCTION("""COMPUTED_VALUE"""),"Cannon Fort - Ramrod 2★ #C66")</f>
        <v>Cannon Fort - Ramrod 2★ #C66</v>
      </c>
      <c r="P606" s="246">
        <f>IFERROR(__xludf.DUMMYFUNCTION("""COMPUTED_VALUE"""),20.0)</f>
        <v>20</v>
      </c>
      <c r="Q606" s="317"/>
    </row>
    <row r="607" ht="12.75" customHeight="1">
      <c r="G607" s="316" t="s">
        <v>1344</v>
      </c>
      <c r="H607" s="246">
        <v>20.0</v>
      </c>
      <c r="I607" s="315">
        <v>9.769441187964048E-4</v>
      </c>
      <c r="K607" s="246"/>
      <c r="L607" s="316"/>
      <c r="M607" s="317"/>
      <c r="O607" s="329" t="str">
        <f>IFERROR(__xludf.DUMMYFUNCTION("""COMPUTED_VALUE"""),"Cannon Fort - Ramrod 2★ #71B")</f>
        <v>Cannon Fort - Ramrod 2★ #71B</v>
      </c>
      <c r="P607" s="246">
        <f>IFERROR(__xludf.DUMMYFUNCTION("""COMPUTED_VALUE"""),20.0)</f>
        <v>20</v>
      </c>
      <c r="Q607" s="317"/>
    </row>
    <row r="608" ht="12.75" customHeight="1">
      <c r="G608" s="316" t="s">
        <v>1345</v>
      </c>
      <c r="H608" s="246">
        <v>20.0</v>
      </c>
      <c r="I608" s="315">
        <v>9.769441187964048E-4</v>
      </c>
      <c r="K608" s="246"/>
      <c r="L608" s="316"/>
      <c r="M608" s="317"/>
      <c r="O608" s="329" t="str">
        <f>IFERROR(__xludf.DUMMYFUNCTION("""COMPUTED_VALUE"""),"Cannon Fort - Ramrod 2★ #1D0")</f>
        <v>Cannon Fort - Ramrod 2★ #1D0</v>
      </c>
      <c r="P608" s="246">
        <f>IFERROR(__xludf.DUMMYFUNCTION("""COMPUTED_VALUE"""),20.0)</f>
        <v>20</v>
      </c>
      <c r="Q608" s="317"/>
    </row>
    <row r="609" ht="12.75" customHeight="1">
      <c r="G609" s="316" t="s">
        <v>1346</v>
      </c>
      <c r="H609" s="246">
        <v>20.0</v>
      </c>
      <c r="I609" s="315">
        <v>9.769441187964048E-4</v>
      </c>
      <c r="K609" s="246"/>
      <c r="L609" s="316"/>
      <c r="M609" s="317"/>
      <c r="O609" s="329" t="str">
        <f>IFERROR(__xludf.DUMMYFUNCTION("""COMPUTED_VALUE"""),"Cannon Fort - Ramrod 2★ #C85")</f>
        <v>Cannon Fort - Ramrod 2★ #C85</v>
      </c>
      <c r="P609" s="246">
        <f>IFERROR(__xludf.DUMMYFUNCTION("""COMPUTED_VALUE"""),20.0)</f>
        <v>20</v>
      </c>
      <c r="Q609" s="317"/>
    </row>
    <row r="610" ht="12.75" customHeight="1">
      <c r="G610" s="316" t="s">
        <v>1347</v>
      </c>
      <c r="H610" s="246">
        <v>20.0</v>
      </c>
      <c r="I610" s="315">
        <v>9.769441187964048E-4</v>
      </c>
      <c r="K610" s="246"/>
      <c r="L610" s="316"/>
      <c r="M610" s="317"/>
      <c r="O610" s="329" t="str">
        <f>IFERROR(__xludf.DUMMYFUNCTION("""COMPUTED_VALUE"""),"Cannon Fort - Ramrod 2★ #73A")</f>
        <v>Cannon Fort - Ramrod 2★ #73A</v>
      </c>
      <c r="P610" s="246">
        <f>IFERROR(__xludf.DUMMYFUNCTION("""COMPUTED_VALUE"""),20.0)</f>
        <v>20</v>
      </c>
      <c r="Q610" s="317"/>
    </row>
    <row r="611" ht="12.75" customHeight="1">
      <c r="G611" s="316" t="s">
        <v>1348</v>
      </c>
      <c r="H611" s="246">
        <v>20.0</v>
      </c>
      <c r="I611" s="315">
        <v>9.769441187964048E-4</v>
      </c>
      <c r="K611" s="246"/>
      <c r="L611" s="316"/>
      <c r="M611" s="317"/>
      <c r="O611" s="329" t="str">
        <f>IFERROR(__xludf.DUMMYFUNCTION("""COMPUTED_VALUE"""),"Cannon Fort - Ramrod 2★ #1EF")</f>
        <v>Cannon Fort - Ramrod 2★ #1EF</v>
      </c>
      <c r="P611" s="246">
        <f>IFERROR(__xludf.DUMMYFUNCTION("""COMPUTED_VALUE"""),20.0)</f>
        <v>20</v>
      </c>
      <c r="Q611" s="317"/>
    </row>
    <row r="612" ht="12.75" customHeight="1">
      <c r="G612" s="316" t="s">
        <v>1349</v>
      </c>
      <c r="H612" s="246">
        <v>20.0</v>
      </c>
      <c r="I612" s="315">
        <v>9.769441187964048E-4</v>
      </c>
      <c r="K612" s="246"/>
      <c r="L612" s="316"/>
      <c r="M612" s="317"/>
      <c r="O612" s="329" t="str">
        <f>IFERROR(__xludf.DUMMYFUNCTION("""COMPUTED_VALUE"""),"Cannon Fort - Ramrod 2★ #CA4")</f>
        <v>Cannon Fort - Ramrod 2★ #CA4</v>
      </c>
      <c r="P612" s="246">
        <f>IFERROR(__xludf.DUMMYFUNCTION("""COMPUTED_VALUE"""),20.0)</f>
        <v>20</v>
      </c>
      <c r="Q612" s="317"/>
    </row>
    <row r="613" ht="12.75" customHeight="1">
      <c r="G613" s="316" t="s">
        <v>1350</v>
      </c>
      <c r="H613" s="246">
        <v>20.0</v>
      </c>
      <c r="I613" s="315">
        <v>9.769441187964048E-4</v>
      </c>
      <c r="K613" s="246"/>
      <c r="L613" s="316"/>
      <c r="M613" s="317"/>
      <c r="O613" s="329" t="str">
        <f>IFERROR(__xludf.DUMMYFUNCTION("""COMPUTED_VALUE"""),"Cannon Fort - Ramrod 2★ #759")</f>
        <v>Cannon Fort - Ramrod 2★ #759</v>
      </c>
      <c r="P613" s="246">
        <f>IFERROR(__xludf.DUMMYFUNCTION("""COMPUTED_VALUE"""),20.0)</f>
        <v>20</v>
      </c>
      <c r="Q613" s="317"/>
    </row>
    <row r="614" ht="12.75" customHeight="1">
      <c r="G614" s="316" t="s">
        <v>1351</v>
      </c>
      <c r="H614" s="246">
        <v>20.0</v>
      </c>
      <c r="I614" s="315">
        <v>9.769441187964048E-4</v>
      </c>
      <c r="K614" s="246"/>
      <c r="L614" s="316"/>
      <c r="M614" s="317"/>
      <c r="O614" s="329" t="str">
        <f>IFERROR(__xludf.DUMMYFUNCTION("""COMPUTED_VALUE"""),"Cannon Fort - Ramrod 2★ #20E")</f>
        <v>Cannon Fort - Ramrod 2★ #20E</v>
      </c>
      <c r="P614" s="246">
        <f>IFERROR(__xludf.DUMMYFUNCTION("""COMPUTED_VALUE"""),20.0)</f>
        <v>20</v>
      </c>
      <c r="Q614" s="317"/>
    </row>
    <row r="615" ht="12.75" customHeight="1">
      <c r="G615" s="316" t="s">
        <v>1352</v>
      </c>
      <c r="H615" s="246">
        <v>20.0</v>
      </c>
      <c r="I615" s="315">
        <v>9.769441187964048E-4</v>
      </c>
      <c r="K615" s="246"/>
      <c r="L615" s="316"/>
      <c r="M615" s="317"/>
      <c r="O615" s="329" t="str">
        <f>IFERROR(__xludf.DUMMYFUNCTION("""COMPUTED_VALUE"""),"Cannon Fort - Ramrod 2★ #CC3")</f>
        <v>Cannon Fort - Ramrod 2★ #CC3</v>
      </c>
      <c r="P615" s="246">
        <f>IFERROR(__xludf.DUMMYFUNCTION("""COMPUTED_VALUE"""),20.0)</f>
        <v>20</v>
      </c>
      <c r="Q615" s="317"/>
    </row>
    <row r="616" ht="12.75" customHeight="1">
      <c r="G616" s="316" t="s">
        <v>1353</v>
      </c>
      <c r="H616" s="246">
        <v>10.0</v>
      </c>
      <c r="I616" s="315">
        <v>4.884720593982024E-4</v>
      </c>
      <c r="K616" s="246"/>
      <c r="L616" s="316"/>
      <c r="M616" s="317"/>
      <c r="O616" s="329" t="str">
        <f>IFERROR(__xludf.DUMMYFUNCTION("""COMPUTED_VALUE"""),"Cannon Fort - War Flag 3★ #778")</f>
        <v>Cannon Fort - War Flag 3★ #778</v>
      </c>
      <c r="P616" s="246">
        <f>IFERROR(__xludf.DUMMYFUNCTION("""COMPUTED_VALUE"""),10.0)</f>
        <v>10</v>
      </c>
      <c r="Q616" s="317"/>
    </row>
    <row r="617" ht="12.75" customHeight="1">
      <c r="G617" s="316" t="s">
        <v>1354</v>
      </c>
      <c r="H617" s="246">
        <v>10.0</v>
      </c>
      <c r="I617" s="315">
        <v>4.884720593982024E-4</v>
      </c>
      <c r="K617" s="246"/>
      <c r="L617" s="316"/>
      <c r="M617" s="317"/>
      <c r="O617" s="329" t="str">
        <f>IFERROR(__xludf.DUMMYFUNCTION("""COMPUTED_VALUE"""),"Cannon Fort - War Flag 3★ #22D")</f>
        <v>Cannon Fort - War Flag 3★ #22D</v>
      </c>
      <c r="P617" s="246">
        <f>IFERROR(__xludf.DUMMYFUNCTION("""COMPUTED_VALUE"""),10.0)</f>
        <v>10</v>
      </c>
      <c r="Q617" s="317"/>
    </row>
    <row r="618" ht="12.75" customHeight="1">
      <c r="G618" s="316" t="s">
        <v>1355</v>
      </c>
      <c r="H618" s="246">
        <v>10.0</v>
      </c>
      <c r="I618" s="315">
        <v>4.884720593982024E-4</v>
      </c>
      <c r="K618" s="246"/>
      <c r="L618" s="316"/>
      <c r="M618" s="317"/>
      <c r="O618" s="329" t="str">
        <f>IFERROR(__xludf.DUMMYFUNCTION("""COMPUTED_VALUE"""),"Cannon Fort - War Flag 3★ #CE2")</f>
        <v>Cannon Fort - War Flag 3★ #CE2</v>
      </c>
      <c r="P618" s="246">
        <f>IFERROR(__xludf.DUMMYFUNCTION("""COMPUTED_VALUE"""),10.0)</f>
        <v>10</v>
      </c>
      <c r="Q618" s="317"/>
    </row>
    <row r="619" ht="12.75" customHeight="1">
      <c r="G619" s="316" t="s">
        <v>1356</v>
      </c>
      <c r="H619" s="246">
        <v>10.0</v>
      </c>
      <c r="I619" s="315">
        <v>4.884720593982024E-4</v>
      </c>
      <c r="K619" s="246"/>
      <c r="L619" s="316"/>
      <c r="M619" s="317"/>
      <c r="O619" s="329" t="str">
        <f>IFERROR(__xludf.DUMMYFUNCTION("""COMPUTED_VALUE"""),"Cannon Fort - War Flag 3★ #797")</f>
        <v>Cannon Fort - War Flag 3★ #797</v>
      </c>
      <c r="P619" s="246">
        <f>IFERROR(__xludf.DUMMYFUNCTION("""COMPUTED_VALUE"""),10.0)</f>
        <v>10</v>
      </c>
      <c r="Q619" s="317"/>
    </row>
    <row r="620" ht="12.75" customHeight="1">
      <c r="G620" s="316" t="s">
        <v>1357</v>
      </c>
      <c r="H620" s="246">
        <v>10.0</v>
      </c>
      <c r="I620" s="315">
        <v>4.884720593982024E-4</v>
      </c>
      <c r="K620" s="246"/>
      <c r="L620" s="316"/>
      <c r="M620" s="317"/>
      <c r="O620" s="329" t="str">
        <f>IFERROR(__xludf.DUMMYFUNCTION("""COMPUTED_VALUE"""),"Cannon Fort - War Flag 3★ #24C")</f>
        <v>Cannon Fort - War Flag 3★ #24C</v>
      </c>
      <c r="P620" s="246">
        <f>IFERROR(__xludf.DUMMYFUNCTION("""COMPUTED_VALUE"""),10.0)</f>
        <v>10</v>
      </c>
      <c r="Q620" s="317"/>
    </row>
    <row r="621" ht="12.75" customHeight="1">
      <c r="G621" s="316" t="s">
        <v>1358</v>
      </c>
      <c r="H621" s="246">
        <v>10.0</v>
      </c>
      <c r="I621" s="315">
        <v>4.884720593982024E-4</v>
      </c>
      <c r="K621" s="246"/>
      <c r="L621" s="316"/>
      <c r="M621" s="317"/>
      <c r="O621" s="329" t="str">
        <f>IFERROR(__xludf.DUMMYFUNCTION("""COMPUTED_VALUE"""),"Cannon Fort - War Flag 3★ #D01")</f>
        <v>Cannon Fort - War Flag 3★ #D01</v>
      </c>
      <c r="P621" s="246">
        <f>IFERROR(__xludf.DUMMYFUNCTION("""COMPUTED_VALUE"""),10.0)</f>
        <v>10</v>
      </c>
      <c r="Q621" s="317"/>
    </row>
    <row r="622" ht="12.75" customHeight="1">
      <c r="G622" s="316" t="s">
        <v>1359</v>
      </c>
      <c r="H622" s="246">
        <v>10.0</v>
      </c>
      <c r="I622" s="315">
        <v>4.884720593982024E-4</v>
      </c>
      <c r="K622" s="246"/>
      <c r="L622" s="316"/>
      <c r="M622" s="317"/>
      <c r="O622" s="329" t="str">
        <f>IFERROR(__xludf.DUMMYFUNCTION("""COMPUTED_VALUE"""),"Cannon Fort - War Flag 3★ #7B6")</f>
        <v>Cannon Fort - War Flag 3★ #7B6</v>
      </c>
      <c r="P622" s="246">
        <f>IFERROR(__xludf.DUMMYFUNCTION("""COMPUTED_VALUE"""),10.0)</f>
        <v>10</v>
      </c>
      <c r="Q622" s="317"/>
    </row>
    <row r="623" ht="12.75" customHeight="1">
      <c r="G623" s="316" t="s">
        <v>1360</v>
      </c>
      <c r="H623" s="246">
        <v>10.0</v>
      </c>
      <c r="I623" s="315">
        <v>4.884720593982024E-4</v>
      </c>
      <c r="K623" s="246"/>
      <c r="L623" s="316"/>
      <c r="M623" s="317"/>
      <c r="O623" s="329" t="str">
        <f>IFERROR(__xludf.DUMMYFUNCTION("""COMPUTED_VALUE"""),"Cannon Fort - War Flag 3★ #26B")</f>
        <v>Cannon Fort - War Flag 3★ #26B</v>
      </c>
      <c r="P623" s="246">
        <f>IFERROR(__xludf.DUMMYFUNCTION("""COMPUTED_VALUE"""),10.0)</f>
        <v>10</v>
      </c>
      <c r="Q623" s="317"/>
    </row>
    <row r="624" ht="12.75" customHeight="1">
      <c r="G624" s="316" t="s">
        <v>1361</v>
      </c>
      <c r="H624" s="246">
        <v>10.0</v>
      </c>
      <c r="I624" s="315">
        <v>4.884720593982024E-4</v>
      </c>
      <c r="K624" s="246"/>
      <c r="L624" s="316"/>
      <c r="M624" s="317"/>
      <c r="O624" s="329" t="str">
        <f>IFERROR(__xludf.DUMMYFUNCTION("""COMPUTED_VALUE"""),"Cannon Fort - War Flag 3★ #D20")</f>
        <v>Cannon Fort - War Flag 3★ #D20</v>
      </c>
      <c r="P624" s="246">
        <f>IFERROR(__xludf.DUMMYFUNCTION("""COMPUTED_VALUE"""),10.0)</f>
        <v>10</v>
      </c>
      <c r="Q624" s="317"/>
    </row>
    <row r="625" ht="12.75" customHeight="1">
      <c r="G625" s="316" t="s">
        <v>1362</v>
      </c>
      <c r="H625" s="246">
        <v>10.0</v>
      </c>
      <c r="I625" s="315">
        <v>4.884720593982024E-4</v>
      </c>
      <c r="K625" s="246"/>
      <c r="L625" s="316"/>
      <c r="M625" s="317"/>
      <c r="O625" s="329" t="str">
        <f>IFERROR(__xludf.DUMMYFUNCTION("""COMPUTED_VALUE"""),"Cannon Fort - War Flag 3★ #7D5")</f>
        <v>Cannon Fort - War Flag 3★ #7D5</v>
      </c>
      <c r="P625" s="246">
        <f>IFERROR(__xludf.DUMMYFUNCTION("""COMPUTED_VALUE"""),10.0)</f>
        <v>10</v>
      </c>
      <c r="Q625" s="317"/>
    </row>
    <row r="626" ht="12.75" customHeight="1">
      <c r="G626" s="316" t="s">
        <v>1363</v>
      </c>
      <c r="H626" s="246">
        <v>10.0</v>
      </c>
      <c r="I626" s="315">
        <v>4.884720593982024E-4</v>
      </c>
      <c r="K626" s="246"/>
      <c r="L626" s="316"/>
      <c r="M626" s="317"/>
      <c r="O626" s="329" t="str">
        <f>IFERROR(__xludf.DUMMYFUNCTION("""COMPUTED_VALUE"""),"Cannon Fort - War Flag 3★ #28A")</f>
        <v>Cannon Fort - War Flag 3★ #28A</v>
      </c>
      <c r="P626" s="246">
        <f>IFERROR(__xludf.DUMMYFUNCTION("""COMPUTED_VALUE"""),10.0)</f>
        <v>10</v>
      </c>
      <c r="Q626" s="317"/>
    </row>
    <row r="627" ht="12.75" customHeight="1">
      <c r="G627" s="316" t="s">
        <v>1364</v>
      </c>
      <c r="H627" s="246">
        <v>10.0</v>
      </c>
      <c r="I627" s="315">
        <v>4.884720593982024E-4</v>
      </c>
      <c r="K627" s="246"/>
      <c r="L627" s="316"/>
      <c r="M627" s="317"/>
      <c r="O627" s="329" t="str">
        <f>IFERROR(__xludf.DUMMYFUNCTION("""COMPUTED_VALUE"""),"Cannon Fort - War Flag 3★ #D3F")</f>
        <v>Cannon Fort - War Flag 3★ #D3F</v>
      </c>
      <c r="P627" s="246">
        <f>IFERROR(__xludf.DUMMYFUNCTION("""COMPUTED_VALUE"""),10.0)</f>
        <v>10</v>
      </c>
      <c r="Q627" s="317"/>
    </row>
    <row r="628" ht="12.75" customHeight="1">
      <c r="G628" s="316" t="s">
        <v>1365</v>
      </c>
      <c r="H628" s="246">
        <v>10.0</v>
      </c>
      <c r="I628" s="315">
        <v>4.884720593982024E-4</v>
      </c>
      <c r="K628" s="246"/>
      <c r="L628" s="316"/>
      <c r="M628" s="317"/>
      <c r="O628" s="329" t="str">
        <f>IFERROR(__xludf.DUMMYFUNCTION("""COMPUTED_VALUE"""),"Cannon Fort - War Flag 3★ #7F4")</f>
        <v>Cannon Fort - War Flag 3★ #7F4</v>
      </c>
      <c r="P628" s="246">
        <f>IFERROR(__xludf.DUMMYFUNCTION("""COMPUTED_VALUE"""),10.0)</f>
        <v>10</v>
      </c>
      <c r="Q628" s="317"/>
    </row>
    <row r="629" ht="12.75" customHeight="1">
      <c r="G629" s="316" t="s">
        <v>1366</v>
      </c>
      <c r="H629" s="246">
        <v>5.0</v>
      </c>
      <c r="I629" s="315">
        <v>2.442360296991012E-4</v>
      </c>
      <c r="K629" s="246"/>
      <c r="L629" s="316"/>
      <c r="M629" s="317"/>
      <c r="O629" s="329" t="str">
        <f>IFERROR(__xludf.DUMMYFUNCTION("""COMPUTED_VALUE"""),"Cannon Fort - Tower 4★ #2A9")</f>
        <v>Cannon Fort - Tower 4★ #2A9</v>
      </c>
      <c r="P629" s="246">
        <f>IFERROR(__xludf.DUMMYFUNCTION("""COMPUTED_VALUE"""),5.0)</f>
        <v>5</v>
      </c>
      <c r="Q629" s="317"/>
    </row>
    <row r="630" ht="12.75" customHeight="1">
      <c r="G630" s="316" t="s">
        <v>1367</v>
      </c>
      <c r="H630" s="246">
        <v>5.0</v>
      </c>
      <c r="I630" s="315">
        <v>2.442360296991012E-4</v>
      </c>
      <c r="K630" s="246"/>
      <c r="L630" s="316"/>
      <c r="M630" s="317"/>
      <c r="O630" s="329" t="str">
        <f>IFERROR(__xludf.DUMMYFUNCTION("""COMPUTED_VALUE"""),"Cannon Fort - Tower 4★ #D5E")</f>
        <v>Cannon Fort - Tower 4★ #D5E</v>
      </c>
      <c r="P630" s="246">
        <f>IFERROR(__xludf.DUMMYFUNCTION("""COMPUTED_VALUE"""),5.0)</f>
        <v>5</v>
      </c>
      <c r="Q630" s="317"/>
    </row>
    <row r="631" ht="12.75" customHeight="1">
      <c r="G631" s="316" t="s">
        <v>1368</v>
      </c>
      <c r="H631" s="246">
        <v>5.0</v>
      </c>
      <c r="I631" s="315">
        <v>2.442360296991012E-4</v>
      </c>
      <c r="K631" s="246"/>
      <c r="L631" s="316"/>
      <c r="M631" s="317"/>
      <c r="O631" s="329" t="str">
        <f>IFERROR(__xludf.DUMMYFUNCTION("""COMPUTED_VALUE"""),"Cannon Fort - Tower 4★ #813")</f>
        <v>Cannon Fort - Tower 4★ #813</v>
      </c>
      <c r="P631" s="246">
        <f>IFERROR(__xludf.DUMMYFUNCTION("""COMPUTED_VALUE"""),5.0)</f>
        <v>5</v>
      </c>
      <c r="Q631" s="317"/>
    </row>
    <row r="632" ht="12.75" customHeight="1">
      <c r="G632" s="316" t="s">
        <v>1369</v>
      </c>
      <c r="H632" s="246">
        <v>5.0</v>
      </c>
      <c r="I632" s="315">
        <v>2.442360296991012E-4</v>
      </c>
      <c r="K632" s="246"/>
      <c r="L632" s="316"/>
      <c r="M632" s="317"/>
      <c r="O632" s="329" t="str">
        <f>IFERROR(__xludf.DUMMYFUNCTION("""COMPUTED_VALUE"""),"Cannon Fort - Tower 4★ #2C8")</f>
        <v>Cannon Fort - Tower 4★ #2C8</v>
      </c>
      <c r="P632" s="246">
        <f>IFERROR(__xludf.DUMMYFUNCTION("""COMPUTED_VALUE"""),5.0)</f>
        <v>5</v>
      </c>
      <c r="Q632" s="317"/>
    </row>
    <row r="633" ht="12.75" customHeight="1">
      <c r="G633" s="316" t="s">
        <v>1370</v>
      </c>
      <c r="H633" s="246">
        <v>5.0</v>
      </c>
      <c r="I633" s="315">
        <v>2.442360296991012E-4</v>
      </c>
      <c r="K633" s="246"/>
      <c r="L633" s="316"/>
      <c r="M633" s="317"/>
      <c r="O633" s="329" t="str">
        <f>IFERROR(__xludf.DUMMYFUNCTION("""COMPUTED_VALUE"""),"Cannon Fort - Tower 4★ #D7D")</f>
        <v>Cannon Fort - Tower 4★ #D7D</v>
      </c>
      <c r="P633" s="246">
        <f>IFERROR(__xludf.DUMMYFUNCTION("""COMPUTED_VALUE"""),5.0)</f>
        <v>5</v>
      </c>
      <c r="Q633" s="317"/>
    </row>
    <row r="634" ht="12.75" customHeight="1">
      <c r="G634" s="316" t="s">
        <v>1371</v>
      </c>
      <c r="H634" s="246">
        <v>5.0</v>
      </c>
      <c r="I634" s="315">
        <v>2.442360296991012E-4</v>
      </c>
      <c r="K634" s="246"/>
      <c r="L634" s="316"/>
      <c r="M634" s="317"/>
      <c r="O634" s="329" t="str">
        <f>IFERROR(__xludf.DUMMYFUNCTION("""COMPUTED_VALUE"""),"Cannon Fort - Tower 4★ #832")</f>
        <v>Cannon Fort - Tower 4★ #832</v>
      </c>
      <c r="P634" s="246">
        <f>IFERROR(__xludf.DUMMYFUNCTION("""COMPUTED_VALUE"""),5.0)</f>
        <v>5</v>
      </c>
      <c r="Q634" s="317"/>
    </row>
    <row r="635" ht="12.75" customHeight="1">
      <c r="G635" s="316" t="s">
        <v>1372</v>
      </c>
      <c r="H635" s="246">
        <v>5.0</v>
      </c>
      <c r="I635" s="315">
        <v>2.442360296991012E-4</v>
      </c>
      <c r="K635" s="246"/>
      <c r="L635" s="316"/>
      <c r="M635" s="317"/>
      <c r="O635" s="329" t="str">
        <f>IFERROR(__xludf.DUMMYFUNCTION("""COMPUTED_VALUE"""),"Cannon Fort - Tower 4★ #2E7")</f>
        <v>Cannon Fort - Tower 4★ #2E7</v>
      </c>
      <c r="P635" s="246">
        <f>IFERROR(__xludf.DUMMYFUNCTION("""COMPUTED_VALUE"""),5.0)</f>
        <v>5</v>
      </c>
      <c r="Q635" s="317"/>
    </row>
    <row r="636" ht="12.75" customHeight="1">
      <c r="G636" s="316" t="s">
        <v>1373</v>
      </c>
      <c r="H636" s="246">
        <v>5.0</v>
      </c>
      <c r="I636" s="315">
        <v>2.442360296991012E-4</v>
      </c>
      <c r="K636" s="246"/>
      <c r="L636" s="316"/>
      <c r="M636" s="317"/>
      <c r="O636" s="329" t="str">
        <f>IFERROR(__xludf.DUMMYFUNCTION("""COMPUTED_VALUE"""),"Cannon Fort - Tower 4★ #D9C")</f>
        <v>Cannon Fort - Tower 4★ #D9C</v>
      </c>
      <c r="P636" s="246">
        <f>IFERROR(__xludf.DUMMYFUNCTION("""COMPUTED_VALUE"""),5.0)</f>
        <v>5</v>
      </c>
      <c r="Q636" s="317"/>
    </row>
    <row r="637" ht="12.75" customHeight="1">
      <c r="G637" s="316" t="s">
        <v>1374</v>
      </c>
      <c r="H637" s="246">
        <v>5.0</v>
      </c>
      <c r="I637" s="315">
        <v>2.442360296991012E-4</v>
      </c>
      <c r="K637" s="246"/>
      <c r="L637" s="316"/>
      <c r="M637" s="317"/>
      <c r="O637" s="329" t="str">
        <f>IFERROR(__xludf.DUMMYFUNCTION("""COMPUTED_VALUE"""),"Cannon Fort - Tower 4★ #851")</f>
        <v>Cannon Fort - Tower 4★ #851</v>
      </c>
      <c r="P637" s="246">
        <f>IFERROR(__xludf.DUMMYFUNCTION("""COMPUTED_VALUE"""),5.0)</f>
        <v>5</v>
      </c>
      <c r="Q637" s="317"/>
    </row>
    <row r="638" ht="12.75" customHeight="1">
      <c r="G638" s="316" t="s">
        <v>1375</v>
      </c>
      <c r="H638" s="246">
        <v>5.0</v>
      </c>
      <c r="I638" s="315">
        <v>2.442360296991012E-4</v>
      </c>
      <c r="K638" s="246"/>
      <c r="L638" s="316"/>
      <c r="M638" s="317"/>
      <c r="O638" s="329" t="str">
        <f>IFERROR(__xludf.DUMMYFUNCTION("""COMPUTED_VALUE"""),"Cannon Fort - Tower 4★ #306")</f>
        <v>Cannon Fort - Tower 4★ #306</v>
      </c>
      <c r="P638" s="246">
        <f>IFERROR(__xludf.DUMMYFUNCTION("""COMPUTED_VALUE"""),5.0)</f>
        <v>5</v>
      </c>
      <c r="Q638" s="317"/>
    </row>
    <row r="639" ht="12.75" customHeight="1">
      <c r="G639" s="316" t="s">
        <v>1376</v>
      </c>
      <c r="H639" s="246">
        <v>5.0</v>
      </c>
      <c r="I639" s="315">
        <v>2.442360296991012E-4</v>
      </c>
      <c r="K639" s="246"/>
      <c r="L639" s="316"/>
      <c r="M639" s="317"/>
      <c r="O639" s="329" t="str">
        <f>IFERROR(__xludf.DUMMYFUNCTION("""COMPUTED_VALUE"""),"Cannon Fort - Tower 4★ #DBB")</f>
        <v>Cannon Fort - Tower 4★ #DBB</v>
      </c>
      <c r="P639" s="246">
        <f>IFERROR(__xludf.DUMMYFUNCTION("""COMPUTED_VALUE"""),5.0)</f>
        <v>5</v>
      </c>
      <c r="Q639" s="317"/>
    </row>
    <row r="640" ht="12.75" customHeight="1">
      <c r="G640" s="316" t="s">
        <v>1377</v>
      </c>
      <c r="H640" s="246">
        <v>2.0</v>
      </c>
      <c r="I640" s="315">
        <v>9.769441187964049E-5</v>
      </c>
      <c r="K640" s="246"/>
      <c r="L640" s="316"/>
      <c r="M640" s="317"/>
      <c r="O640" s="329" t="str">
        <f>IFERROR(__xludf.DUMMYFUNCTION("""COMPUTED_VALUE"""),"Cannon Fort - Bridge 5★ #870")</f>
        <v>Cannon Fort - Bridge 5★ #870</v>
      </c>
      <c r="P640" s="246">
        <f>IFERROR(__xludf.DUMMYFUNCTION("""COMPUTED_VALUE"""),2.0)</f>
        <v>2</v>
      </c>
      <c r="Q640" s="317"/>
    </row>
    <row r="641" ht="12.75" customHeight="1">
      <c r="G641" s="316" t="s">
        <v>1378</v>
      </c>
      <c r="H641" s="246">
        <v>2.0</v>
      </c>
      <c r="I641" s="315">
        <v>9.769441187964049E-5</v>
      </c>
      <c r="K641" s="246"/>
      <c r="L641" s="316"/>
      <c r="M641" s="317"/>
      <c r="O641" s="329" t="str">
        <f>IFERROR(__xludf.DUMMYFUNCTION("""COMPUTED_VALUE"""),"Cannon Fort - Bridge 5★ #325")</f>
        <v>Cannon Fort - Bridge 5★ #325</v>
      </c>
      <c r="P641" s="246">
        <f>IFERROR(__xludf.DUMMYFUNCTION("""COMPUTED_VALUE"""),2.0)</f>
        <v>2</v>
      </c>
      <c r="Q641" s="317"/>
    </row>
    <row r="642" ht="12.75" customHeight="1">
      <c r="G642" s="316" t="s">
        <v>1379</v>
      </c>
      <c r="H642" s="246">
        <v>2.0</v>
      </c>
      <c r="I642" s="315">
        <v>9.769441187964049E-5</v>
      </c>
      <c r="K642" s="246"/>
      <c r="L642" s="316"/>
      <c r="M642" s="317"/>
      <c r="O642" s="329" t="str">
        <f>IFERROR(__xludf.DUMMYFUNCTION("""COMPUTED_VALUE"""),"Cannon Fort - Bridge 5★ #DDA")</f>
        <v>Cannon Fort - Bridge 5★ #DDA</v>
      </c>
      <c r="P642" s="246">
        <f>IFERROR(__xludf.DUMMYFUNCTION("""COMPUTED_VALUE"""),2.0)</f>
        <v>2</v>
      </c>
      <c r="Q642" s="317"/>
    </row>
    <row r="643" ht="12.75" customHeight="1">
      <c r="G643" s="316" t="s">
        <v>1380</v>
      </c>
      <c r="H643" s="246">
        <v>2.0</v>
      </c>
      <c r="I643" s="315">
        <v>9.769441187964049E-5</v>
      </c>
      <c r="K643" s="246"/>
      <c r="L643" s="316"/>
      <c r="M643" s="317"/>
      <c r="O643" s="329" t="str">
        <f>IFERROR(__xludf.DUMMYFUNCTION("""COMPUTED_VALUE"""),"Cannon Fort - Bridge 5★ #88F")</f>
        <v>Cannon Fort - Bridge 5★ #88F</v>
      </c>
      <c r="P643" s="246">
        <f>IFERROR(__xludf.DUMMYFUNCTION("""COMPUTED_VALUE"""),2.0)</f>
        <v>2</v>
      </c>
      <c r="Q643" s="317"/>
    </row>
    <row r="644" ht="12.75" customHeight="1">
      <c r="G644" s="316" t="s">
        <v>1381</v>
      </c>
      <c r="H644" s="246">
        <v>2.0</v>
      </c>
      <c r="I644" s="315">
        <v>9.769441187964049E-5</v>
      </c>
      <c r="K644" s="246"/>
      <c r="L644" s="316"/>
      <c r="M644" s="317"/>
      <c r="O644" s="329" t="str">
        <f>IFERROR(__xludf.DUMMYFUNCTION("""COMPUTED_VALUE"""),"Cannon Fort - Bridge 5★ #344")</f>
        <v>Cannon Fort - Bridge 5★ #344</v>
      </c>
      <c r="P644" s="246">
        <f>IFERROR(__xludf.DUMMYFUNCTION("""COMPUTED_VALUE"""),2.0)</f>
        <v>2</v>
      </c>
      <c r="Q644" s="317"/>
    </row>
    <row r="645" ht="12.75" customHeight="1">
      <c r="G645" s="316" t="s">
        <v>1382</v>
      </c>
      <c r="H645" s="246">
        <v>2.0</v>
      </c>
      <c r="I645" s="315">
        <v>9.769441187964049E-5</v>
      </c>
      <c r="K645" s="246"/>
      <c r="L645" s="316"/>
      <c r="M645" s="317"/>
      <c r="O645" s="329" t="str">
        <f>IFERROR(__xludf.DUMMYFUNCTION("""COMPUTED_VALUE"""),"Cannon Fort - Catapult 5★ #DF9")</f>
        <v>Cannon Fort - Catapult 5★ #DF9</v>
      </c>
      <c r="P645" s="246">
        <f>IFERROR(__xludf.DUMMYFUNCTION("""COMPUTED_VALUE"""),2.0)</f>
        <v>2</v>
      </c>
      <c r="Q645" s="317"/>
    </row>
    <row r="646" ht="12.75" customHeight="1">
      <c r="G646" s="316" t="s">
        <v>1383</v>
      </c>
      <c r="H646" s="246">
        <v>2.0</v>
      </c>
      <c r="I646" s="315">
        <v>9.769441187964049E-5</v>
      </c>
      <c r="K646" s="246"/>
      <c r="L646" s="316"/>
      <c r="M646" s="317"/>
      <c r="O646" s="329" t="str">
        <f>IFERROR(__xludf.DUMMYFUNCTION("""COMPUTED_VALUE"""),"Cannon Fort - Catapult 5★ #8AE")</f>
        <v>Cannon Fort - Catapult 5★ #8AE</v>
      </c>
      <c r="P646" s="246">
        <f>IFERROR(__xludf.DUMMYFUNCTION("""COMPUTED_VALUE"""),2.0)</f>
        <v>2</v>
      </c>
      <c r="Q646" s="317"/>
    </row>
    <row r="647" ht="12.75" customHeight="1">
      <c r="G647" s="316" t="s">
        <v>1384</v>
      </c>
      <c r="H647" s="246">
        <v>2.0</v>
      </c>
      <c r="I647" s="315">
        <v>9.769441187964049E-5</v>
      </c>
      <c r="K647" s="246"/>
      <c r="L647" s="316"/>
      <c r="M647" s="317"/>
      <c r="O647" s="329" t="str">
        <f>IFERROR(__xludf.DUMMYFUNCTION("""COMPUTED_VALUE"""),"Cannon Fort - Catapult 5★ #363")</f>
        <v>Cannon Fort - Catapult 5★ #363</v>
      </c>
      <c r="P647" s="246">
        <f>IFERROR(__xludf.DUMMYFUNCTION("""COMPUTED_VALUE"""),2.0)</f>
        <v>2</v>
      </c>
      <c r="Q647" s="317"/>
    </row>
    <row r="648" ht="12.75" customHeight="1">
      <c r="G648" s="316" t="s">
        <v>1385</v>
      </c>
      <c r="H648" s="246">
        <v>2.0</v>
      </c>
      <c r="I648" s="315">
        <v>9.769441187964049E-5</v>
      </c>
      <c r="K648" s="246"/>
      <c r="L648" s="316"/>
      <c r="M648" s="317"/>
      <c r="O648" s="329" t="str">
        <f>IFERROR(__xludf.DUMMYFUNCTION("""COMPUTED_VALUE"""),"Cannon Fort - Catapult 5★ #E18")</f>
        <v>Cannon Fort - Catapult 5★ #E18</v>
      </c>
      <c r="P648" s="246">
        <f>IFERROR(__xludf.DUMMYFUNCTION("""COMPUTED_VALUE"""),2.0)</f>
        <v>2</v>
      </c>
      <c r="Q648" s="317"/>
    </row>
    <row r="649" ht="12.75" customHeight="1">
      <c r="G649" s="316" t="s">
        <v>1386</v>
      </c>
      <c r="H649" s="246">
        <v>2.0</v>
      </c>
      <c r="I649" s="315">
        <v>9.769441187964049E-5</v>
      </c>
      <c r="K649" s="246"/>
      <c r="L649" s="316"/>
      <c r="M649" s="317"/>
      <c r="O649" s="329" t="str">
        <f>IFERROR(__xludf.DUMMYFUNCTION("""COMPUTED_VALUE"""),"Cannon Fort - Catapult 5★ #8CD")</f>
        <v>Cannon Fort - Catapult 5★ #8CD</v>
      </c>
      <c r="P649" s="246">
        <f>IFERROR(__xludf.DUMMYFUNCTION("""COMPUTED_VALUE"""),2.0)</f>
        <v>2</v>
      </c>
      <c r="Q649" s="317"/>
    </row>
    <row r="650" ht="12.75" customHeight="1">
      <c r="G650" s="316" t="s">
        <v>1387</v>
      </c>
      <c r="H650" s="246">
        <v>2.0</v>
      </c>
      <c r="I650" s="315">
        <v>9.769441187964049E-5</v>
      </c>
      <c r="K650" s="246"/>
      <c r="L650" s="316"/>
      <c r="M650" s="317"/>
      <c r="O650" s="329" t="str">
        <f>IFERROR(__xludf.DUMMYFUNCTION("""COMPUTED_VALUE"""),"Cannon Fort - Horn 5★ #382")</f>
        <v>Cannon Fort - Horn 5★ #382</v>
      </c>
      <c r="P650" s="246">
        <f>IFERROR(__xludf.DUMMYFUNCTION("""COMPUTED_VALUE"""),2.0)</f>
        <v>2</v>
      </c>
      <c r="Q650" s="317"/>
    </row>
    <row r="651" ht="12.75" customHeight="1">
      <c r="G651" s="316" t="s">
        <v>1388</v>
      </c>
      <c r="H651" s="246">
        <v>2.0</v>
      </c>
      <c r="I651" s="315">
        <v>9.769441187964049E-5</v>
      </c>
      <c r="K651" s="246"/>
      <c r="L651" s="316"/>
      <c r="M651" s="317"/>
      <c r="O651" s="329" t="str">
        <f>IFERROR(__xludf.DUMMYFUNCTION("""COMPUTED_VALUE"""),"Cannon Fort - Horn 5★ #E37")</f>
        <v>Cannon Fort - Horn 5★ #E37</v>
      </c>
      <c r="P651" s="246">
        <f>IFERROR(__xludf.DUMMYFUNCTION("""COMPUTED_VALUE"""),2.0)</f>
        <v>2</v>
      </c>
      <c r="Q651" s="317"/>
    </row>
    <row r="652" ht="12.75" customHeight="1">
      <c r="G652" s="316" t="s">
        <v>1389</v>
      </c>
      <c r="H652" s="246">
        <v>2.0</v>
      </c>
      <c r="I652" s="315">
        <v>9.769441187964049E-5</v>
      </c>
      <c r="K652" s="246"/>
      <c r="L652" s="316"/>
      <c r="M652" s="317"/>
      <c r="O652" s="329" t="str">
        <f>IFERROR(__xludf.DUMMYFUNCTION("""COMPUTED_VALUE"""),"Cannon Fort - Horn 5★ #8EC")</f>
        <v>Cannon Fort - Horn 5★ #8EC</v>
      </c>
      <c r="P652" s="246">
        <f>IFERROR(__xludf.DUMMYFUNCTION("""COMPUTED_VALUE"""),2.0)</f>
        <v>2</v>
      </c>
      <c r="Q652" s="317"/>
    </row>
    <row r="653" ht="12.75" customHeight="1">
      <c r="G653" s="316" t="s">
        <v>1390</v>
      </c>
      <c r="H653" s="246">
        <v>2.0</v>
      </c>
      <c r="I653" s="315">
        <v>9.769441187964049E-5</v>
      </c>
      <c r="K653" s="246"/>
      <c r="L653" s="316"/>
      <c r="M653" s="317"/>
      <c r="O653" s="329" t="str">
        <f>IFERROR(__xludf.DUMMYFUNCTION("""COMPUTED_VALUE"""),"Cannon Fort - Horn 5★ #3A1")</f>
        <v>Cannon Fort - Horn 5★ #3A1</v>
      </c>
      <c r="P653" s="246">
        <f>IFERROR(__xludf.DUMMYFUNCTION("""COMPUTED_VALUE"""),2.0)</f>
        <v>2</v>
      </c>
      <c r="Q653" s="317"/>
    </row>
    <row r="654" ht="12.75" customHeight="1">
      <c r="G654" s="316" t="s">
        <v>1391</v>
      </c>
      <c r="H654" s="246">
        <v>2.0</v>
      </c>
      <c r="I654" s="315">
        <v>9.769441187964049E-5</v>
      </c>
      <c r="K654" s="246"/>
      <c r="L654" s="316"/>
      <c r="M654" s="317"/>
      <c r="O654" s="329" t="str">
        <f>IFERROR(__xludf.DUMMYFUNCTION("""COMPUTED_VALUE"""),"Cannon Fort - Horn 5★ #E56")</f>
        <v>Cannon Fort - Horn 5★ #E56</v>
      </c>
      <c r="P654" s="246">
        <f>IFERROR(__xludf.DUMMYFUNCTION("""COMPUTED_VALUE"""),2.0)</f>
        <v>2</v>
      </c>
      <c r="Q654" s="317"/>
    </row>
    <row r="655" ht="12.75" customHeight="1">
      <c r="G655" s="316" t="s">
        <v>1392</v>
      </c>
      <c r="H655" s="246">
        <v>50.0</v>
      </c>
      <c r="I655" s="315">
        <v>0.0024423602969910123</v>
      </c>
      <c r="K655" s="246"/>
      <c r="L655" s="316"/>
      <c r="M655" s="317"/>
      <c r="O655" s="329" t="str">
        <f>IFERROR(__xludf.DUMMYFUNCTION("""COMPUTED_VALUE"""),"Siren Reef - Harp 1★ #90B")</f>
        <v>Siren Reef - Harp 1★ #90B</v>
      </c>
      <c r="P655" s="246">
        <f>IFERROR(__xludf.DUMMYFUNCTION("""COMPUTED_VALUE"""),50.0)</f>
        <v>50</v>
      </c>
      <c r="Q655" s="317"/>
    </row>
    <row r="656" ht="12.75" customHeight="1">
      <c r="G656" s="316" t="s">
        <v>1393</v>
      </c>
      <c r="H656" s="246">
        <v>50.0</v>
      </c>
      <c r="I656" s="315">
        <v>0.0024423602969910123</v>
      </c>
      <c r="K656" s="246"/>
      <c r="L656" s="316"/>
      <c r="M656" s="317"/>
      <c r="O656" s="329" t="str">
        <f>IFERROR(__xludf.DUMMYFUNCTION("""COMPUTED_VALUE"""),"Siren Reef - Harp 1★ #3C0")</f>
        <v>Siren Reef - Harp 1★ #3C0</v>
      </c>
      <c r="P656" s="246">
        <f>IFERROR(__xludf.DUMMYFUNCTION("""COMPUTED_VALUE"""),50.0)</f>
        <v>50</v>
      </c>
      <c r="Q656" s="317"/>
    </row>
    <row r="657" ht="12.75" customHeight="1">
      <c r="G657" s="316" t="s">
        <v>1394</v>
      </c>
      <c r="H657" s="246">
        <v>50.0</v>
      </c>
      <c r="I657" s="315">
        <v>0.0024423602969910123</v>
      </c>
      <c r="K657" s="246"/>
      <c r="L657" s="316"/>
      <c r="M657" s="317"/>
      <c r="O657" s="329" t="str">
        <f>IFERROR(__xludf.DUMMYFUNCTION("""COMPUTED_VALUE"""),"Siren Reef - Harp 1★ #E75")</f>
        <v>Siren Reef - Harp 1★ #E75</v>
      </c>
      <c r="P657" s="246">
        <f>IFERROR(__xludf.DUMMYFUNCTION("""COMPUTED_VALUE"""),50.0)</f>
        <v>50</v>
      </c>
      <c r="Q657" s="317"/>
    </row>
    <row r="658" ht="12.75" customHeight="1">
      <c r="G658" s="316" t="s">
        <v>1395</v>
      </c>
      <c r="H658" s="246">
        <v>50.0</v>
      </c>
      <c r="I658" s="315">
        <v>0.0024423602969910123</v>
      </c>
      <c r="K658" s="246"/>
      <c r="L658" s="316"/>
      <c r="M658" s="317"/>
      <c r="O658" s="329" t="str">
        <f>IFERROR(__xludf.DUMMYFUNCTION("""COMPUTED_VALUE"""),"Siren Reef - Harp 1★ #92A")</f>
        <v>Siren Reef - Harp 1★ #92A</v>
      </c>
      <c r="P658" s="246">
        <f>IFERROR(__xludf.DUMMYFUNCTION("""COMPUTED_VALUE"""),50.0)</f>
        <v>50</v>
      </c>
      <c r="Q658" s="317"/>
    </row>
    <row r="659" ht="12.75" customHeight="1">
      <c r="G659" s="316" t="s">
        <v>1396</v>
      </c>
      <c r="H659" s="246">
        <v>50.0</v>
      </c>
      <c r="I659" s="315">
        <v>0.0024423602969910123</v>
      </c>
      <c r="K659" s="246"/>
      <c r="L659" s="316"/>
      <c r="M659" s="317"/>
      <c r="O659" s="329" t="str">
        <f>IFERROR(__xludf.DUMMYFUNCTION("""COMPUTED_VALUE"""),"Siren Reef - Harp 1★ #3DF")</f>
        <v>Siren Reef - Harp 1★ #3DF</v>
      </c>
      <c r="P659" s="246">
        <f>IFERROR(__xludf.DUMMYFUNCTION("""COMPUTED_VALUE"""),50.0)</f>
        <v>50</v>
      </c>
      <c r="Q659" s="317"/>
    </row>
    <row r="660" ht="12.75" customHeight="1">
      <c r="G660" s="316" t="s">
        <v>1397</v>
      </c>
      <c r="H660" s="246">
        <v>50.0</v>
      </c>
      <c r="I660" s="315">
        <v>0.0024423602969910123</v>
      </c>
      <c r="K660" s="246"/>
      <c r="L660" s="316"/>
      <c r="M660" s="317"/>
      <c r="O660" s="329" t="str">
        <f>IFERROR(__xludf.DUMMYFUNCTION("""COMPUTED_VALUE"""),"Siren Reef - Harp 1★ #E94")</f>
        <v>Siren Reef - Harp 1★ #E94</v>
      </c>
      <c r="P660" s="246">
        <f>IFERROR(__xludf.DUMMYFUNCTION("""COMPUTED_VALUE"""),50.0)</f>
        <v>50</v>
      </c>
      <c r="Q660" s="317"/>
    </row>
    <row r="661" ht="12.75" customHeight="1">
      <c r="G661" s="316" t="s">
        <v>1398</v>
      </c>
      <c r="H661" s="246">
        <v>50.0</v>
      </c>
      <c r="I661" s="315">
        <v>0.0024423602969910123</v>
      </c>
      <c r="K661" s="246"/>
      <c r="L661" s="316"/>
      <c r="M661" s="317"/>
      <c r="O661" s="329" t="str">
        <f>IFERROR(__xludf.DUMMYFUNCTION("""COMPUTED_VALUE"""),"Siren Reef - Harp 1★ #949")</f>
        <v>Siren Reef - Harp 1★ #949</v>
      </c>
      <c r="P661" s="246">
        <f>IFERROR(__xludf.DUMMYFUNCTION("""COMPUTED_VALUE"""),50.0)</f>
        <v>50</v>
      </c>
      <c r="Q661" s="317"/>
    </row>
    <row r="662" ht="12.75" customHeight="1">
      <c r="G662" s="316" t="s">
        <v>1399</v>
      </c>
      <c r="H662" s="246">
        <v>50.0</v>
      </c>
      <c r="I662" s="315">
        <v>0.0024423602969910123</v>
      </c>
      <c r="K662" s="246"/>
      <c r="L662" s="316"/>
      <c r="M662" s="317"/>
      <c r="O662" s="329" t="str">
        <f>IFERROR(__xludf.DUMMYFUNCTION("""COMPUTED_VALUE"""),"Siren Reef - Harp 1★ #3FE")</f>
        <v>Siren Reef - Harp 1★ #3FE</v>
      </c>
      <c r="P662" s="246">
        <f>IFERROR(__xludf.DUMMYFUNCTION("""COMPUTED_VALUE"""),50.0)</f>
        <v>50</v>
      </c>
      <c r="Q662" s="317"/>
    </row>
    <row r="663" ht="12.75" customHeight="1">
      <c r="G663" s="316" t="s">
        <v>1400</v>
      </c>
      <c r="H663" s="246">
        <v>50.0</v>
      </c>
      <c r="I663" s="315">
        <v>0.0024423602969910123</v>
      </c>
      <c r="K663" s="246"/>
      <c r="L663" s="316"/>
      <c r="M663" s="317"/>
      <c r="O663" s="329" t="str">
        <f>IFERROR(__xludf.DUMMYFUNCTION("""COMPUTED_VALUE"""),"Siren Reef - Harp 1★ #EB3")</f>
        <v>Siren Reef - Harp 1★ #EB3</v>
      </c>
      <c r="P663" s="246">
        <f>IFERROR(__xludf.DUMMYFUNCTION("""COMPUTED_VALUE"""),50.0)</f>
        <v>50</v>
      </c>
      <c r="Q663" s="317"/>
    </row>
    <row r="664" ht="12.75" customHeight="1">
      <c r="G664" s="316" t="s">
        <v>1401</v>
      </c>
      <c r="H664" s="246">
        <v>50.0</v>
      </c>
      <c r="I664" s="315">
        <v>0.0024423602969910123</v>
      </c>
      <c r="K664" s="246"/>
      <c r="L664" s="316"/>
      <c r="M664" s="317"/>
      <c r="O664" s="329" t="str">
        <f>IFERROR(__xludf.DUMMYFUNCTION("""COMPUTED_VALUE"""),"Siren Reef - Harp 1★ #968")</f>
        <v>Siren Reef - Harp 1★ #968</v>
      </c>
      <c r="P664" s="246">
        <f>IFERROR(__xludf.DUMMYFUNCTION("""COMPUTED_VALUE"""),50.0)</f>
        <v>50</v>
      </c>
      <c r="Q664" s="317"/>
    </row>
    <row r="665" ht="12.75" customHeight="1">
      <c r="G665" s="316" t="s">
        <v>1402</v>
      </c>
      <c r="H665" s="246">
        <v>50.0</v>
      </c>
      <c r="I665" s="315">
        <v>0.0024423602969910123</v>
      </c>
      <c r="K665" s="246"/>
      <c r="L665" s="316"/>
      <c r="M665" s="317"/>
      <c r="O665" s="329" t="str">
        <f>IFERROR(__xludf.DUMMYFUNCTION("""COMPUTED_VALUE"""),"Siren Reef - Harp 1★ #41D")</f>
        <v>Siren Reef - Harp 1★ #41D</v>
      </c>
      <c r="P665" s="246">
        <f>IFERROR(__xludf.DUMMYFUNCTION("""COMPUTED_VALUE"""),50.0)</f>
        <v>50</v>
      </c>
      <c r="Q665" s="317"/>
    </row>
    <row r="666" ht="12.75" customHeight="1">
      <c r="G666" s="316" t="s">
        <v>1403</v>
      </c>
      <c r="H666" s="246">
        <v>50.0</v>
      </c>
      <c r="I666" s="315">
        <v>0.0024423602969910123</v>
      </c>
      <c r="K666" s="246"/>
      <c r="L666" s="316"/>
      <c r="M666" s="317"/>
      <c r="O666" s="329" t="str">
        <f>IFERROR(__xludf.DUMMYFUNCTION("""COMPUTED_VALUE"""),"Siren Reef - Harp 1★ #ED2")</f>
        <v>Siren Reef - Harp 1★ #ED2</v>
      </c>
      <c r="P666" s="246">
        <f>IFERROR(__xludf.DUMMYFUNCTION("""COMPUTED_VALUE"""),50.0)</f>
        <v>50</v>
      </c>
      <c r="Q666" s="317"/>
    </row>
    <row r="667" ht="12.75" customHeight="1">
      <c r="G667" s="316" t="s">
        <v>1404</v>
      </c>
      <c r="H667" s="246">
        <v>50.0</v>
      </c>
      <c r="I667" s="315">
        <v>0.0024423602969910123</v>
      </c>
      <c r="K667" s="246"/>
      <c r="L667" s="316"/>
      <c r="M667" s="317"/>
      <c r="O667" s="329" t="str">
        <f>IFERROR(__xludf.DUMMYFUNCTION("""COMPUTED_VALUE"""),"Siren Reef - Harp 1★ #987")</f>
        <v>Siren Reef - Harp 1★ #987</v>
      </c>
      <c r="P667" s="246">
        <f>IFERROR(__xludf.DUMMYFUNCTION("""COMPUTED_VALUE"""),50.0)</f>
        <v>50</v>
      </c>
      <c r="Q667" s="317"/>
    </row>
    <row r="668" ht="12.75" customHeight="1">
      <c r="G668" s="316" t="s">
        <v>1405</v>
      </c>
      <c r="H668" s="246">
        <v>50.0</v>
      </c>
      <c r="I668" s="315">
        <v>0.0024423602969910123</v>
      </c>
      <c r="K668" s="246"/>
      <c r="L668" s="316"/>
      <c r="M668" s="317"/>
      <c r="O668" s="329" t="str">
        <f>IFERROR(__xludf.DUMMYFUNCTION("""COMPUTED_VALUE"""),"Siren Reef - Mirror 1★ #43C")</f>
        <v>Siren Reef - Mirror 1★ #43C</v>
      </c>
      <c r="P668" s="246">
        <f>IFERROR(__xludf.DUMMYFUNCTION("""COMPUTED_VALUE"""),50.0)</f>
        <v>50</v>
      </c>
      <c r="Q668" s="317"/>
    </row>
    <row r="669" ht="12.75" customHeight="1">
      <c r="G669" s="316" t="s">
        <v>1406</v>
      </c>
      <c r="H669" s="246">
        <v>50.0</v>
      </c>
      <c r="I669" s="315">
        <v>0.0024423602969910123</v>
      </c>
      <c r="K669" s="246"/>
      <c r="L669" s="316"/>
      <c r="M669" s="317"/>
      <c r="O669" s="329" t="str">
        <f>IFERROR(__xludf.DUMMYFUNCTION("""COMPUTED_VALUE"""),"Siren Reef - Mirror 1★ #EF1")</f>
        <v>Siren Reef - Mirror 1★ #EF1</v>
      </c>
      <c r="P669" s="246">
        <f>IFERROR(__xludf.DUMMYFUNCTION("""COMPUTED_VALUE"""),50.0)</f>
        <v>50</v>
      </c>
      <c r="Q669" s="317"/>
    </row>
    <row r="670" ht="12.75" customHeight="1">
      <c r="G670" s="316" t="s">
        <v>1407</v>
      </c>
      <c r="H670" s="246">
        <v>50.0</v>
      </c>
      <c r="I670" s="315">
        <v>0.0024423602969910123</v>
      </c>
      <c r="K670" s="246"/>
      <c r="L670" s="316"/>
      <c r="M670" s="317"/>
      <c r="O670" s="329" t="str">
        <f>IFERROR(__xludf.DUMMYFUNCTION("""COMPUTED_VALUE"""),"Siren Reef - Mirror 1★ #9A6")</f>
        <v>Siren Reef - Mirror 1★ #9A6</v>
      </c>
      <c r="P670" s="246">
        <f>IFERROR(__xludf.DUMMYFUNCTION("""COMPUTED_VALUE"""),50.0)</f>
        <v>50</v>
      </c>
      <c r="Q670" s="317"/>
    </row>
    <row r="671" ht="12.75" customHeight="1">
      <c r="G671" s="316" t="s">
        <v>1408</v>
      </c>
      <c r="H671" s="246">
        <v>50.0</v>
      </c>
      <c r="I671" s="315">
        <v>0.0024423602969910123</v>
      </c>
      <c r="K671" s="246"/>
      <c r="L671" s="316"/>
      <c r="M671" s="317"/>
      <c r="O671" s="329" t="str">
        <f>IFERROR(__xludf.DUMMYFUNCTION("""COMPUTED_VALUE"""),"Siren Reef - Mirror 1★ #45B")</f>
        <v>Siren Reef - Mirror 1★ #45B</v>
      </c>
      <c r="P671" s="246">
        <f>IFERROR(__xludf.DUMMYFUNCTION("""COMPUTED_VALUE"""),50.0)</f>
        <v>50</v>
      </c>
      <c r="Q671" s="317"/>
    </row>
    <row r="672" ht="12.75" customHeight="1">
      <c r="G672" s="316" t="s">
        <v>1409</v>
      </c>
      <c r="H672" s="246">
        <v>50.0</v>
      </c>
      <c r="I672" s="315">
        <v>0.0024423602969910123</v>
      </c>
      <c r="K672" s="246"/>
      <c r="L672" s="316"/>
      <c r="M672" s="317"/>
      <c r="O672" s="329" t="str">
        <f>IFERROR(__xludf.DUMMYFUNCTION("""COMPUTED_VALUE"""),"Siren Reef - Mirror 1★ #F10")</f>
        <v>Siren Reef - Mirror 1★ #F10</v>
      </c>
      <c r="P672" s="246">
        <f>IFERROR(__xludf.DUMMYFUNCTION("""COMPUTED_VALUE"""),50.0)</f>
        <v>50</v>
      </c>
      <c r="Q672" s="317"/>
    </row>
    <row r="673" ht="12.75" customHeight="1">
      <c r="G673" s="316" t="s">
        <v>1410</v>
      </c>
      <c r="H673" s="246">
        <v>50.0</v>
      </c>
      <c r="I673" s="315">
        <v>0.0024423602969910123</v>
      </c>
      <c r="K673" s="246"/>
      <c r="L673" s="316"/>
      <c r="M673" s="317"/>
      <c r="O673" s="329" t="str">
        <f>IFERROR(__xludf.DUMMYFUNCTION("""COMPUTED_VALUE"""),"Siren Reef - Mirror 1★ #9C5")</f>
        <v>Siren Reef - Mirror 1★ #9C5</v>
      </c>
      <c r="P673" s="246">
        <f>IFERROR(__xludf.DUMMYFUNCTION("""COMPUTED_VALUE"""),50.0)</f>
        <v>50</v>
      </c>
      <c r="Q673" s="317"/>
    </row>
    <row r="674" ht="12.75" customHeight="1">
      <c r="G674" s="316" t="s">
        <v>1411</v>
      </c>
      <c r="H674" s="246">
        <v>50.0</v>
      </c>
      <c r="I674" s="315">
        <v>0.0024423602969910123</v>
      </c>
      <c r="K674" s="246"/>
      <c r="L674" s="316"/>
      <c r="M674" s="317"/>
      <c r="O674" s="329" t="str">
        <f>IFERROR(__xludf.DUMMYFUNCTION("""COMPUTED_VALUE"""),"Siren Reef - Mirror 1★ #47A")</f>
        <v>Siren Reef - Mirror 1★ #47A</v>
      </c>
      <c r="P674" s="246">
        <f>IFERROR(__xludf.DUMMYFUNCTION("""COMPUTED_VALUE"""),50.0)</f>
        <v>50</v>
      </c>
      <c r="Q674" s="317"/>
    </row>
    <row r="675" ht="12.75" customHeight="1">
      <c r="G675" s="316" t="s">
        <v>1412</v>
      </c>
      <c r="H675" s="246">
        <v>50.0</v>
      </c>
      <c r="I675" s="315">
        <v>0.0024423602969910123</v>
      </c>
      <c r="K675" s="246"/>
      <c r="L675" s="316"/>
      <c r="M675" s="317"/>
      <c r="O675" s="329" t="str">
        <f>IFERROR(__xludf.DUMMYFUNCTION("""COMPUTED_VALUE"""),"Siren Reef - Mirror 1★ #F2F")</f>
        <v>Siren Reef - Mirror 1★ #F2F</v>
      </c>
      <c r="P675" s="246">
        <f>IFERROR(__xludf.DUMMYFUNCTION("""COMPUTED_VALUE"""),50.0)</f>
        <v>50</v>
      </c>
      <c r="Q675" s="317"/>
    </row>
    <row r="676" ht="12.75" customHeight="1">
      <c r="G676" s="316" t="s">
        <v>1413</v>
      </c>
      <c r="H676" s="246">
        <v>50.0</v>
      </c>
      <c r="I676" s="315">
        <v>0.0024423602969910123</v>
      </c>
      <c r="K676" s="246"/>
      <c r="L676" s="316"/>
      <c r="M676" s="317"/>
      <c r="O676" s="329" t="str">
        <f>IFERROR(__xludf.DUMMYFUNCTION("""COMPUTED_VALUE"""),"Siren Reef - Mirror 1★ #9E4")</f>
        <v>Siren Reef - Mirror 1★ #9E4</v>
      </c>
      <c r="P676" s="246">
        <f>IFERROR(__xludf.DUMMYFUNCTION("""COMPUTED_VALUE"""),50.0)</f>
        <v>50</v>
      </c>
      <c r="Q676" s="317"/>
    </row>
    <row r="677" ht="12.75" customHeight="1">
      <c r="G677" s="316" t="s">
        <v>1414</v>
      </c>
      <c r="H677" s="246">
        <v>50.0</v>
      </c>
      <c r="I677" s="315">
        <v>0.0024423602969910123</v>
      </c>
      <c r="K677" s="246"/>
      <c r="L677" s="316"/>
      <c r="M677" s="317"/>
      <c r="O677" s="329" t="str">
        <f>IFERROR(__xludf.DUMMYFUNCTION("""COMPUTED_VALUE"""),"Siren Reef - Mirror 1★ #499")</f>
        <v>Siren Reef - Mirror 1★ #499</v>
      </c>
      <c r="P677" s="246">
        <f>IFERROR(__xludf.DUMMYFUNCTION("""COMPUTED_VALUE"""),50.0)</f>
        <v>50</v>
      </c>
      <c r="Q677" s="317"/>
    </row>
    <row r="678" ht="12.75" customHeight="1">
      <c r="G678" s="316" t="s">
        <v>1415</v>
      </c>
      <c r="H678" s="246">
        <v>50.0</v>
      </c>
      <c r="I678" s="315">
        <v>0.0024423602969910123</v>
      </c>
      <c r="K678" s="246"/>
      <c r="L678" s="316"/>
      <c r="M678" s="317"/>
      <c r="O678" s="329" t="str">
        <f>IFERROR(__xludf.DUMMYFUNCTION("""COMPUTED_VALUE"""),"Siren Reef - Mirror 1★ #F4E")</f>
        <v>Siren Reef - Mirror 1★ #F4E</v>
      </c>
      <c r="P678" s="246">
        <f>IFERROR(__xludf.DUMMYFUNCTION("""COMPUTED_VALUE"""),50.0)</f>
        <v>50</v>
      </c>
      <c r="Q678" s="317"/>
    </row>
    <row r="679" ht="12.75" customHeight="1">
      <c r="G679" s="316" t="s">
        <v>1416</v>
      </c>
      <c r="H679" s="246">
        <v>50.0</v>
      </c>
      <c r="I679" s="315">
        <v>0.0024423602969910123</v>
      </c>
      <c r="K679" s="246"/>
      <c r="L679" s="316"/>
      <c r="M679" s="317"/>
      <c r="O679" s="329" t="str">
        <f>IFERROR(__xludf.DUMMYFUNCTION("""COMPUTED_VALUE"""),"Siren Reef - Mirror 1★ #A03")</f>
        <v>Siren Reef - Mirror 1★ #A03</v>
      </c>
      <c r="P679" s="246">
        <f>IFERROR(__xludf.DUMMYFUNCTION("""COMPUTED_VALUE"""),50.0)</f>
        <v>50</v>
      </c>
      <c r="Q679" s="317"/>
    </row>
    <row r="680" ht="12.75" customHeight="1">
      <c r="G680" s="316" t="s">
        <v>1417</v>
      </c>
      <c r="H680" s="246">
        <v>50.0</v>
      </c>
      <c r="I680" s="315">
        <v>0.0024423602969910123</v>
      </c>
      <c r="K680" s="246"/>
      <c r="L680" s="316"/>
      <c r="M680" s="317"/>
      <c r="O680" s="329" t="str">
        <f>IFERROR(__xludf.DUMMYFUNCTION("""COMPUTED_VALUE"""),"Siren Reef - Mirror 1★ #4B8")</f>
        <v>Siren Reef - Mirror 1★ #4B8</v>
      </c>
      <c r="P680" s="246">
        <f>IFERROR(__xludf.DUMMYFUNCTION("""COMPUTED_VALUE"""),50.0)</f>
        <v>50</v>
      </c>
      <c r="Q680" s="317"/>
    </row>
    <row r="681" ht="12.75" customHeight="1">
      <c r="G681" s="316" t="s">
        <v>1418</v>
      </c>
      <c r="H681" s="246">
        <v>20.0</v>
      </c>
      <c r="I681" s="315">
        <v>9.769441187964048E-4</v>
      </c>
      <c r="K681" s="246"/>
      <c r="L681" s="316"/>
      <c r="M681" s="317"/>
      <c r="O681" s="329" t="str">
        <f>IFERROR(__xludf.DUMMYFUNCTION("""COMPUTED_VALUE"""),"Siren Reef - Comb 2★ #F6D")</f>
        <v>Siren Reef - Comb 2★ #F6D</v>
      </c>
      <c r="P681" s="246">
        <f>IFERROR(__xludf.DUMMYFUNCTION("""COMPUTED_VALUE"""),20.0)</f>
        <v>20</v>
      </c>
      <c r="Q681" s="317"/>
    </row>
    <row r="682" ht="12.75" customHeight="1">
      <c r="G682" s="316" t="s">
        <v>1419</v>
      </c>
      <c r="H682" s="246">
        <v>20.0</v>
      </c>
      <c r="I682" s="315">
        <v>9.769441187964048E-4</v>
      </c>
      <c r="K682" s="246"/>
      <c r="L682" s="316"/>
      <c r="M682" s="317"/>
      <c r="O682" s="329" t="str">
        <f>IFERROR(__xludf.DUMMYFUNCTION("""COMPUTED_VALUE"""),"Siren Reef - Comb 2★ #A22")</f>
        <v>Siren Reef - Comb 2★ #A22</v>
      </c>
      <c r="P682" s="246">
        <f>IFERROR(__xludf.DUMMYFUNCTION("""COMPUTED_VALUE"""),20.0)</f>
        <v>20</v>
      </c>
      <c r="Q682" s="317"/>
    </row>
    <row r="683" ht="12.75" customHeight="1">
      <c r="G683" s="316" t="s">
        <v>1420</v>
      </c>
      <c r="H683" s="246">
        <v>20.0</v>
      </c>
      <c r="I683" s="315">
        <v>9.769441187964048E-4</v>
      </c>
      <c r="K683" s="246"/>
      <c r="L683" s="316"/>
      <c r="M683" s="317"/>
      <c r="O683" s="329" t="str">
        <f>IFERROR(__xludf.DUMMYFUNCTION("""COMPUTED_VALUE"""),"Siren Reef - Comb 2★ #4D7")</f>
        <v>Siren Reef - Comb 2★ #4D7</v>
      </c>
      <c r="P683" s="246">
        <f>IFERROR(__xludf.DUMMYFUNCTION("""COMPUTED_VALUE"""),20.0)</f>
        <v>20</v>
      </c>
      <c r="Q683" s="317"/>
    </row>
    <row r="684" ht="12.75" customHeight="1">
      <c r="G684" s="316" t="s">
        <v>1421</v>
      </c>
      <c r="H684" s="246">
        <v>20.0</v>
      </c>
      <c r="I684" s="315">
        <v>9.769441187964048E-4</v>
      </c>
      <c r="K684" s="246"/>
      <c r="L684" s="316"/>
      <c r="M684" s="317"/>
      <c r="O684" s="329" t="str">
        <f>IFERROR(__xludf.DUMMYFUNCTION("""COMPUTED_VALUE"""),"Siren Reef - Comb 2★ #F8C")</f>
        <v>Siren Reef - Comb 2★ #F8C</v>
      </c>
      <c r="P684" s="246">
        <f>IFERROR(__xludf.DUMMYFUNCTION("""COMPUTED_VALUE"""),20.0)</f>
        <v>20</v>
      </c>
      <c r="Q684" s="317"/>
    </row>
    <row r="685" ht="12.75" customHeight="1">
      <c r="G685" s="316" t="s">
        <v>1422</v>
      </c>
      <c r="H685" s="246">
        <v>20.0</v>
      </c>
      <c r="I685" s="315">
        <v>9.769441187964048E-4</v>
      </c>
      <c r="K685" s="246"/>
      <c r="L685" s="316"/>
      <c r="M685" s="317"/>
      <c r="O685" s="329" t="str">
        <f>IFERROR(__xludf.DUMMYFUNCTION("""COMPUTED_VALUE"""),"Siren Reef - Comb 2★ #A41")</f>
        <v>Siren Reef - Comb 2★ #A41</v>
      </c>
      <c r="P685" s="246">
        <f>IFERROR(__xludf.DUMMYFUNCTION("""COMPUTED_VALUE"""),20.0)</f>
        <v>20</v>
      </c>
      <c r="Q685" s="317"/>
    </row>
    <row r="686" ht="12.75" customHeight="1">
      <c r="G686" s="316" t="s">
        <v>1423</v>
      </c>
      <c r="H686" s="246">
        <v>20.0</v>
      </c>
      <c r="I686" s="315">
        <v>9.769441187964048E-4</v>
      </c>
      <c r="K686" s="246"/>
      <c r="L686" s="316"/>
      <c r="M686" s="317"/>
      <c r="O686" s="329" t="str">
        <f>IFERROR(__xludf.DUMMYFUNCTION("""COMPUTED_VALUE"""),"Siren Reef - Comb 2★ #4F6")</f>
        <v>Siren Reef - Comb 2★ #4F6</v>
      </c>
      <c r="P686" s="246">
        <f>IFERROR(__xludf.DUMMYFUNCTION("""COMPUTED_VALUE"""),20.0)</f>
        <v>20</v>
      </c>
      <c r="Q686" s="317"/>
    </row>
    <row r="687" ht="12.75" customHeight="1">
      <c r="G687" s="316" t="s">
        <v>1424</v>
      </c>
      <c r="H687" s="246">
        <v>20.0</v>
      </c>
      <c r="I687" s="315">
        <v>9.769441187964048E-4</v>
      </c>
      <c r="K687" s="246"/>
      <c r="L687" s="316"/>
      <c r="M687" s="317"/>
      <c r="O687" s="329" t="str">
        <f>IFERROR(__xludf.DUMMYFUNCTION("""COMPUTED_VALUE"""),"Siren Reef - Comb 2★ #FAB")</f>
        <v>Siren Reef - Comb 2★ #FAB</v>
      </c>
      <c r="P687" s="246">
        <f>IFERROR(__xludf.DUMMYFUNCTION("""COMPUTED_VALUE"""),20.0)</f>
        <v>20</v>
      </c>
      <c r="Q687" s="317"/>
    </row>
    <row r="688" ht="12.75" customHeight="1">
      <c r="G688" s="316" t="s">
        <v>1425</v>
      </c>
      <c r="H688" s="246">
        <v>20.0</v>
      </c>
      <c r="I688" s="315">
        <v>9.769441187964048E-4</v>
      </c>
      <c r="K688" s="246"/>
      <c r="L688" s="316"/>
      <c r="M688" s="317"/>
      <c r="O688" s="329" t="str">
        <f>IFERROR(__xludf.DUMMYFUNCTION("""COMPUTED_VALUE"""),"Siren Reef - Comb 2★ #A60")</f>
        <v>Siren Reef - Comb 2★ #A60</v>
      </c>
      <c r="P688" s="246">
        <f>IFERROR(__xludf.DUMMYFUNCTION("""COMPUTED_VALUE"""),20.0)</f>
        <v>20</v>
      </c>
      <c r="Q688" s="317"/>
    </row>
    <row r="689" ht="12.75" customHeight="1">
      <c r="G689" s="316" t="s">
        <v>1426</v>
      </c>
      <c r="H689" s="246">
        <v>20.0</v>
      </c>
      <c r="I689" s="315">
        <v>9.769441187964048E-4</v>
      </c>
      <c r="K689" s="246"/>
      <c r="L689" s="316"/>
      <c r="M689" s="317"/>
      <c r="O689" s="329" t="str">
        <f>IFERROR(__xludf.DUMMYFUNCTION("""COMPUTED_VALUE"""),"Siren Reef - Comb 2★ #515")</f>
        <v>Siren Reef - Comb 2★ #515</v>
      </c>
      <c r="P689" s="246">
        <f>IFERROR(__xludf.DUMMYFUNCTION("""COMPUTED_VALUE"""),20.0)</f>
        <v>20</v>
      </c>
      <c r="Q689" s="317"/>
    </row>
    <row r="690" ht="12.75" customHeight="1">
      <c r="G690" s="316" t="s">
        <v>1427</v>
      </c>
      <c r="H690" s="246">
        <v>20.0</v>
      </c>
      <c r="I690" s="315">
        <v>9.769441187964048E-4</v>
      </c>
      <c r="K690" s="246"/>
      <c r="L690" s="316"/>
      <c r="M690" s="317"/>
      <c r="O690" s="329" t="str">
        <f>IFERROR(__xludf.DUMMYFUNCTION("""COMPUTED_VALUE"""),"Siren Reef - Comb 2★ #FCA")</f>
        <v>Siren Reef - Comb 2★ #FCA</v>
      </c>
      <c r="P690" s="246">
        <f>IFERROR(__xludf.DUMMYFUNCTION("""COMPUTED_VALUE"""),20.0)</f>
        <v>20</v>
      </c>
      <c r="Q690" s="317"/>
    </row>
    <row r="691" ht="12.75" customHeight="1">
      <c r="G691" s="316" t="s">
        <v>1428</v>
      </c>
      <c r="H691" s="246">
        <v>20.0</v>
      </c>
      <c r="I691" s="315">
        <v>9.769441187964048E-4</v>
      </c>
      <c r="K691" s="246"/>
      <c r="L691" s="316"/>
      <c r="M691" s="317"/>
      <c r="O691" s="329" t="str">
        <f>IFERROR(__xludf.DUMMYFUNCTION("""COMPUTED_VALUE"""),"Siren Reef - Comb 2★ #A7F")</f>
        <v>Siren Reef - Comb 2★ #A7F</v>
      </c>
      <c r="P691" s="246">
        <f>IFERROR(__xludf.DUMMYFUNCTION("""COMPUTED_VALUE"""),20.0)</f>
        <v>20</v>
      </c>
      <c r="Q691" s="317"/>
    </row>
    <row r="692" ht="12.75" customHeight="1">
      <c r="G692" s="316" t="s">
        <v>1429</v>
      </c>
      <c r="H692" s="246">
        <v>20.0</v>
      </c>
      <c r="I692" s="315">
        <v>9.769441187964048E-4</v>
      </c>
      <c r="K692" s="246"/>
      <c r="L692" s="316"/>
      <c r="M692" s="317"/>
      <c r="O692" s="329" t="str">
        <f>IFERROR(__xludf.DUMMYFUNCTION("""COMPUTED_VALUE"""),"Siren Reef - Comb 2★ #534")</f>
        <v>Siren Reef - Comb 2★ #534</v>
      </c>
      <c r="P692" s="246">
        <f>IFERROR(__xludf.DUMMYFUNCTION("""COMPUTED_VALUE"""),20.0)</f>
        <v>20</v>
      </c>
      <c r="Q692" s="317"/>
    </row>
    <row r="693" ht="12.75" customHeight="1">
      <c r="G693" s="316" t="s">
        <v>1430</v>
      </c>
      <c r="H693" s="246">
        <v>20.0</v>
      </c>
      <c r="I693" s="315">
        <v>9.769441187964048E-4</v>
      </c>
      <c r="K693" s="246"/>
      <c r="L693" s="316"/>
      <c r="M693" s="317"/>
      <c r="O693" s="329" t="str">
        <f>IFERROR(__xludf.DUMMYFUNCTION("""COMPUTED_VALUE"""),"Siren Reef - Witch 2★ #FE9")</f>
        <v>Siren Reef - Witch 2★ #FE9</v>
      </c>
      <c r="P693" s="246">
        <f>IFERROR(__xludf.DUMMYFUNCTION("""COMPUTED_VALUE"""),20.0)</f>
        <v>20</v>
      </c>
      <c r="Q693" s="317"/>
    </row>
    <row r="694" ht="12.75" customHeight="1">
      <c r="G694" s="316" t="s">
        <v>1431</v>
      </c>
      <c r="H694" s="246">
        <v>20.0</v>
      </c>
      <c r="I694" s="315">
        <v>9.769441187964048E-4</v>
      </c>
      <c r="K694" s="246"/>
      <c r="L694" s="316"/>
      <c r="M694" s="317"/>
      <c r="O694" s="329" t="str">
        <f>IFERROR(__xludf.DUMMYFUNCTION("""COMPUTED_VALUE"""),"Siren Reef - Witch 2★ #A9E")</f>
        <v>Siren Reef - Witch 2★ #A9E</v>
      </c>
      <c r="P694" s="246">
        <f>IFERROR(__xludf.DUMMYFUNCTION("""COMPUTED_VALUE"""),20.0)</f>
        <v>20</v>
      </c>
      <c r="Q694" s="317"/>
    </row>
    <row r="695" ht="12.75" customHeight="1">
      <c r="G695" s="316" t="s">
        <v>1432</v>
      </c>
      <c r="H695" s="246">
        <v>20.0</v>
      </c>
      <c r="I695" s="315">
        <v>9.769441187964048E-4</v>
      </c>
      <c r="K695" s="246"/>
      <c r="L695" s="316"/>
      <c r="M695" s="317"/>
      <c r="O695" s="329" t="str">
        <f>IFERROR(__xludf.DUMMYFUNCTION("""COMPUTED_VALUE"""),"Siren Reef - Witch 2★ #553")</f>
        <v>Siren Reef - Witch 2★ #553</v>
      </c>
      <c r="P695" s="246">
        <f>IFERROR(__xludf.DUMMYFUNCTION("""COMPUTED_VALUE"""),20.0)</f>
        <v>20</v>
      </c>
      <c r="Q695" s="317"/>
    </row>
    <row r="696" ht="12.75" customHeight="1">
      <c r="G696" s="316" t="s">
        <v>1433</v>
      </c>
      <c r="H696" s="246">
        <v>20.0</v>
      </c>
      <c r="I696" s="315">
        <v>9.769441187964048E-4</v>
      </c>
      <c r="K696" s="246"/>
      <c r="L696" s="316"/>
      <c r="M696" s="317"/>
      <c r="O696" s="329" t="str">
        <f>IFERROR(__xludf.DUMMYFUNCTION("""COMPUTED_VALUE"""),"Siren Reef - Witch 2★ #008")</f>
        <v>Siren Reef - Witch 2★ #008</v>
      </c>
      <c r="P696" s="246">
        <f>IFERROR(__xludf.DUMMYFUNCTION("""COMPUTED_VALUE"""),20.0)</f>
        <v>20</v>
      </c>
      <c r="Q696" s="317"/>
    </row>
    <row r="697" ht="12.75" customHeight="1">
      <c r="G697" s="316" t="s">
        <v>1434</v>
      </c>
      <c r="H697" s="246">
        <v>20.0</v>
      </c>
      <c r="I697" s="315">
        <v>9.769441187964048E-4</v>
      </c>
      <c r="K697" s="246"/>
      <c r="L697" s="316"/>
      <c r="M697" s="317"/>
      <c r="O697" s="329" t="str">
        <f>IFERROR(__xludf.DUMMYFUNCTION("""COMPUTED_VALUE"""),"Siren Reef - Witch 2★ #ABD")</f>
        <v>Siren Reef - Witch 2★ #ABD</v>
      </c>
      <c r="P697" s="246">
        <f>IFERROR(__xludf.DUMMYFUNCTION("""COMPUTED_VALUE"""),20.0)</f>
        <v>20</v>
      </c>
      <c r="Q697" s="317"/>
    </row>
    <row r="698" ht="12.75" customHeight="1">
      <c r="G698" s="316" t="s">
        <v>1435</v>
      </c>
      <c r="H698" s="246">
        <v>20.0</v>
      </c>
      <c r="I698" s="315">
        <v>9.769441187964048E-4</v>
      </c>
      <c r="K698" s="246"/>
      <c r="L698" s="316"/>
      <c r="M698" s="317"/>
      <c r="O698" s="329" t="str">
        <f>IFERROR(__xludf.DUMMYFUNCTION("""COMPUTED_VALUE"""),"Siren Reef - Witch 2★ #572")</f>
        <v>Siren Reef - Witch 2★ #572</v>
      </c>
      <c r="P698" s="246">
        <f>IFERROR(__xludf.DUMMYFUNCTION("""COMPUTED_VALUE"""),20.0)</f>
        <v>20</v>
      </c>
      <c r="Q698" s="317"/>
    </row>
    <row r="699" ht="12.75" customHeight="1">
      <c r="G699" s="316" t="s">
        <v>1436</v>
      </c>
      <c r="H699" s="246">
        <v>20.0</v>
      </c>
      <c r="I699" s="315">
        <v>9.769441187964048E-4</v>
      </c>
      <c r="K699" s="246"/>
      <c r="L699" s="316"/>
      <c r="M699" s="317"/>
      <c r="O699" s="329" t="str">
        <f>IFERROR(__xludf.DUMMYFUNCTION("""COMPUTED_VALUE"""),"Siren Reef - Witch 2★ #027")</f>
        <v>Siren Reef - Witch 2★ #027</v>
      </c>
      <c r="P699" s="246">
        <f>IFERROR(__xludf.DUMMYFUNCTION("""COMPUTED_VALUE"""),20.0)</f>
        <v>20</v>
      </c>
      <c r="Q699" s="317"/>
    </row>
    <row r="700" ht="12.75" customHeight="1">
      <c r="G700" s="316" t="s">
        <v>1437</v>
      </c>
      <c r="H700" s="246">
        <v>20.0</v>
      </c>
      <c r="I700" s="315">
        <v>9.769441187964048E-4</v>
      </c>
      <c r="K700" s="246"/>
      <c r="L700" s="316"/>
      <c r="M700" s="317"/>
      <c r="O700" s="329" t="str">
        <f>IFERROR(__xludf.DUMMYFUNCTION("""COMPUTED_VALUE"""),"Siren Reef - Witch 2★ #ADC")</f>
        <v>Siren Reef - Witch 2★ #ADC</v>
      </c>
      <c r="P700" s="246">
        <f>IFERROR(__xludf.DUMMYFUNCTION("""COMPUTED_VALUE"""),20.0)</f>
        <v>20</v>
      </c>
      <c r="Q700" s="317"/>
    </row>
    <row r="701" ht="12.75" customHeight="1">
      <c r="G701" s="316" t="s">
        <v>1438</v>
      </c>
      <c r="H701" s="246">
        <v>20.0</v>
      </c>
      <c r="I701" s="315">
        <v>9.769441187964048E-4</v>
      </c>
      <c r="K701" s="246"/>
      <c r="L701" s="316"/>
      <c r="M701" s="317"/>
      <c r="O701" s="329" t="str">
        <f>IFERROR(__xludf.DUMMYFUNCTION("""COMPUTED_VALUE"""),"Siren Reef - Witch 2★ #591")</f>
        <v>Siren Reef - Witch 2★ #591</v>
      </c>
      <c r="P701" s="246">
        <f>IFERROR(__xludf.DUMMYFUNCTION("""COMPUTED_VALUE"""),20.0)</f>
        <v>20</v>
      </c>
      <c r="Q701" s="317"/>
    </row>
    <row r="702" ht="12.75" customHeight="1">
      <c r="G702" s="316" t="s">
        <v>1439</v>
      </c>
      <c r="H702" s="246">
        <v>20.0</v>
      </c>
      <c r="I702" s="315">
        <v>9.769441187964048E-4</v>
      </c>
      <c r="K702" s="246"/>
      <c r="L702" s="316"/>
      <c r="M702" s="317"/>
      <c r="O702" s="329" t="str">
        <f>IFERROR(__xludf.DUMMYFUNCTION("""COMPUTED_VALUE"""),"Siren Reef - Witch 2★ #046")</f>
        <v>Siren Reef - Witch 2★ #046</v>
      </c>
      <c r="P702" s="246">
        <f>IFERROR(__xludf.DUMMYFUNCTION("""COMPUTED_VALUE"""),20.0)</f>
        <v>20</v>
      </c>
      <c r="Q702" s="317"/>
    </row>
    <row r="703" ht="12.75" customHeight="1">
      <c r="G703" s="316" t="s">
        <v>1440</v>
      </c>
      <c r="H703" s="246">
        <v>20.0</v>
      </c>
      <c r="I703" s="315">
        <v>9.769441187964048E-4</v>
      </c>
      <c r="K703" s="246"/>
      <c r="L703" s="316"/>
      <c r="M703" s="317"/>
      <c r="O703" s="329" t="str">
        <f>IFERROR(__xludf.DUMMYFUNCTION("""COMPUTED_VALUE"""),"Siren Reef - Witch 2★ #AFB")</f>
        <v>Siren Reef - Witch 2★ #AFB</v>
      </c>
      <c r="P703" s="246">
        <f>IFERROR(__xludf.DUMMYFUNCTION("""COMPUTED_VALUE"""),20.0)</f>
        <v>20</v>
      </c>
      <c r="Q703" s="317"/>
    </row>
    <row r="704" ht="12.75" customHeight="1">
      <c r="G704" s="316" t="s">
        <v>1441</v>
      </c>
      <c r="H704" s="246">
        <v>20.0</v>
      </c>
      <c r="I704" s="315">
        <v>9.769441187964048E-4</v>
      </c>
      <c r="K704" s="246"/>
      <c r="L704" s="316"/>
      <c r="M704" s="317"/>
      <c r="O704" s="329" t="str">
        <f>IFERROR(__xludf.DUMMYFUNCTION("""COMPUTED_VALUE"""),"Siren Reef - Witch 2★ #5B0")</f>
        <v>Siren Reef - Witch 2★ #5B0</v>
      </c>
      <c r="P704" s="246">
        <f>IFERROR(__xludf.DUMMYFUNCTION("""COMPUTED_VALUE"""),20.0)</f>
        <v>20</v>
      </c>
      <c r="Q704" s="317"/>
    </row>
    <row r="705" ht="12.75" customHeight="1">
      <c r="G705" s="316" t="s">
        <v>1442</v>
      </c>
      <c r="H705" s="246">
        <v>10.0</v>
      </c>
      <c r="I705" s="315">
        <v>4.884720593982024E-4</v>
      </c>
      <c r="K705" s="246"/>
      <c r="L705" s="316"/>
      <c r="M705" s="317"/>
      <c r="O705" s="329" t="str">
        <f>IFERROR(__xludf.DUMMYFUNCTION("""COMPUTED_VALUE"""),"Siren Reef - Starfish 3★ #065")</f>
        <v>Siren Reef - Starfish 3★ #065</v>
      </c>
      <c r="P705" s="246">
        <f>IFERROR(__xludf.DUMMYFUNCTION("""COMPUTED_VALUE"""),10.0)</f>
        <v>10</v>
      </c>
      <c r="Q705" s="317"/>
    </row>
    <row r="706" ht="12.75" customHeight="1">
      <c r="G706" s="316" t="s">
        <v>1443</v>
      </c>
      <c r="H706" s="246">
        <v>10.0</v>
      </c>
      <c r="I706" s="315">
        <v>4.884720593982024E-4</v>
      </c>
      <c r="K706" s="246"/>
      <c r="L706" s="316"/>
      <c r="M706" s="317"/>
      <c r="O706" s="329" t="str">
        <f>IFERROR(__xludf.DUMMYFUNCTION("""COMPUTED_VALUE"""),"Siren Reef - Starfish 3★ #B1A")</f>
        <v>Siren Reef - Starfish 3★ #B1A</v>
      </c>
      <c r="P706" s="246">
        <f>IFERROR(__xludf.DUMMYFUNCTION("""COMPUTED_VALUE"""),10.0)</f>
        <v>10</v>
      </c>
      <c r="Q706" s="317"/>
    </row>
    <row r="707" ht="12.75" customHeight="1">
      <c r="G707" s="316" t="s">
        <v>1444</v>
      </c>
      <c r="H707" s="246">
        <v>10.0</v>
      </c>
      <c r="I707" s="315">
        <v>4.884720593982024E-4</v>
      </c>
      <c r="K707" s="246"/>
      <c r="L707" s="316"/>
      <c r="M707" s="317"/>
      <c r="O707" s="329" t="str">
        <f>IFERROR(__xludf.DUMMYFUNCTION("""COMPUTED_VALUE"""),"Siren Reef - Starfish 3★ #5CF")</f>
        <v>Siren Reef - Starfish 3★ #5CF</v>
      </c>
      <c r="P707" s="246">
        <f>IFERROR(__xludf.DUMMYFUNCTION("""COMPUTED_VALUE"""),10.0)</f>
        <v>10</v>
      </c>
      <c r="Q707" s="317"/>
    </row>
    <row r="708" ht="12.75" customHeight="1">
      <c r="G708" s="316" t="s">
        <v>1445</v>
      </c>
      <c r="H708" s="246">
        <v>10.0</v>
      </c>
      <c r="I708" s="315">
        <v>4.884720593982024E-4</v>
      </c>
      <c r="K708" s="246"/>
      <c r="L708" s="316"/>
      <c r="M708" s="317"/>
      <c r="O708" s="329" t="str">
        <f>IFERROR(__xludf.DUMMYFUNCTION("""COMPUTED_VALUE"""),"Siren Reef - Starfish 3★ #084")</f>
        <v>Siren Reef - Starfish 3★ #084</v>
      </c>
      <c r="P708" s="246">
        <f>IFERROR(__xludf.DUMMYFUNCTION("""COMPUTED_VALUE"""),10.0)</f>
        <v>10</v>
      </c>
      <c r="Q708" s="317"/>
    </row>
    <row r="709" ht="12.75" customHeight="1">
      <c r="G709" s="316" t="s">
        <v>1446</v>
      </c>
      <c r="H709" s="246">
        <v>10.0</v>
      </c>
      <c r="I709" s="315">
        <v>4.884720593982024E-4</v>
      </c>
      <c r="K709" s="246"/>
      <c r="L709" s="316"/>
      <c r="M709" s="317"/>
      <c r="O709" s="329" t="str">
        <f>IFERROR(__xludf.DUMMYFUNCTION("""COMPUTED_VALUE"""),"Siren Reef - Starfish 3★ #B39")</f>
        <v>Siren Reef - Starfish 3★ #B39</v>
      </c>
      <c r="P709" s="246">
        <f>IFERROR(__xludf.DUMMYFUNCTION("""COMPUTED_VALUE"""),10.0)</f>
        <v>10</v>
      </c>
      <c r="Q709" s="317"/>
    </row>
    <row r="710" ht="12.75" customHeight="1">
      <c r="G710" s="316" t="s">
        <v>1447</v>
      </c>
      <c r="H710" s="246">
        <v>10.0</v>
      </c>
      <c r="I710" s="315">
        <v>4.884720593982024E-4</v>
      </c>
      <c r="K710" s="246"/>
      <c r="L710" s="316"/>
      <c r="M710" s="317"/>
      <c r="O710" s="329" t="str">
        <f>IFERROR(__xludf.DUMMYFUNCTION("""COMPUTED_VALUE"""),"Siren Reef - Starfish 3★ #5EE")</f>
        <v>Siren Reef - Starfish 3★ #5EE</v>
      </c>
      <c r="P710" s="246">
        <f>IFERROR(__xludf.DUMMYFUNCTION("""COMPUTED_VALUE"""),10.0)</f>
        <v>10</v>
      </c>
      <c r="Q710" s="317"/>
    </row>
    <row r="711" ht="12.75" customHeight="1">
      <c r="G711" s="316" t="s">
        <v>1448</v>
      </c>
      <c r="H711" s="246">
        <v>10.0</v>
      </c>
      <c r="I711" s="315">
        <v>4.884720593982024E-4</v>
      </c>
      <c r="K711" s="246"/>
      <c r="L711" s="316"/>
      <c r="M711" s="317"/>
      <c r="O711" s="329" t="str">
        <f>IFERROR(__xludf.DUMMYFUNCTION("""COMPUTED_VALUE"""),"Siren Reef - Starfish 3★ #0A3")</f>
        <v>Siren Reef - Starfish 3★ #0A3</v>
      </c>
      <c r="P711" s="246">
        <f>IFERROR(__xludf.DUMMYFUNCTION("""COMPUTED_VALUE"""),10.0)</f>
        <v>10</v>
      </c>
      <c r="Q711" s="317"/>
    </row>
    <row r="712" ht="12.75" customHeight="1">
      <c r="G712" s="316" t="s">
        <v>1449</v>
      </c>
      <c r="H712" s="246">
        <v>10.0</v>
      </c>
      <c r="I712" s="315">
        <v>4.884720593982024E-4</v>
      </c>
      <c r="K712" s="246"/>
      <c r="L712" s="316"/>
      <c r="M712" s="317"/>
      <c r="O712" s="329" t="str">
        <f>IFERROR(__xludf.DUMMYFUNCTION("""COMPUTED_VALUE"""),"Siren Reef - Starfish 3★ #B58")</f>
        <v>Siren Reef - Starfish 3★ #B58</v>
      </c>
      <c r="P712" s="246">
        <f>IFERROR(__xludf.DUMMYFUNCTION("""COMPUTED_VALUE"""),10.0)</f>
        <v>10</v>
      </c>
      <c r="Q712" s="317"/>
    </row>
    <row r="713" ht="12.75" customHeight="1">
      <c r="G713" s="316" t="s">
        <v>1450</v>
      </c>
      <c r="H713" s="246">
        <v>10.0</v>
      </c>
      <c r="I713" s="315">
        <v>4.884720593982024E-4</v>
      </c>
      <c r="K713" s="246"/>
      <c r="L713" s="316"/>
      <c r="M713" s="317"/>
      <c r="O713" s="329" t="str">
        <f>IFERROR(__xludf.DUMMYFUNCTION("""COMPUTED_VALUE"""),"Siren Reef - Starfish 3★ #60D")</f>
        <v>Siren Reef - Starfish 3★ #60D</v>
      </c>
      <c r="P713" s="246">
        <f>IFERROR(__xludf.DUMMYFUNCTION("""COMPUTED_VALUE"""),10.0)</f>
        <v>10</v>
      </c>
      <c r="Q713" s="317"/>
    </row>
    <row r="714" ht="12.75" customHeight="1">
      <c r="G714" s="316" t="s">
        <v>1451</v>
      </c>
      <c r="H714" s="246">
        <v>10.0</v>
      </c>
      <c r="I714" s="315">
        <v>4.884720593982024E-4</v>
      </c>
      <c r="K714" s="246"/>
      <c r="L714" s="316"/>
      <c r="M714" s="317"/>
      <c r="O714" s="329" t="str">
        <f>IFERROR(__xludf.DUMMYFUNCTION("""COMPUTED_VALUE"""),"Siren Reef - Starfish 3★ #0C2")</f>
        <v>Siren Reef - Starfish 3★ #0C2</v>
      </c>
      <c r="P714" s="246">
        <f>IFERROR(__xludf.DUMMYFUNCTION("""COMPUTED_VALUE"""),10.0)</f>
        <v>10</v>
      </c>
      <c r="Q714" s="317"/>
    </row>
    <row r="715" ht="12.75" customHeight="1">
      <c r="G715" s="316" t="s">
        <v>1452</v>
      </c>
      <c r="H715" s="246">
        <v>10.0</v>
      </c>
      <c r="I715" s="315">
        <v>4.884720593982024E-4</v>
      </c>
      <c r="K715" s="246"/>
      <c r="L715" s="316"/>
      <c r="M715" s="317"/>
      <c r="O715" s="329" t="str">
        <f>IFERROR(__xludf.DUMMYFUNCTION("""COMPUTED_VALUE"""),"Siren Reef - Starfish 3★ #B77")</f>
        <v>Siren Reef - Starfish 3★ #B77</v>
      </c>
      <c r="P715" s="246">
        <f>IFERROR(__xludf.DUMMYFUNCTION("""COMPUTED_VALUE"""),10.0)</f>
        <v>10</v>
      </c>
      <c r="Q715" s="317"/>
    </row>
    <row r="716" ht="12.75" customHeight="1">
      <c r="G716" s="316" t="s">
        <v>1453</v>
      </c>
      <c r="H716" s="246">
        <v>10.0</v>
      </c>
      <c r="I716" s="315">
        <v>4.884720593982024E-4</v>
      </c>
      <c r="K716" s="246"/>
      <c r="L716" s="316"/>
      <c r="M716" s="317"/>
      <c r="O716" s="329" t="str">
        <f>IFERROR(__xludf.DUMMYFUNCTION("""COMPUTED_VALUE"""),"Siren Reef - Starfish 3★ #62C")</f>
        <v>Siren Reef - Starfish 3★ #62C</v>
      </c>
      <c r="P716" s="246">
        <f>IFERROR(__xludf.DUMMYFUNCTION("""COMPUTED_VALUE"""),10.0)</f>
        <v>10</v>
      </c>
      <c r="Q716" s="317"/>
    </row>
    <row r="717" ht="12.75" customHeight="1">
      <c r="G717" s="316" t="s">
        <v>1454</v>
      </c>
      <c r="H717" s="246">
        <v>10.0</v>
      </c>
      <c r="I717" s="315">
        <v>4.884720593982024E-4</v>
      </c>
      <c r="K717" s="246"/>
      <c r="L717" s="316"/>
      <c r="M717" s="317"/>
      <c r="O717" s="329" t="str">
        <f>IFERROR(__xludf.DUMMYFUNCTION("""COMPUTED_VALUE"""),"Siren Reef - Starfish 3★ #0E1")</f>
        <v>Siren Reef - Starfish 3★ #0E1</v>
      </c>
      <c r="P717" s="246">
        <f>IFERROR(__xludf.DUMMYFUNCTION("""COMPUTED_VALUE"""),10.0)</f>
        <v>10</v>
      </c>
      <c r="Q717" s="317"/>
    </row>
    <row r="718" ht="12.75" customHeight="1">
      <c r="G718" s="316" t="s">
        <v>1455</v>
      </c>
      <c r="H718" s="246">
        <v>5.0</v>
      </c>
      <c r="I718" s="315">
        <v>2.442360296991012E-4</v>
      </c>
      <c r="K718" s="246"/>
      <c r="L718" s="316"/>
      <c r="M718" s="317"/>
      <c r="O718" s="329" t="str">
        <f>IFERROR(__xludf.DUMMYFUNCTION("""COMPUTED_VALUE"""),"Siren Reef - Moonstone 4★ #B96")</f>
        <v>Siren Reef - Moonstone 4★ #B96</v>
      </c>
      <c r="P718" s="246">
        <f>IFERROR(__xludf.DUMMYFUNCTION("""COMPUTED_VALUE"""),5.0)</f>
        <v>5</v>
      </c>
      <c r="Q718" s="317"/>
    </row>
    <row r="719" ht="12.75" customHeight="1">
      <c r="G719" s="316" t="s">
        <v>1456</v>
      </c>
      <c r="H719" s="246">
        <v>5.0</v>
      </c>
      <c r="I719" s="315">
        <v>2.442360296991012E-4</v>
      </c>
      <c r="K719" s="246"/>
      <c r="L719" s="316"/>
      <c r="M719" s="317"/>
      <c r="O719" s="329" t="str">
        <f>IFERROR(__xludf.DUMMYFUNCTION("""COMPUTED_VALUE"""),"Siren Reef - Moonstone 4★ #64B")</f>
        <v>Siren Reef - Moonstone 4★ #64B</v>
      </c>
      <c r="P719" s="246">
        <f>IFERROR(__xludf.DUMMYFUNCTION("""COMPUTED_VALUE"""),5.0)</f>
        <v>5</v>
      </c>
      <c r="Q719" s="317"/>
    </row>
    <row r="720" ht="12.75" customHeight="1">
      <c r="G720" s="316" t="s">
        <v>1457</v>
      </c>
      <c r="H720" s="246">
        <v>5.0</v>
      </c>
      <c r="I720" s="315">
        <v>2.442360296991012E-4</v>
      </c>
      <c r="K720" s="246"/>
      <c r="L720" s="316"/>
      <c r="M720" s="317"/>
      <c r="O720" s="329" t="str">
        <f>IFERROR(__xludf.DUMMYFUNCTION("""COMPUTED_VALUE"""),"Siren Reef - Moonstone 4★ #100")</f>
        <v>Siren Reef - Moonstone 4★ #100</v>
      </c>
      <c r="P720" s="246">
        <f>IFERROR(__xludf.DUMMYFUNCTION("""COMPUTED_VALUE"""),5.0)</f>
        <v>5</v>
      </c>
      <c r="Q720" s="317"/>
    </row>
    <row r="721" ht="12.75" customHeight="1">
      <c r="G721" s="316" t="s">
        <v>1458</v>
      </c>
      <c r="H721" s="246">
        <v>5.0</v>
      </c>
      <c r="I721" s="315">
        <v>2.442360296991012E-4</v>
      </c>
      <c r="K721" s="246"/>
      <c r="L721" s="316"/>
      <c r="M721" s="317"/>
      <c r="O721" s="329" t="str">
        <f>IFERROR(__xludf.DUMMYFUNCTION("""COMPUTED_VALUE"""),"Siren Reef - Moonstone 4★ #BB5")</f>
        <v>Siren Reef - Moonstone 4★ #BB5</v>
      </c>
      <c r="P721" s="246">
        <f>IFERROR(__xludf.DUMMYFUNCTION("""COMPUTED_VALUE"""),5.0)</f>
        <v>5</v>
      </c>
      <c r="Q721" s="317"/>
    </row>
    <row r="722" ht="12.75" customHeight="1">
      <c r="G722" s="316" t="s">
        <v>1459</v>
      </c>
      <c r="H722" s="246">
        <v>5.0</v>
      </c>
      <c r="I722" s="315">
        <v>2.442360296991012E-4</v>
      </c>
      <c r="K722" s="246"/>
      <c r="L722" s="316"/>
      <c r="M722" s="317"/>
      <c r="O722" s="329" t="str">
        <f>IFERROR(__xludf.DUMMYFUNCTION("""COMPUTED_VALUE"""),"Siren Reef - Moonstone 4★ #66A")</f>
        <v>Siren Reef - Moonstone 4★ #66A</v>
      </c>
      <c r="P722" s="246">
        <f>IFERROR(__xludf.DUMMYFUNCTION("""COMPUTED_VALUE"""),5.0)</f>
        <v>5</v>
      </c>
      <c r="Q722" s="317"/>
    </row>
    <row r="723" ht="12.75" customHeight="1">
      <c r="G723" s="316" t="s">
        <v>1460</v>
      </c>
      <c r="H723" s="246">
        <v>5.0</v>
      </c>
      <c r="I723" s="315">
        <v>2.442360296991012E-4</v>
      </c>
      <c r="K723" s="246"/>
      <c r="L723" s="316"/>
      <c r="M723" s="317"/>
      <c r="O723" s="329" t="str">
        <f>IFERROR(__xludf.DUMMYFUNCTION("""COMPUTED_VALUE"""),"Siren Reef - Moonstone 4★ #11F")</f>
        <v>Siren Reef - Moonstone 4★ #11F</v>
      </c>
      <c r="P723" s="246">
        <f>IFERROR(__xludf.DUMMYFUNCTION("""COMPUTED_VALUE"""),5.0)</f>
        <v>5</v>
      </c>
      <c r="Q723" s="317"/>
    </row>
    <row r="724" ht="12.75" customHeight="1">
      <c r="G724" s="316" t="s">
        <v>1461</v>
      </c>
      <c r="H724" s="246">
        <v>5.0</v>
      </c>
      <c r="I724" s="315">
        <v>2.442360296991012E-4</v>
      </c>
      <c r="K724" s="246"/>
      <c r="L724" s="316"/>
      <c r="M724" s="317"/>
      <c r="O724" s="329" t="str">
        <f>IFERROR(__xludf.DUMMYFUNCTION("""COMPUTED_VALUE"""),"Siren Reef - Moonstone 4★ #BD4")</f>
        <v>Siren Reef - Moonstone 4★ #BD4</v>
      </c>
      <c r="P724" s="246">
        <f>IFERROR(__xludf.DUMMYFUNCTION("""COMPUTED_VALUE"""),5.0)</f>
        <v>5</v>
      </c>
      <c r="Q724" s="317"/>
    </row>
    <row r="725" ht="12.75" customHeight="1">
      <c r="G725" s="316" t="s">
        <v>1462</v>
      </c>
      <c r="H725" s="246">
        <v>5.0</v>
      </c>
      <c r="I725" s="315">
        <v>2.442360296991012E-4</v>
      </c>
      <c r="K725" s="246"/>
      <c r="L725" s="316"/>
      <c r="M725" s="317"/>
      <c r="O725" s="329" t="str">
        <f>IFERROR(__xludf.DUMMYFUNCTION("""COMPUTED_VALUE"""),"Siren Reef - Moonstone 4★ #689")</f>
        <v>Siren Reef - Moonstone 4★ #689</v>
      </c>
      <c r="P725" s="246">
        <f>IFERROR(__xludf.DUMMYFUNCTION("""COMPUTED_VALUE"""),5.0)</f>
        <v>5</v>
      </c>
      <c r="Q725" s="317"/>
    </row>
    <row r="726" ht="12.75" customHeight="1">
      <c r="G726" s="316" t="s">
        <v>1463</v>
      </c>
      <c r="H726" s="246">
        <v>5.0</v>
      </c>
      <c r="I726" s="315">
        <v>2.442360296991012E-4</v>
      </c>
      <c r="K726" s="246"/>
      <c r="L726" s="316"/>
      <c r="M726" s="317"/>
      <c r="O726" s="329" t="str">
        <f>IFERROR(__xludf.DUMMYFUNCTION("""COMPUTED_VALUE"""),"Siren Reef - Moonstone 4★ #13E")</f>
        <v>Siren Reef - Moonstone 4★ #13E</v>
      </c>
      <c r="P726" s="246">
        <f>IFERROR(__xludf.DUMMYFUNCTION("""COMPUTED_VALUE"""),5.0)</f>
        <v>5</v>
      </c>
      <c r="Q726" s="317"/>
    </row>
    <row r="727" ht="12.75" customHeight="1">
      <c r="G727" s="316" t="s">
        <v>1464</v>
      </c>
      <c r="H727" s="246">
        <v>5.0</v>
      </c>
      <c r="I727" s="315">
        <v>2.442360296991012E-4</v>
      </c>
      <c r="K727" s="246"/>
      <c r="L727" s="316"/>
      <c r="M727" s="317"/>
      <c r="O727" s="329" t="str">
        <f>IFERROR(__xludf.DUMMYFUNCTION("""COMPUTED_VALUE"""),"Siren Reef - Moonstone 4★ #BF3")</f>
        <v>Siren Reef - Moonstone 4★ #BF3</v>
      </c>
      <c r="P727" s="246">
        <f>IFERROR(__xludf.DUMMYFUNCTION("""COMPUTED_VALUE"""),5.0)</f>
        <v>5</v>
      </c>
      <c r="Q727" s="317"/>
    </row>
    <row r="728" ht="12.75" customHeight="1">
      <c r="G728" s="316" t="s">
        <v>1465</v>
      </c>
      <c r="H728" s="246">
        <v>5.0</v>
      </c>
      <c r="I728" s="315">
        <v>2.442360296991012E-4</v>
      </c>
      <c r="K728" s="246"/>
      <c r="L728" s="316"/>
      <c r="M728" s="317"/>
      <c r="O728" s="329" t="str">
        <f>IFERROR(__xludf.DUMMYFUNCTION("""COMPUTED_VALUE"""),"Siren Reef - Moonstone 4★ #6A8")</f>
        <v>Siren Reef - Moonstone 4★ #6A8</v>
      </c>
      <c r="P728" s="246">
        <f>IFERROR(__xludf.DUMMYFUNCTION("""COMPUTED_VALUE"""),5.0)</f>
        <v>5</v>
      </c>
      <c r="Q728" s="317"/>
    </row>
    <row r="729" ht="12.75" customHeight="1">
      <c r="G729" s="316" t="s">
        <v>1466</v>
      </c>
      <c r="H729" s="246">
        <v>2.0</v>
      </c>
      <c r="I729" s="315">
        <v>9.769441187964049E-5</v>
      </c>
      <c r="K729" s="246"/>
      <c r="L729" s="316"/>
      <c r="M729" s="317"/>
      <c r="O729" s="329" t="str">
        <f>IFERROR(__xludf.DUMMYFUNCTION("""COMPUTED_VALUE"""),"Siren Reef - Wave 5★ #15D")</f>
        <v>Siren Reef - Wave 5★ #15D</v>
      </c>
      <c r="P729" s="246">
        <f>IFERROR(__xludf.DUMMYFUNCTION("""COMPUTED_VALUE"""),2.0)</f>
        <v>2</v>
      </c>
      <c r="Q729" s="317"/>
    </row>
    <row r="730" ht="12.75" customHeight="1">
      <c r="G730" s="316" t="s">
        <v>1467</v>
      </c>
      <c r="H730" s="246">
        <v>2.0</v>
      </c>
      <c r="I730" s="315">
        <v>9.769441187964049E-5</v>
      </c>
      <c r="K730" s="246"/>
      <c r="L730" s="316"/>
      <c r="M730" s="317"/>
      <c r="O730" s="329" t="str">
        <f>IFERROR(__xludf.DUMMYFUNCTION("""COMPUTED_VALUE"""),"Siren Reef - Wave 5★ #C12")</f>
        <v>Siren Reef - Wave 5★ #C12</v>
      </c>
      <c r="P730" s="246">
        <f>IFERROR(__xludf.DUMMYFUNCTION("""COMPUTED_VALUE"""),2.0)</f>
        <v>2</v>
      </c>
      <c r="Q730" s="317"/>
    </row>
    <row r="731" ht="12.75" customHeight="1">
      <c r="G731" s="316" t="s">
        <v>1468</v>
      </c>
      <c r="H731" s="246">
        <v>2.0</v>
      </c>
      <c r="I731" s="315">
        <v>9.769441187964049E-5</v>
      </c>
      <c r="K731" s="246"/>
      <c r="L731" s="316"/>
      <c r="M731" s="317"/>
      <c r="O731" s="329" t="str">
        <f>IFERROR(__xludf.DUMMYFUNCTION("""COMPUTED_VALUE"""),"Siren Reef - Wave 5★ #6C7")</f>
        <v>Siren Reef - Wave 5★ #6C7</v>
      </c>
      <c r="P731" s="246">
        <f>IFERROR(__xludf.DUMMYFUNCTION("""COMPUTED_VALUE"""),2.0)</f>
        <v>2</v>
      </c>
      <c r="Q731" s="317"/>
    </row>
    <row r="732" ht="12.75" customHeight="1">
      <c r="G732" s="316" t="s">
        <v>1469</v>
      </c>
      <c r="H732" s="246">
        <v>2.0</v>
      </c>
      <c r="I732" s="315">
        <v>9.769441187964049E-5</v>
      </c>
      <c r="K732" s="246"/>
      <c r="L732" s="316"/>
      <c r="M732" s="317"/>
      <c r="O732" s="329" t="str">
        <f>IFERROR(__xludf.DUMMYFUNCTION("""COMPUTED_VALUE"""),"Siren Reef - Wave 5★ #17C")</f>
        <v>Siren Reef - Wave 5★ #17C</v>
      </c>
      <c r="P732" s="246">
        <f>IFERROR(__xludf.DUMMYFUNCTION("""COMPUTED_VALUE"""),2.0)</f>
        <v>2</v>
      </c>
      <c r="Q732" s="317"/>
    </row>
    <row r="733" ht="12.75" customHeight="1">
      <c r="G733" s="316" t="s">
        <v>1470</v>
      </c>
      <c r="H733" s="246">
        <v>2.0</v>
      </c>
      <c r="I733" s="315">
        <v>9.769441187964049E-5</v>
      </c>
      <c r="K733" s="246"/>
      <c r="L733" s="316"/>
      <c r="M733" s="317"/>
      <c r="O733" s="329" t="str">
        <f>IFERROR(__xludf.DUMMYFUNCTION("""COMPUTED_VALUE"""),"Siren Reef - Wave 5★ #C31")</f>
        <v>Siren Reef - Wave 5★ #C31</v>
      </c>
      <c r="P733" s="246">
        <f>IFERROR(__xludf.DUMMYFUNCTION("""COMPUTED_VALUE"""),2.0)</f>
        <v>2</v>
      </c>
      <c r="Q733" s="317"/>
    </row>
    <row r="734" ht="12.75" customHeight="1">
      <c r="G734" s="316" t="s">
        <v>1471</v>
      </c>
      <c r="H734" s="246">
        <v>2.0</v>
      </c>
      <c r="I734" s="315">
        <v>9.769441187964049E-5</v>
      </c>
      <c r="K734" s="246"/>
      <c r="L734" s="316"/>
      <c r="M734" s="317"/>
      <c r="O734" s="329" t="str">
        <f>IFERROR(__xludf.DUMMYFUNCTION("""COMPUTED_VALUE"""),"Siren Reef - Driftwood 5★ #6E6")</f>
        <v>Siren Reef - Driftwood 5★ #6E6</v>
      </c>
      <c r="P734" s="246">
        <f>IFERROR(__xludf.DUMMYFUNCTION("""COMPUTED_VALUE"""),2.0)</f>
        <v>2</v>
      </c>
      <c r="Q734" s="317"/>
    </row>
    <row r="735" ht="12.75" customHeight="1">
      <c r="G735" s="316" t="s">
        <v>1472</v>
      </c>
      <c r="H735" s="246">
        <v>2.0</v>
      </c>
      <c r="I735" s="315">
        <v>9.769441187964049E-5</v>
      </c>
      <c r="K735" s="246"/>
      <c r="L735" s="316"/>
      <c r="M735" s="317"/>
      <c r="O735" s="329" t="str">
        <f>IFERROR(__xludf.DUMMYFUNCTION("""COMPUTED_VALUE"""),"Siren Reef - Driftwood 5★ #19B")</f>
        <v>Siren Reef - Driftwood 5★ #19B</v>
      </c>
      <c r="P735" s="246">
        <f>IFERROR(__xludf.DUMMYFUNCTION("""COMPUTED_VALUE"""),2.0)</f>
        <v>2</v>
      </c>
      <c r="Q735" s="317"/>
    </row>
    <row r="736" ht="12.75" customHeight="1">
      <c r="G736" s="316" t="s">
        <v>1473</v>
      </c>
      <c r="H736" s="246">
        <v>2.0</v>
      </c>
      <c r="I736" s="315">
        <v>9.769441187964049E-5</v>
      </c>
      <c r="K736" s="246"/>
      <c r="L736" s="316"/>
      <c r="M736" s="317"/>
      <c r="O736" s="329" t="str">
        <f>IFERROR(__xludf.DUMMYFUNCTION("""COMPUTED_VALUE"""),"Siren Reef - Driftwood 5★ #C50")</f>
        <v>Siren Reef - Driftwood 5★ #C50</v>
      </c>
      <c r="P736" s="246">
        <f>IFERROR(__xludf.DUMMYFUNCTION("""COMPUTED_VALUE"""),2.0)</f>
        <v>2</v>
      </c>
      <c r="Q736" s="317"/>
    </row>
    <row r="737" ht="12.75" customHeight="1">
      <c r="G737" s="316" t="s">
        <v>1474</v>
      </c>
      <c r="H737" s="246">
        <v>2.0</v>
      </c>
      <c r="I737" s="315">
        <v>9.769441187964049E-5</v>
      </c>
      <c r="K737" s="246"/>
      <c r="L737" s="316"/>
      <c r="M737" s="317"/>
      <c r="O737" s="329" t="str">
        <f>IFERROR(__xludf.DUMMYFUNCTION("""COMPUTED_VALUE"""),"Siren Reef - Driftwood 5★ #705")</f>
        <v>Siren Reef - Driftwood 5★ #705</v>
      </c>
      <c r="P737" s="246">
        <f>IFERROR(__xludf.DUMMYFUNCTION("""COMPUTED_VALUE"""),2.0)</f>
        <v>2</v>
      </c>
      <c r="Q737" s="317"/>
    </row>
    <row r="738" ht="12.75" customHeight="1">
      <c r="G738" s="316" t="s">
        <v>1475</v>
      </c>
      <c r="H738" s="246">
        <v>2.0</v>
      </c>
      <c r="I738" s="315">
        <v>9.769441187964049E-5</v>
      </c>
      <c r="K738" s="246"/>
      <c r="L738" s="316"/>
      <c r="M738" s="317"/>
      <c r="O738" s="329" t="str">
        <f>IFERROR(__xludf.DUMMYFUNCTION("""COMPUTED_VALUE"""),"Siren Reef - Driftwood 5★ #1BA")</f>
        <v>Siren Reef - Driftwood 5★ #1BA</v>
      </c>
      <c r="P738" s="246">
        <f>IFERROR(__xludf.DUMMYFUNCTION("""COMPUTED_VALUE"""),2.0)</f>
        <v>2</v>
      </c>
      <c r="Q738" s="317"/>
    </row>
    <row r="739" ht="12.75" customHeight="1">
      <c r="G739" s="316" t="s">
        <v>1476</v>
      </c>
      <c r="H739" s="246">
        <v>2.0</v>
      </c>
      <c r="I739" s="315">
        <v>9.769441187964049E-5</v>
      </c>
      <c r="K739" s="246"/>
      <c r="L739" s="316"/>
      <c r="M739" s="317"/>
      <c r="O739" s="329" t="str">
        <f>IFERROR(__xludf.DUMMYFUNCTION("""COMPUTED_VALUE"""),"Siren Reef - Conch 5★ #C6F")</f>
        <v>Siren Reef - Conch 5★ #C6F</v>
      </c>
      <c r="P739" s="246">
        <f>IFERROR(__xludf.DUMMYFUNCTION("""COMPUTED_VALUE"""),2.0)</f>
        <v>2</v>
      </c>
      <c r="Q739" s="317"/>
    </row>
    <row r="740" ht="12.75" customHeight="1">
      <c r="G740" s="316" t="s">
        <v>1477</v>
      </c>
      <c r="H740" s="246">
        <v>2.0</v>
      </c>
      <c r="I740" s="315">
        <v>9.769441187964049E-5</v>
      </c>
      <c r="K740" s="246"/>
      <c r="L740" s="316"/>
      <c r="M740" s="317"/>
      <c r="O740" s="329" t="str">
        <f>IFERROR(__xludf.DUMMYFUNCTION("""COMPUTED_VALUE"""),"Siren Reef - Conch 5★ #724")</f>
        <v>Siren Reef - Conch 5★ #724</v>
      </c>
      <c r="P740" s="246">
        <f>IFERROR(__xludf.DUMMYFUNCTION("""COMPUTED_VALUE"""),2.0)</f>
        <v>2</v>
      </c>
      <c r="Q740" s="317"/>
    </row>
    <row r="741" ht="12.75" customHeight="1">
      <c r="G741" s="316" t="s">
        <v>1478</v>
      </c>
      <c r="H741" s="246">
        <v>2.0</v>
      </c>
      <c r="I741" s="315">
        <v>9.769441187964049E-5</v>
      </c>
      <c r="K741" s="246"/>
      <c r="L741" s="316"/>
      <c r="M741" s="317"/>
      <c r="O741" s="329" t="str">
        <f>IFERROR(__xludf.DUMMYFUNCTION("""COMPUTED_VALUE"""),"Siren Reef - Conch 5★ #1D9")</f>
        <v>Siren Reef - Conch 5★ #1D9</v>
      </c>
      <c r="P741" s="246">
        <f>IFERROR(__xludf.DUMMYFUNCTION("""COMPUTED_VALUE"""),2.0)</f>
        <v>2</v>
      </c>
      <c r="Q741" s="317"/>
    </row>
    <row r="742" ht="12.75" customHeight="1">
      <c r="G742" s="316" t="s">
        <v>1479</v>
      </c>
      <c r="H742" s="246">
        <v>2.0</v>
      </c>
      <c r="I742" s="315">
        <v>9.769441187964049E-5</v>
      </c>
      <c r="K742" s="246"/>
      <c r="L742" s="316"/>
      <c r="M742" s="317"/>
      <c r="O742" s="329" t="str">
        <f>IFERROR(__xludf.DUMMYFUNCTION("""COMPUTED_VALUE"""),"Siren Reef - Conch 5★ #C8E")</f>
        <v>Siren Reef - Conch 5★ #C8E</v>
      </c>
      <c r="P742" s="246">
        <f>IFERROR(__xludf.DUMMYFUNCTION("""COMPUTED_VALUE"""),2.0)</f>
        <v>2</v>
      </c>
      <c r="Q742" s="317"/>
    </row>
    <row r="743" ht="12.75" customHeight="1">
      <c r="G743" s="316" t="s">
        <v>1480</v>
      </c>
      <c r="H743" s="246">
        <v>2.0</v>
      </c>
      <c r="I743" s="315">
        <v>9.769441187964049E-5</v>
      </c>
      <c r="K743" s="246"/>
      <c r="L743" s="316"/>
      <c r="M743" s="317"/>
      <c r="O743" s="329" t="str">
        <f>IFERROR(__xludf.DUMMYFUNCTION("""COMPUTED_VALUE"""),"Siren Reef - Conch 5★ #743")</f>
        <v>Siren Reef - Conch 5★ #743</v>
      </c>
      <c r="P743" s="246">
        <f>IFERROR(__xludf.DUMMYFUNCTION("""COMPUTED_VALUE"""),2.0)</f>
        <v>2</v>
      </c>
      <c r="Q743" s="317"/>
    </row>
    <row r="744" ht="12.75" customHeight="1">
      <c r="G744" s="316" t="s">
        <v>1481</v>
      </c>
      <c r="H744" s="246">
        <v>50.0</v>
      </c>
      <c r="I744" s="315">
        <v>0.0024423602969910123</v>
      </c>
      <c r="K744" s="246"/>
      <c r="L744" s="316"/>
      <c r="M744" s="317"/>
      <c r="O744" s="329" t="str">
        <f>IFERROR(__xludf.DUMMYFUNCTION("""COMPUTED_VALUE"""),"Dead Man Bay - Pistol 1★ #1F8")</f>
        <v>Dead Man Bay - Pistol 1★ #1F8</v>
      </c>
      <c r="P744" s="246">
        <f>IFERROR(__xludf.DUMMYFUNCTION("""COMPUTED_VALUE"""),50.0)</f>
        <v>50</v>
      </c>
      <c r="Q744" s="317"/>
    </row>
    <row r="745" ht="12.75" customHeight="1">
      <c r="G745" s="316" t="s">
        <v>1482</v>
      </c>
      <c r="H745" s="246">
        <v>50.0</v>
      </c>
      <c r="I745" s="315">
        <v>0.0024423602969910123</v>
      </c>
      <c r="K745" s="246"/>
      <c r="L745" s="316"/>
      <c r="M745" s="317"/>
      <c r="O745" s="329" t="str">
        <f>IFERROR(__xludf.DUMMYFUNCTION("""COMPUTED_VALUE"""),"Dead Man Bay - Pistol 1★ #CAD")</f>
        <v>Dead Man Bay - Pistol 1★ #CAD</v>
      </c>
      <c r="P745" s="246">
        <f>IFERROR(__xludf.DUMMYFUNCTION("""COMPUTED_VALUE"""),50.0)</f>
        <v>50</v>
      </c>
      <c r="Q745" s="317"/>
    </row>
    <row r="746" ht="12.75" customHeight="1">
      <c r="G746" s="316" t="s">
        <v>1483</v>
      </c>
      <c r="H746" s="246">
        <v>50.0</v>
      </c>
      <c r="I746" s="315">
        <v>0.0024423602969910123</v>
      </c>
      <c r="K746" s="246"/>
      <c r="L746" s="316"/>
      <c r="M746" s="317"/>
      <c r="O746" s="329" t="str">
        <f>IFERROR(__xludf.DUMMYFUNCTION("""COMPUTED_VALUE"""),"Dead Man Bay - Pistol 1★ #762")</f>
        <v>Dead Man Bay - Pistol 1★ #762</v>
      </c>
      <c r="P746" s="246">
        <f>IFERROR(__xludf.DUMMYFUNCTION("""COMPUTED_VALUE"""),50.0)</f>
        <v>50</v>
      </c>
      <c r="Q746" s="317"/>
    </row>
    <row r="747" ht="12.75" customHeight="1">
      <c r="G747" s="316" t="s">
        <v>1484</v>
      </c>
      <c r="H747" s="246">
        <v>50.0</v>
      </c>
      <c r="I747" s="315">
        <v>0.0024423602969910123</v>
      </c>
      <c r="K747" s="246"/>
      <c r="L747" s="316"/>
      <c r="M747" s="317"/>
      <c r="O747" s="329" t="str">
        <f>IFERROR(__xludf.DUMMYFUNCTION("""COMPUTED_VALUE"""),"Dead Man Bay - Pistol 1★ #217")</f>
        <v>Dead Man Bay - Pistol 1★ #217</v>
      </c>
      <c r="P747" s="246">
        <f>IFERROR(__xludf.DUMMYFUNCTION("""COMPUTED_VALUE"""),50.0)</f>
        <v>50</v>
      </c>
      <c r="Q747" s="317"/>
    </row>
    <row r="748" ht="12.75" customHeight="1">
      <c r="G748" s="316" t="s">
        <v>1485</v>
      </c>
      <c r="H748" s="246">
        <v>50.0</v>
      </c>
      <c r="I748" s="315">
        <v>0.0024423602969910123</v>
      </c>
      <c r="K748" s="246"/>
      <c r="L748" s="316"/>
      <c r="M748" s="317"/>
      <c r="O748" s="329" t="str">
        <f>IFERROR(__xludf.DUMMYFUNCTION("""COMPUTED_VALUE"""),"Dead Man Bay - Pistol 1★ #CCC")</f>
        <v>Dead Man Bay - Pistol 1★ #CCC</v>
      </c>
      <c r="P748" s="246">
        <f>IFERROR(__xludf.DUMMYFUNCTION("""COMPUTED_VALUE"""),50.0)</f>
        <v>50</v>
      </c>
      <c r="Q748" s="317"/>
    </row>
    <row r="749" ht="12.75" customHeight="1">
      <c r="G749" s="316" t="s">
        <v>1486</v>
      </c>
      <c r="H749" s="246">
        <v>50.0</v>
      </c>
      <c r="I749" s="315">
        <v>0.0024423602969910123</v>
      </c>
      <c r="K749" s="246"/>
      <c r="L749" s="316"/>
      <c r="M749" s="317"/>
      <c r="O749" s="329" t="str">
        <f>IFERROR(__xludf.DUMMYFUNCTION("""COMPUTED_VALUE"""),"Dead Man Bay - Pistol 1★ #781")</f>
        <v>Dead Man Bay - Pistol 1★ #781</v>
      </c>
      <c r="P749" s="246">
        <f>IFERROR(__xludf.DUMMYFUNCTION("""COMPUTED_VALUE"""),50.0)</f>
        <v>50</v>
      </c>
      <c r="Q749" s="317"/>
    </row>
    <row r="750" ht="12.75" customHeight="1">
      <c r="G750" s="316" t="s">
        <v>1487</v>
      </c>
      <c r="H750" s="246">
        <v>50.0</v>
      </c>
      <c r="I750" s="315">
        <v>0.0024423602969910123</v>
      </c>
      <c r="K750" s="246"/>
      <c r="L750" s="316"/>
      <c r="M750" s="317"/>
      <c r="O750" s="329" t="str">
        <f>IFERROR(__xludf.DUMMYFUNCTION("""COMPUTED_VALUE"""),"Dead Man Bay - Pistol 1★ #236")</f>
        <v>Dead Man Bay - Pistol 1★ #236</v>
      </c>
      <c r="P750" s="246">
        <f>IFERROR(__xludf.DUMMYFUNCTION("""COMPUTED_VALUE"""),50.0)</f>
        <v>50</v>
      </c>
      <c r="Q750" s="317"/>
    </row>
    <row r="751" ht="12.75" customHeight="1">
      <c r="G751" s="316" t="s">
        <v>1488</v>
      </c>
      <c r="H751" s="246">
        <v>50.0</v>
      </c>
      <c r="I751" s="315">
        <v>0.0024423602969910123</v>
      </c>
      <c r="K751" s="246"/>
      <c r="L751" s="316"/>
      <c r="M751" s="317"/>
      <c r="O751" s="329" t="str">
        <f>IFERROR(__xludf.DUMMYFUNCTION("""COMPUTED_VALUE"""),"Dead Man Bay - Pistol 1★ #CEB")</f>
        <v>Dead Man Bay - Pistol 1★ #CEB</v>
      </c>
      <c r="P751" s="246">
        <f>IFERROR(__xludf.DUMMYFUNCTION("""COMPUTED_VALUE"""),50.0)</f>
        <v>50</v>
      </c>
      <c r="Q751" s="317"/>
    </row>
    <row r="752" ht="12.75" customHeight="1">
      <c r="G752" s="316" t="s">
        <v>1489</v>
      </c>
      <c r="H752" s="246">
        <v>50.0</v>
      </c>
      <c r="I752" s="315">
        <v>0.0024423602969910123</v>
      </c>
      <c r="K752" s="246"/>
      <c r="L752" s="316"/>
      <c r="M752" s="317"/>
      <c r="O752" s="329" t="str">
        <f>IFERROR(__xludf.DUMMYFUNCTION("""COMPUTED_VALUE"""),"Dead Man Bay - Pistol 1★ #7A0")</f>
        <v>Dead Man Bay - Pistol 1★ #7A0</v>
      </c>
      <c r="P752" s="246">
        <f>IFERROR(__xludf.DUMMYFUNCTION("""COMPUTED_VALUE"""),50.0)</f>
        <v>50</v>
      </c>
      <c r="Q752" s="317"/>
    </row>
    <row r="753" ht="12.75" customHeight="1">
      <c r="G753" s="316" t="s">
        <v>1490</v>
      </c>
      <c r="H753" s="246">
        <v>50.0</v>
      </c>
      <c r="I753" s="315">
        <v>0.0024423602969910123</v>
      </c>
      <c r="K753" s="246"/>
      <c r="L753" s="316"/>
      <c r="M753" s="317"/>
      <c r="O753" s="329" t="str">
        <f>IFERROR(__xludf.DUMMYFUNCTION("""COMPUTED_VALUE"""),"Dead Man Bay - Pistol 1★ #255")</f>
        <v>Dead Man Bay - Pistol 1★ #255</v>
      </c>
      <c r="P753" s="246">
        <f>IFERROR(__xludf.DUMMYFUNCTION("""COMPUTED_VALUE"""),50.0)</f>
        <v>50</v>
      </c>
      <c r="Q753" s="317"/>
    </row>
    <row r="754" ht="12.75" customHeight="1">
      <c r="G754" s="316" t="s">
        <v>1491</v>
      </c>
      <c r="H754" s="246">
        <v>50.0</v>
      </c>
      <c r="I754" s="315">
        <v>0.0024423602969910123</v>
      </c>
      <c r="K754" s="246"/>
      <c r="L754" s="316"/>
      <c r="M754" s="317"/>
      <c r="O754" s="329" t="str">
        <f>IFERROR(__xludf.DUMMYFUNCTION("""COMPUTED_VALUE"""),"Dead Man Bay - Pistol 1★ #D0A")</f>
        <v>Dead Man Bay - Pistol 1★ #D0A</v>
      </c>
      <c r="P754" s="246">
        <f>IFERROR(__xludf.DUMMYFUNCTION("""COMPUTED_VALUE"""),50.0)</f>
        <v>50</v>
      </c>
      <c r="Q754" s="317"/>
    </row>
    <row r="755" ht="12.75" customHeight="1">
      <c r="G755" s="316" t="s">
        <v>1492</v>
      </c>
      <c r="H755" s="246">
        <v>50.0</v>
      </c>
      <c r="I755" s="315">
        <v>0.0024423602969910123</v>
      </c>
      <c r="K755" s="246"/>
      <c r="L755" s="316"/>
      <c r="M755" s="317"/>
      <c r="O755" s="329" t="str">
        <f>IFERROR(__xludf.DUMMYFUNCTION("""COMPUTED_VALUE"""),"Dead Man Bay - Pistol 1★ #7BF")</f>
        <v>Dead Man Bay - Pistol 1★ #7BF</v>
      </c>
      <c r="P755" s="246">
        <f>IFERROR(__xludf.DUMMYFUNCTION("""COMPUTED_VALUE"""),50.0)</f>
        <v>50</v>
      </c>
      <c r="Q755" s="317"/>
    </row>
    <row r="756" ht="12.75" customHeight="1">
      <c r="G756" s="316" t="s">
        <v>1493</v>
      </c>
      <c r="H756" s="246">
        <v>50.0</v>
      </c>
      <c r="I756" s="315">
        <v>0.0024423602969910123</v>
      </c>
      <c r="K756" s="246"/>
      <c r="L756" s="316"/>
      <c r="M756" s="317"/>
      <c r="O756" s="329" t="str">
        <f>IFERROR(__xludf.DUMMYFUNCTION("""COMPUTED_VALUE"""),"Dead Man Bay - Pistol 1★ #274")</f>
        <v>Dead Man Bay - Pistol 1★ #274</v>
      </c>
      <c r="P756" s="246">
        <f>IFERROR(__xludf.DUMMYFUNCTION("""COMPUTED_VALUE"""),50.0)</f>
        <v>50</v>
      </c>
      <c r="Q756" s="317"/>
    </row>
    <row r="757" ht="12.75" customHeight="1">
      <c r="G757" s="316" t="s">
        <v>1494</v>
      </c>
      <c r="H757" s="246">
        <v>50.0</v>
      </c>
      <c r="I757" s="315">
        <v>0.0024423602969910123</v>
      </c>
      <c r="K757" s="246"/>
      <c r="L757" s="316"/>
      <c r="M757" s="317"/>
      <c r="O757" s="329" t="str">
        <f>IFERROR(__xludf.DUMMYFUNCTION("""COMPUTED_VALUE"""),"Dead Man Bay - Rum 1★ #D29")</f>
        <v>Dead Man Bay - Rum 1★ #D29</v>
      </c>
      <c r="P757" s="246">
        <f>IFERROR(__xludf.DUMMYFUNCTION("""COMPUTED_VALUE"""),50.0)</f>
        <v>50</v>
      </c>
      <c r="Q757" s="317"/>
    </row>
    <row r="758" ht="12.75" customHeight="1">
      <c r="G758" s="316" t="s">
        <v>1495</v>
      </c>
      <c r="H758" s="246">
        <v>50.0</v>
      </c>
      <c r="I758" s="315">
        <v>0.0024423602969910123</v>
      </c>
      <c r="K758" s="246"/>
      <c r="L758" s="316"/>
      <c r="M758" s="317"/>
      <c r="O758" s="329" t="str">
        <f>IFERROR(__xludf.DUMMYFUNCTION("""COMPUTED_VALUE"""),"Dead Man Bay - Rum 1★ #7DE")</f>
        <v>Dead Man Bay - Rum 1★ #7DE</v>
      </c>
      <c r="P758" s="246">
        <f>IFERROR(__xludf.DUMMYFUNCTION("""COMPUTED_VALUE"""),50.0)</f>
        <v>50</v>
      </c>
      <c r="Q758" s="317"/>
    </row>
    <row r="759" ht="12.75" customHeight="1">
      <c r="G759" s="316" t="s">
        <v>1496</v>
      </c>
      <c r="H759" s="246">
        <v>50.0</v>
      </c>
      <c r="I759" s="315">
        <v>0.0024423602969910123</v>
      </c>
      <c r="K759" s="246"/>
      <c r="L759" s="316"/>
      <c r="M759" s="317"/>
      <c r="O759" s="329" t="str">
        <f>IFERROR(__xludf.DUMMYFUNCTION("""COMPUTED_VALUE"""),"Dead Man Bay - Rum 1★ #293")</f>
        <v>Dead Man Bay - Rum 1★ #293</v>
      </c>
      <c r="P759" s="246">
        <f>IFERROR(__xludf.DUMMYFUNCTION("""COMPUTED_VALUE"""),50.0)</f>
        <v>50</v>
      </c>
      <c r="Q759" s="317"/>
    </row>
    <row r="760" ht="12.75" customHeight="1">
      <c r="G760" s="316" t="s">
        <v>1497</v>
      </c>
      <c r="H760" s="246">
        <v>50.0</v>
      </c>
      <c r="I760" s="315">
        <v>0.0024423602969910123</v>
      </c>
      <c r="K760" s="246"/>
      <c r="L760" s="316"/>
      <c r="M760" s="317"/>
      <c r="O760" s="329" t="str">
        <f>IFERROR(__xludf.DUMMYFUNCTION("""COMPUTED_VALUE"""),"Dead Man Bay - Rum 1★ #D48")</f>
        <v>Dead Man Bay - Rum 1★ #D48</v>
      </c>
      <c r="P760" s="246">
        <f>IFERROR(__xludf.DUMMYFUNCTION("""COMPUTED_VALUE"""),50.0)</f>
        <v>50</v>
      </c>
      <c r="Q760" s="317"/>
    </row>
    <row r="761" ht="12.75" customHeight="1">
      <c r="G761" s="316" t="s">
        <v>1498</v>
      </c>
      <c r="H761" s="246">
        <v>50.0</v>
      </c>
      <c r="I761" s="315">
        <v>0.0024423602969910123</v>
      </c>
      <c r="K761" s="246"/>
      <c r="L761" s="316"/>
      <c r="M761" s="317"/>
      <c r="O761" s="329" t="str">
        <f>IFERROR(__xludf.DUMMYFUNCTION("""COMPUTED_VALUE"""),"Dead Man Bay - Rum 1★ #7FD")</f>
        <v>Dead Man Bay - Rum 1★ #7FD</v>
      </c>
      <c r="P761" s="246">
        <f>IFERROR(__xludf.DUMMYFUNCTION("""COMPUTED_VALUE"""),50.0)</f>
        <v>50</v>
      </c>
      <c r="Q761" s="317"/>
    </row>
    <row r="762" ht="12.75" customHeight="1">
      <c r="G762" s="316" t="s">
        <v>1499</v>
      </c>
      <c r="H762" s="246">
        <v>50.0</v>
      </c>
      <c r="I762" s="315">
        <v>0.0024423602969910123</v>
      </c>
      <c r="K762" s="246"/>
      <c r="L762" s="316"/>
      <c r="M762" s="317"/>
      <c r="O762" s="329" t="str">
        <f>IFERROR(__xludf.DUMMYFUNCTION("""COMPUTED_VALUE"""),"Dead Man Bay - Rum 1★ #2B2")</f>
        <v>Dead Man Bay - Rum 1★ #2B2</v>
      </c>
      <c r="P762" s="246">
        <f>IFERROR(__xludf.DUMMYFUNCTION("""COMPUTED_VALUE"""),50.0)</f>
        <v>50</v>
      </c>
      <c r="Q762" s="317"/>
    </row>
    <row r="763" ht="12.75" customHeight="1">
      <c r="G763" s="316" t="s">
        <v>1500</v>
      </c>
      <c r="H763" s="246">
        <v>50.0</v>
      </c>
      <c r="I763" s="315">
        <v>0.0024423602969910123</v>
      </c>
      <c r="K763" s="246"/>
      <c r="L763" s="316"/>
      <c r="M763" s="317"/>
      <c r="O763" s="329" t="str">
        <f>IFERROR(__xludf.DUMMYFUNCTION("""COMPUTED_VALUE"""),"Dead Man Bay - Rum 1★ #D67")</f>
        <v>Dead Man Bay - Rum 1★ #D67</v>
      </c>
      <c r="P763" s="246">
        <f>IFERROR(__xludf.DUMMYFUNCTION("""COMPUTED_VALUE"""),50.0)</f>
        <v>50</v>
      </c>
      <c r="Q763" s="317"/>
    </row>
    <row r="764" ht="12.75" customHeight="1">
      <c r="G764" s="316" t="s">
        <v>1501</v>
      </c>
      <c r="H764" s="246">
        <v>50.0</v>
      </c>
      <c r="I764" s="315">
        <v>0.0024423602969910123</v>
      </c>
      <c r="K764" s="246"/>
      <c r="L764" s="316"/>
      <c r="M764" s="317"/>
      <c r="O764" s="329" t="str">
        <f>IFERROR(__xludf.DUMMYFUNCTION("""COMPUTED_VALUE"""),"Dead Man Bay - Rum 1★ #81C")</f>
        <v>Dead Man Bay - Rum 1★ #81C</v>
      </c>
      <c r="P764" s="246">
        <f>IFERROR(__xludf.DUMMYFUNCTION("""COMPUTED_VALUE"""),50.0)</f>
        <v>50</v>
      </c>
      <c r="Q764" s="317"/>
    </row>
    <row r="765" ht="12.75" customHeight="1">
      <c r="G765" s="316" t="s">
        <v>1502</v>
      </c>
      <c r="H765" s="246">
        <v>50.0</v>
      </c>
      <c r="I765" s="315">
        <v>0.0024423602969910123</v>
      </c>
      <c r="K765" s="246"/>
      <c r="L765" s="316"/>
      <c r="M765" s="317"/>
      <c r="O765" s="329" t="str">
        <f>IFERROR(__xludf.DUMMYFUNCTION("""COMPUTED_VALUE"""),"Dead Man Bay - Rum 1★ #2D1")</f>
        <v>Dead Man Bay - Rum 1★ #2D1</v>
      </c>
      <c r="P765" s="246">
        <f>IFERROR(__xludf.DUMMYFUNCTION("""COMPUTED_VALUE"""),50.0)</f>
        <v>50</v>
      </c>
      <c r="Q765" s="317"/>
    </row>
    <row r="766" ht="12.75" customHeight="1">
      <c r="G766" s="316" t="s">
        <v>1503</v>
      </c>
      <c r="H766" s="246">
        <v>50.0</v>
      </c>
      <c r="I766" s="315">
        <v>0.0024423602969910123</v>
      </c>
      <c r="K766" s="246"/>
      <c r="L766" s="316"/>
      <c r="M766" s="317"/>
      <c r="O766" s="329" t="str">
        <f>IFERROR(__xludf.DUMMYFUNCTION("""COMPUTED_VALUE"""),"Dead Man Bay - Rum 1★ #D86")</f>
        <v>Dead Man Bay - Rum 1★ #D86</v>
      </c>
      <c r="P766" s="246">
        <f>IFERROR(__xludf.DUMMYFUNCTION("""COMPUTED_VALUE"""),50.0)</f>
        <v>50</v>
      </c>
      <c r="Q766" s="317"/>
    </row>
    <row r="767" ht="12.75" customHeight="1">
      <c r="G767" s="316" t="s">
        <v>1504</v>
      </c>
      <c r="H767" s="246">
        <v>50.0</v>
      </c>
      <c r="I767" s="315">
        <v>0.0024423602969910123</v>
      </c>
      <c r="K767" s="246"/>
      <c r="L767" s="316"/>
      <c r="M767" s="317"/>
      <c r="O767" s="329" t="str">
        <f>IFERROR(__xludf.DUMMYFUNCTION("""COMPUTED_VALUE"""),"Dead Man Bay - Rum 1★ #83B")</f>
        <v>Dead Man Bay - Rum 1★ #83B</v>
      </c>
      <c r="P767" s="246">
        <f>IFERROR(__xludf.DUMMYFUNCTION("""COMPUTED_VALUE"""),50.0)</f>
        <v>50</v>
      </c>
      <c r="Q767" s="317"/>
    </row>
    <row r="768" ht="12.75" customHeight="1">
      <c r="G768" s="316" t="s">
        <v>1505</v>
      </c>
      <c r="H768" s="246">
        <v>50.0</v>
      </c>
      <c r="I768" s="315">
        <v>0.0024423602969910123</v>
      </c>
      <c r="K768" s="246"/>
      <c r="L768" s="316"/>
      <c r="M768" s="317"/>
      <c r="O768" s="329" t="str">
        <f>IFERROR(__xludf.DUMMYFUNCTION("""COMPUTED_VALUE"""),"Dead Man Bay - Rum 1★ #2F0")</f>
        <v>Dead Man Bay - Rum 1★ #2F0</v>
      </c>
      <c r="P768" s="246">
        <f>IFERROR(__xludf.DUMMYFUNCTION("""COMPUTED_VALUE"""),50.0)</f>
        <v>50</v>
      </c>
      <c r="Q768" s="317"/>
    </row>
    <row r="769" ht="12.75" customHeight="1">
      <c r="G769" s="316" t="s">
        <v>1506</v>
      </c>
      <c r="H769" s="246">
        <v>50.0</v>
      </c>
      <c r="I769" s="315">
        <v>0.0024423602969910123</v>
      </c>
      <c r="K769" s="246"/>
      <c r="L769" s="316"/>
      <c r="M769" s="317"/>
      <c r="O769" s="329" t="str">
        <f>IFERROR(__xludf.DUMMYFUNCTION("""COMPUTED_VALUE"""),"Dead Man Bay - Rum 1★ #DA5")</f>
        <v>Dead Man Bay - Rum 1★ #DA5</v>
      </c>
      <c r="P769" s="246">
        <f>IFERROR(__xludf.DUMMYFUNCTION("""COMPUTED_VALUE"""),50.0)</f>
        <v>50</v>
      </c>
      <c r="Q769" s="317"/>
    </row>
    <row r="770" ht="12.75" customHeight="1">
      <c r="G770" s="316" t="s">
        <v>1507</v>
      </c>
      <c r="H770" s="246">
        <v>20.0</v>
      </c>
      <c r="I770" s="315">
        <v>9.769441187964048E-4</v>
      </c>
      <c r="K770" s="246"/>
      <c r="L770" s="316"/>
      <c r="M770" s="317"/>
      <c r="O770" s="329" t="str">
        <f>IFERROR(__xludf.DUMMYFUNCTION("""COMPUTED_VALUE"""),"Dead Man Bay - Treasure Map 2★ #85A")</f>
        <v>Dead Man Bay - Treasure Map 2★ #85A</v>
      </c>
      <c r="P770" s="246">
        <f>IFERROR(__xludf.DUMMYFUNCTION("""COMPUTED_VALUE"""),20.0)</f>
        <v>20</v>
      </c>
      <c r="Q770" s="317"/>
    </row>
    <row r="771" ht="12.75" customHeight="1">
      <c r="G771" s="316" t="s">
        <v>1508</v>
      </c>
      <c r="H771" s="246">
        <v>20.0</v>
      </c>
      <c r="I771" s="315">
        <v>9.769441187964048E-4</v>
      </c>
      <c r="K771" s="246"/>
      <c r="L771" s="316"/>
      <c r="M771" s="317"/>
      <c r="O771" s="329" t="str">
        <f>IFERROR(__xludf.DUMMYFUNCTION("""COMPUTED_VALUE"""),"Dead Man Bay - Treasure Map 2★ #30F")</f>
        <v>Dead Man Bay - Treasure Map 2★ #30F</v>
      </c>
      <c r="P771" s="246">
        <f>IFERROR(__xludf.DUMMYFUNCTION("""COMPUTED_VALUE"""),20.0)</f>
        <v>20</v>
      </c>
      <c r="Q771" s="317"/>
    </row>
    <row r="772" ht="12.75" customHeight="1">
      <c r="G772" s="316" t="s">
        <v>1509</v>
      </c>
      <c r="H772" s="246">
        <v>20.0</v>
      </c>
      <c r="I772" s="315">
        <v>9.769441187964048E-4</v>
      </c>
      <c r="K772" s="246"/>
      <c r="L772" s="316"/>
      <c r="M772" s="317"/>
      <c r="O772" s="329" t="str">
        <f>IFERROR(__xludf.DUMMYFUNCTION("""COMPUTED_VALUE"""),"Dead Man Bay - Treasure Map 2★ #DC4")</f>
        <v>Dead Man Bay - Treasure Map 2★ #DC4</v>
      </c>
      <c r="P772" s="246">
        <f>IFERROR(__xludf.DUMMYFUNCTION("""COMPUTED_VALUE"""),20.0)</f>
        <v>20</v>
      </c>
      <c r="Q772" s="317"/>
    </row>
    <row r="773" ht="12.75" customHeight="1">
      <c r="G773" s="316" t="s">
        <v>1510</v>
      </c>
      <c r="H773" s="246">
        <v>20.0</v>
      </c>
      <c r="I773" s="315">
        <v>9.769441187964048E-4</v>
      </c>
      <c r="K773" s="246"/>
      <c r="L773" s="316"/>
      <c r="M773" s="317"/>
      <c r="O773" s="329" t="str">
        <f>IFERROR(__xludf.DUMMYFUNCTION("""COMPUTED_VALUE"""),"Dead Man Bay - Treasure Map 2★ #879")</f>
        <v>Dead Man Bay - Treasure Map 2★ #879</v>
      </c>
      <c r="P773" s="246">
        <f>IFERROR(__xludf.DUMMYFUNCTION("""COMPUTED_VALUE"""),20.0)</f>
        <v>20</v>
      </c>
      <c r="Q773" s="317"/>
    </row>
    <row r="774" ht="12.75" customHeight="1">
      <c r="G774" s="316" t="s">
        <v>1511</v>
      </c>
      <c r="H774" s="246">
        <v>20.0</v>
      </c>
      <c r="I774" s="315">
        <v>9.769441187964048E-4</v>
      </c>
      <c r="K774" s="246"/>
      <c r="L774" s="316"/>
      <c r="M774" s="317"/>
      <c r="O774" s="329" t="str">
        <f>IFERROR(__xludf.DUMMYFUNCTION("""COMPUTED_VALUE"""),"Dead Man Bay - Treasure Map 2★ #32E")</f>
        <v>Dead Man Bay - Treasure Map 2★ #32E</v>
      </c>
      <c r="P774" s="246">
        <f>IFERROR(__xludf.DUMMYFUNCTION("""COMPUTED_VALUE"""),20.0)</f>
        <v>20</v>
      </c>
      <c r="Q774" s="317"/>
    </row>
    <row r="775" ht="12.75" customHeight="1">
      <c r="G775" s="316" t="s">
        <v>1512</v>
      </c>
      <c r="H775" s="246">
        <v>20.0</v>
      </c>
      <c r="I775" s="315">
        <v>9.769441187964048E-4</v>
      </c>
      <c r="K775" s="246"/>
      <c r="L775" s="316"/>
      <c r="M775" s="317"/>
      <c r="O775" s="329" t="str">
        <f>IFERROR(__xludf.DUMMYFUNCTION("""COMPUTED_VALUE"""),"Dead Man Bay - Treasure Map 2★ #DE3")</f>
        <v>Dead Man Bay - Treasure Map 2★ #DE3</v>
      </c>
      <c r="P775" s="246">
        <f>IFERROR(__xludf.DUMMYFUNCTION("""COMPUTED_VALUE"""),20.0)</f>
        <v>20</v>
      </c>
      <c r="Q775" s="317"/>
    </row>
    <row r="776" ht="12.75" customHeight="1">
      <c r="G776" s="316" t="s">
        <v>1513</v>
      </c>
      <c r="H776" s="246">
        <v>20.0</v>
      </c>
      <c r="I776" s="315">
        <v>9.769441187964048E-4</v>
      </c>
      <c r="K776" s="246"/>
      <c r="L776" s="316"/>
      <c r="M776" s="317"/>
      <c r="O776" s="329" t="str">
        <f>IFERROR(__xludf.DUMMYFUNCTION("""COMPUTED_VALUE"""),"Dead Man Bay - Treasure Map 2★ #898")</f>
        <v>Dead Man Bay - Treasure Map 2★ #898</v>
      </c>
      <c r="P776" s="246">
        <f>IFERROR(__xludf.DUMMYFUNCTION("""COMPUTED_VALUE"""),20.0)</f>
        <v>20</v>
      </c>
      <c r="Q776" s="317"/>
    </row>
    <row r="777" ht="12.75" customHeight="1">
      <c r="G777" s="316" t="s">
        <v>1514</v>
      </c>
      <c r="H777" s="246">
        <v>20.0</v>
      </c>
      <c r="I777" s="315">
        <v>9.769441187964048E-4</v>
      </c>
      <c r="K777" s="246"/>
      <c r="L777" s="316"/>
      <c r="M777" s="317"/>
      <c r="O777" s="329" t="str">
        <f>IFERROR(__xludf.DUMMYFUNCTION("""COMPUTED_VALUE"""),"Dead Man Bay - Treasure Map 2★ #34D")</f>
        <v>Dead Man Bay - Treasure Map 2★ #34D</v>
      </c>
      <c r="P777" s="246">
        <f>IFERROR(__xludf.DUMMYFUNCTION("""COMPUTED_VALUE"""),20.0)</f>
        <v>20</v>
      </c>
      <c r="Q777" s="317"/>
    </row>
    <row r="778" ht="12.75" customHeight="1">
      <c r="G778" s="316" t="s">
        <v>1515</v>
      </c>
      <c r="H778" s="246">
        <v>20.0</v>
      </c>
      <c r="I778" s="315">
        <v>9.769441187964048E-4</v>
      </c>
      <c r="K778" s="246"/>
      <c r="L778" s="316"/>
      <c r="M778" s="317"/>
      <c r="O778" s="329" t="str">
        <f>IFERROR(__xludf.DUMMYFUNCTION("""COMPUTED_VALUE"""),"Dead Man Bay - Treasure Map 2★ #E02")</f>
        <v>Dead Man Bay - Treasure Map 2★ #E02</v>
      </c>
      <c r="P778" s="246">
        <f>IFERROR(__xludf.DUMMYFUNCTION("""COMPUTED_VALUE"""),20.0)</f>
        <v>20</v>
      </c>
      <c r="Q778" s="317"/>
    </row>
    <row r="779" ht="12.75" customHeight="1">
      <c r="G779" s="316" t="s">
        <v>1516</v>
      </c>
      <c r="H779" s="246">
        <v>20.0</v>
      </c>
      <c r="I779" s="315">
        <v>9.769441187964048E-4</v>
      </c>
      <c r="K779" s="246"/>
      <c r="L779" s="316"/>
      <c r="M779" s="317"/>
      <c r="O779" s="329" t="str">
        <f>IFERROR(__xludf.DUMMYFUNCTION("""COMPUTED_VALUE"""),"Dead Man Bay - Treasure Map 2★ #8B7")</f>
        <v>Dead Man Bay - Treasure Map 2★ #8B7</v>
      </c>
      <c r="P779" s="246">
        <f>IFERROR(__xludf.DUMMYFUNCTION("""COMPUTED_VALUE"""),20.0)</f>
        <v>20</v>
      </c>
      <c r="Q779" s="317"/>
    </row>
    <row r="780" ht="12.75" customHeight="1">
      <c r="G780" s="316" t="s">
        <v>1517</v>
      </c>
      <c r="H780" s="246">
        <v>20.0</v>
      </c>
      <c r="I780" s="315">
        <v>9.769441187964048E-4</v>
      </c>
      <c r="K780" s="246"/>
      <c r="L780" s="316"/>
      <c r="M780" s="317"/>
      <c r="O780" s="329" t="str">
        <f>IFERROR(__xludf.DUMMYFUNCTION("""COMPUTED_VALUE"""),"Dead Man Bay - Treasure Map 2★ #36C")</f>
        <v>Dead Man Bay - Treasure Map 2★ #36C</v>
      </c>
      <c r="P780" s="246">
        <f>IFERROR(__xludf.DUMMYFUNCTION("""COMPUTED_VALUE"""),20.0)</f>
        <v>20</v>
      </c>
      <c r="Q780" s="317"/>
    </row>
    <row r="781" ht="12.75" customHeight="1">
      <c r="G781" s="316" t="s">
        <v>1518</v>
      </c>
      <c r="H781" s="246">
        <v>20.0</v>
      </c>
      <c r="I781" s="315">
        <v>9.769441187964048E-4</v>
      </c>
      <c r="K781" s="246"/>
      <c r="L781" s="316"/>
      <c r="M781" s="317"/>
      <c r="O781" s="329" t="str">
        <f>IFERROR(__xludf.DUMMYFUNCTION("""COMPUTED_VALUE"""),"Dead Man Bay - Treasure Map 2★ #E21")</f>
        <v>Dead Man Bay - Treasure Map 2★ #E21</v>
      </c>
      <c r="P781" s="246">
        <f>IFERROR(__xludf.DUMMYFUNCTION("""COMPUTED_VALUE"""),20.0)</f>
        <v>20</v>
      </c>
      <c r="Q781" s="317"/>
    </row>
    <row r="782" ht="12.75" customHeight="1">
      <c r="G782" s="316" t="s">
        <v>1519</v>
      </c>
      <c r="H782" s="246">
        <v>20.0</v>
      </c>
      <c r="I782" s="315">
        <v>9.769441187964048E-4</v>
      </c>
      <c r="K782" s="246"/>
      <c r="L782" s="316"/>
      <c r="M782" s="317"/>
      <c r="O782" s="329" t="str">
        <f>IFERROR(__xludf.DUMMYFUNCTION("""COMPUTED_VALUE"""),"Dead Man Bay - Jolly Roger 2★ #8D6")</f>
        <v>Dead Man Bay - Jolly Roger 2★ #8D6</v>
      </c>
      <c r="P782" s="246">
        <f>IFERROR(__xludf.DUMMYFUNCTION("""COMPUTED_VALUE"""),20.0)</f>
        <v>20</v>
      </c>
      <c r="Q782" s="317"/>
    </row>
    <row r="783" ht="12.75" customHeight="1">
      <c r="G783" s="316" t="s">
        <v>1520</v>
      </c>
      <c r="H783" s="246">
        <v>20.0</v>
      </c>
      <c r="I783" s="315">
        <v>9.769441187964048E-4</v>
      </c>
      <c r="K783" s="246"/>
      <c r="L783" s="316"/>
      <c r="M783" s="317"/>
      <c r="O783" s="329" t="str">
        <f>IFERROR(__xludf.DUMMYFUNCTION("""COMPUTED_VALUE"""),"Dead Man Bay - Jolly Roger 2★ #38B")</f>
        <v>Dead Man Bay - Jolly Roger 2★ #38B</v>
      </c>
      <c r="P783" s="246">
        <f>IFERROR(__xludf.DUMMYFUNCTION("""COMPUTED_VALUE"""),20.0)</f>
        <v>20</v>
      </c>
      <c r="Q783" s="317"/>
    </row>
    <row r="784" ht="12.75" customHeight="1">
      <c r="G784" s="316" t="s">
        <v>1521</v>
      </c>
      <c r="H784" s="246">
        <v>20.0</v>
      </c>
      <c r="I784" s="315">
        <v>9.769441187964048E-4</v>
      </c>
      <c r="K784" s="246"/>
      <c r="L784" s="316"/>
      <c r="M784" s="317"/>
      <c r="O784" s="329" t="str">
        <f>IFERROR(__xludf.DUMMYFUNCTION("""COMPUTED_VALUE"""),"Dead Man Bay - Jolly Roger 2★ #E40")</f>
        <v>Dead Man Bay - Jolly Roger 2★ #E40</v>
      </c>
      <c r="P784" s="246">
        <f>IFERROR(__xludf.DUMMYFUNCTION("""COMPUTED_VALUE"""),20.0)</f>
        <v>20</v>
      </c>
      <c r="Q784" s="317"/>
    </row>
    <row r="785" ht="12.75" customHeight="1">
      <c r="G785" s="316" t="s">
        <v>1522</v>
      </c>
      <c r="H785" s="246">
        <v>20.0</v>
      </c>
      <c r="I785" s="315">
        <v>9.769441187964048E-4</v>
      </c>
      <c r="K785" s="246"/>
      <c r="L785" s="316"/>
      <c r="M785" s="317"/>
      <c r="O785" s="329" t="str">
        <f>IFERROR(__xludf.DUMMYFUNCTION("""COMPUTED_VALUE"""),"Dead Man Bay - Jolly Roger 2★ #8F5")</f>
        <v>Dead Man Bay - Jolly Roger 2★ #8F5</v>
      </c>
      <c r="P785" s="246">
        <f>IFERROR(__xludf.DUMMYFUNCTION("""COMPUTED_VALUE"""),20.0)</f>
        <v>20</v>
      </c>
      <c r="Q785" s="317"/>
    </row>
    <row r="786" ht="12.75" customHeight="1">
      <c r="G786" s="316" t="s">
        <v>1523</v>
      </c>
      <c r="H786" s="246">
        <v>20.0</v>
      </c>
      <c r="I786" s="315">
        <v>9.769441187964048E-4</v>
      </c>
      <c r="K786" s="246"/>
      <c r="L786" s="316"/>
      <c r="M786" s="317"/>
      <c r="O786" s="329" t="str">
        <f>IFERROR(__xludf.DUMMYFUNCTION("""COMPUTED_VALUE"""),"Dead Man Bay - Jolly Roger 2★ #3AA")</f>
        <v>Dead Man Bay - Jolly Roger 2★ #3AA</v>
      </c>
      <c r="P786" s="246">
        <f>IFERROR(__xludf.DUMMYFUNCTION("""COMPUTED_VALUE"""),20.0)</f>
        <v>20</v>
      </c>
      <c r="Q786" s="317"/>
    </row>
    <row r="787" ht="12.75" customHeight="1">
      <c r="G787" s="316" t="s">
        <v>1524</v>
      </c>
      <c r="H787" s="246">
        <v>20.0</v>
      </c>
      <c r="I787" s="315">
        <v>9.769441187964048E-4</v>
      </c>
      <c r="K787" s="246"/>
      <c r="L787" s="316"/>
      <c r="M787" s="317"/>
      <c r="O787" s="329" t="str">
        <f>IFERROR(__xludf.DUMMYFUNCTION("""COMPUTED_VALUE"""),"Dead Man Bay - Jolly Roger 2★ #E5F")</f>
        <v>Dead Man Bay - Jolly Roger 2★ #E5F</v>
      </c>
      <c r="P787" s="246">
        <f>IFERROR(__xludf.DUMMYFUNCTION("""COMPUTED_VALUE"""),20.0)</f>
        <v>20</v>
      </c>
      <c r="Q787" s="317"/>
    </row>
    <row r="788" ht="12.75" customHeight="1">
      <c r="G788" s="316" t="s">
        <v>1525</v>
      </c>
      <c r="H788" s="246">
        <v>20.0</v>
      </c>
      <c r="I788" s="315">
        <v>9.769441187964048E-4</v>
      </c>
      <c r="K788" s="246"/>
      <c r="L788" s="316"/>
      <c r="M788" s="317"/>
      <c r="O788" s="329" t="str">
        <f>IFERROR(__xludf.DUMMYFUNCTION("""COMPUTED_VALUE"""),"Dead Man Bay - Jolly Roger 2★ #914")</f>
        <v>Dead Man Bay - Jolly Roger 2★ #914</v>
      </c>
      <c r="P788" s="246">
        <f>IFERROR(__xludf.DUMMYFUNCTION("""COMPUTED_VALUE"""),20.0)</f>
        <v>20</v>
      </c>
      <c r="Q788" s="317"/>
    </row>
    <row r="789" ht="12.75" customHeight="1">
      <c r="G789" s="316" t="s">
        <v>1526</v>
      </c>
      <c r="H789" s="246">
        <v>20.0</v>
      </c>
      <c r="I789" s="315">
        <v>9.769441187964048E-4</v>
      </c>
      <c r="K789" s="246"/>
      <c r="L789" s="316"/>
      <c r="M789" s="317"/>
      <c r="O789" s="329" t="str">
        <f>IFERROR(__xludf.DUMMYFUNCTION("""COMPUTED_VALUE"""),"Dead Man Bay - Jolly Roger 2★ #3C9")</f>
        <v>Dead Man Bay - Jolly Roger 2★ #3C9</v>
      </c>
      <c r="P789" s="246">
        <f>IFERROR(__xludf.DUMMYFUNCTION("""COMPUTED_VALUE"""),20.0)</f>
        <v>20</v>
      </c>
      <c r="Q789" s="317"/>
    </row>
    <row r="790" ht="12.75" customHeight="1">
      <c r="G790" s="316" t="s">
        <v>1527</v>
      </c>
      <c r="H790" s="246">
        <v>20.0</v>
      </c>
      <c r="I790" s="315">
        <v>9.769441187964048E-4</v>
      </c>
      <c r="K790" s="246"/>
      <c r="L790" s="316"/>
      <c r="M790" s="317"/>
      <c r="O790" s="329" t="str">
        <f>IFERROR(__xludf.DUMMYFUNCTION("""COMPUTED_VALUE"""),"Dead Man Bay - Jolly Roger 2★ #E7E")</f>
        <v>Dead Man Bay - Jolly Roger 2★ #E7E</v>
      </c>
      <c r="P790" s="246">
        <f>IFERROR(__xludf.DUMMYFUNCTION("""COMPUTED_VALUE"""),20.0)</f>
        <v>20</v>
      </c>
      <c r="Q790" s="317"/>
    </row>
    <row r="791" ht="12.75" customHeight="1">
      <c r="G791" s="316" t="s">
        <v>1528</v>
      </c>
      <c r="H791" s="246">
        <v>20.0</v>
      </c>
      <c r="I791" s="315">
        <v>9.769441187964048E-4</v>
      </c>
      <c r="K791" s="246"/>
      <c r="L791" s="316"/>
      <c r="M791" s="317"/>
      <c r="O791" s="329" t="str">
        <f>IFERROR(__xludf.DUMMYFUNCTION("""COMPUTED_VALUE"""),"Dead Man Bay - Jolly Roger 2★ #933")</f>
        <v>Dead Man Bay - Jolly Roger 2★ #933</v>
      </c>
      <c r="P791" s="246">
        <f>IFERROR(__xludf.DUMMYFUNCTION("""COMPUTED_VALUE"""),20.0)</f>
        <v>20</v>
      </c>
      <c r="Q791" s="317"/>
    </row>
    <row r="792" ht="12.75" customHeight="1">
      <c r="G792" s="316" t="s">
        <v>1529</v>
      </c>
      <c r="H792" s="246">
        <v>20.0</v>
      </c>
      <c r="I792" s="315">
        <v>9.769441187964048E-4</v>
      </c>
      <c r="K792" s="246"/>
      <c r="L792" s="316"/>
      <c r="M792" s="317"/>
      <c r="O792" s="329" t="str">
        <f>IFERROR(__xludf.DUMMYFUNCTION("""COMPUTED_VALUE"""),"Dead Man Bay - Jolly Roger 2★ #3E8")</f>
        <v>Dead Man Bay - Jolly Roger 2★ #3E8</v>
      </c>
      <c r="P792" s="246">
        <f>IFERROR(__xludf.DUMMYFUNCTION("""COMPUTED_VALUE"""),20.0)</f>
        <v>20</v>
      </c>
      <c r="Q792" s="317"/>
    </row>
    <row r="793" ht="12.75" customHeight="1">
      <c r="G793" s="316" t="s">
        <v>1530</v>
      </c>
      <c r="H793" s="246">
        <v>20.0</v>
      </c>
      <c r="I793" s="315">
        <v>9.769441187964048E-4</v>
      </c>
      <c r="K793" s="246"/>
      <c r="L793" s="316"/>
      <c r="M793" s="317"/>
      <c r="O793" s="329" t="str">
        <f>IFERROR(__xludf.DUMMYFUNCTION("""COMPUTED_VALUE"""),"Dead Man Bay - Jolly Roger 2★ #E9D")</f>
        <v>Dead Man Bay - Jolly Roger 2★ #E9D</v>
      </c>
      <c r="P793" s="246">
        <f>IFERROR(__xludf.DUMMYFUNCTION("""COMPUTED_VALUE"""),20.0)</f>
        <v>20</v>
      </c>
      <c r="Q793" s="317"/>
    </row>
    <row r="794" ht="12.75" customHeight="1">
      <c r="G794" s="316" t="s">
        <v>1531</v>
      </c>
      <c r="H794" s="246">
        <v>10.0</v>
      </c>
      <c r="I794" s="315">
        <v>4.884720593982024E-4</v>
      </c>
      <c r="K794" s="246"/>
      <c r="L794" s="316"/>
      <c r="M794" s="317"/>
      <c r="O794" s="329" t="str">
        <f>IFERROR(__xludf.DUMMYFUNCTION("""COMPUTED_VALUE"""),"Dead Man Bay - Gold Tooth 3★ #952")</f>
        <v>Dead Man Bay - Gold Tooth 3★ #952</v>
      </c>
      <c r="P794" s="246">
        <f>IFERROR(__xludf.DUMMYFUNCTION("""COMPUTED_VALUE"""),10.0)</f>
        <v>10</v>
      </c>
      <c r="Q794" s="317"/>
    </row>
    <row r="795" ht="12.75" customHeight="1">
      <c r="G795" s="316" t="s">
        <v>1532</v>
      </c>
      <c r="H795" s="246">
        <v>10.0</v>
      </c>
      <c r="I795" s="315">
        <v>4.884720593982024E-4</v>
      </c>
      <c r="K795" s="246"/>
      <c r="L795" s="316"/>
      <c r="M795" s="317"/>
      <c r="O795" s="329" t="str">
        <f>IFERROR(__xludf.DUMMYFUNCTION("""COMPUTED_VALUE"""),"Dead Man Bay - Gold Tooth 3★ #407")</f>
        <v>Dead Man Bay - Gold Tooth 3★ #407</v>
      </c>
      <c r="P795" s="246">
        <f>IFERROR(__xludf.DUMMYFUNCTION("""COMPUTED_VALUE"""),10.0)</f>
        <v>10</v>
      </c>
      <c r="Q795" s="317"/>
    </row>
    <row r="796" ht="12.75" customHeight="1">
      <c r="G796" s="316" t="s">
        <v>1533</v>
      </c>
      <c r="H796" s="246">
        <v>10.0</v>
      </c>
      <c r="I796" s="315">
        <v>4.884720593982024E-4</v>
      </c>
      <c r="K796" s="246"/>
      <c r="L796" s="316"/>
      <c r="M796" s="317"/>
      <c r="O796" s="329" t="str">
        <f>IFERROR(__xludf.DUMMYFUNCTION("""COMPUTED_VALUE"""),"Dead Man Bay - Gold Tooth 3★ #EBC")</f>
        <v>Dead Man Bay - Gold Tooth 3★ #EBC</v>
      </c>
      <c r="P796" s="246">
        <f>IFERROR(__xludf.DUMMYFUNCTION("""COMPUTED_VALUE"""),10.0)</f>
        <v>10</v>
      </c>
      <c r="Q796" s="317"/>
    </row>
    <row r="797" ht="12.75" customHeight="1">
      <c r="G797" s="316" t="s">
        <v>1534</v>
      </c>
      <c r="H797" s="246">
        <v>10.0</v>
      </c>
      <c r="I797" s="315">
        <v>4.884720593982024E-4</v>
      </c>
      <c r="K797" s="246"/>
      <c r="L797" s="316"/>
      <c r="M797" s="317"/>
      <c r="O797" s="329" t="str">
        <f>IFERROR(__xludf.DUMMYFUNCTION("""COMPUTED_VALUE"""),"Dead Man Bay - Gold Tooth 3★ #971")</f>
        <v>Dead Man Bay - Gold Tooth 3★ #971</v>
      </c>
      <c r="P797" s="246">
        <f>IFERROR(__xludf.DUMMYFUNCTION("""COMPUTED_VALUE"""),10.0)</f>
        <v>10</v>
      </c>
      <c r="Q797" s="317"/>
    </row>
    <row r="798" ht="12.75" customHeight="1">
      <c r="G798" s="316" t="s">
        <v>1535</v>
      </c>
      <c r="H798" s="246">
        <v>10.0</v>
      </c>
      <c r="I798" s="315">
        <v>4.884720593982024E-4</v>
      </c>
      <c r="K798" s="246"/>
      <c r="L798" s="316"/>
      <c r="M798" s="317"/>
      <c r="O798" s="329" t="str">
        <f>IFERROR(__xludf.DUMMYFUNCTION("""COMPUTED_VALUE"""),"Dead Man Bay - Gold Tooth 3★ #426")</f>
        <v>Dead Man Bay - Gold Tooth 3★ #426</v>
      </c>
      <c r="P798" s="246">
        <f>IFERROR(__xludf.DUMMYFUNCTION("""COMPUTED_VALUE"""),10.0)</f>
        <v>10</v>
      </c>
      <c r="Q798" s="317"/>
    </row>
    <row r="799" ht="12.75" customHeight="1">
      <c r="G799" s="316" t="s">
        <v>1536</v>
      </c>
      <c r="H799" s="246">
        <v>10.0</v>
      </c>
      <c r="I799" s="315">
        <v>4.884720593982024E-4</v>
      </c>
      <c r="K799" s="246"/>
      <c r="L799" s="316"/>
      <c r="M799" s="317"/>
      <c r="O799" s="329" t="str">
        <f>IFERROR(__xludf.DUMMYFUNCTION("""COMPUTED_VALUE"""),"Dead Man Bay - Gold Tooth 3★ #EDB")</f>
        <v>Dead Man Bay - Gold Tooth 3★ #EDB</v>
      </c>
      <c r="P799" s="246">
        <f>IFERROR(__xludf.DUMMYFUNCTION("""COMPUTED_VALUE"""),10.0)</f>
        <v>10</v>
      </c>
      <c r="Q799" s="317"/>
    </row>
    <row r="800" ht="12.75" customHeight="1">
      <c r="G800" s="316" t="s">
        <v>1537</v>
      </c>
      <c r="H800" s="246">
        <v>10.0</v>
      </c>
      <c r="I800" s="315">
        <v>4.884720593982024E-4</v>
      </c>
      <c r="K800" s="246"/>
      <c r="L800" s="316"/>
      <c r="M800" s="317"/>
      <c r="O800" s="329" t="str">
        <f>IFERROR(__xludf.DUMMYFUNCTION("""COMPUTED_VALUE"""),"Dead Man Bay - Gold Tooth 3★ #990")</f>
        <v>Dead Man Bay - Gold Tooth 3★ #990</v>
      </c>
      <c r="P800" s="246">
        <f>IFERROR(__xludf.DUMMYFUNCTION("""COMPUTED_VALUE"""),10.0)</f>
        <v>10</v>
      </c>
      <c r="Q800" s="317"/>
    </row>
    <row r="801" ht="12.75" customHeight="1">
      <c r="G801" s="316" t="s">
        <v>1538</v>
      </c>
      <c r="H801" s="246">
        <v>10.0</v>
      </c>
      <c r="I801" s="315">
        <v>4.884720593982024E-4</v>
      </c>
      <c r="K801" s="246"/>
      <c r="L801" s="316"/>
      <c r="M801" s="317"/>
      <c r="O801" s="329" t="str">
        <f>IFERROR(__xludf.DUMMYFUNCTION("""COMPUTED_VALUE"""),"Dead Man Bay - Gold Tooth 3★ #445")</f>
        <v>Dead Man Bay - Gold Tooth 3★ #445</v>
      </c>
      <c r="P801" s="246">
        <f>IFERROR(__xludf.DUMMYFUNCTION("""COMPUTED_VALUE"""),10.0)</f>
        <v>10</v>
      </c>
      <c r="Q801" s="317"/>
    </row>
    <row r="802" ht="12.75" customHeight="1">
      <c r="G802" s="316" t="s">
        <v>1539</v>
      </c>
      <c r="H802" s="246">
        <v>10.0</v>
      </c>
      <c r="I802" s="315">
        <v>4.884720593982024E-4</v>
      </c>
      <c r="K802" s="246"/>
      <c r="L802" s="316"/>
      <c r="M802" s="317"/>
      <c r="O802" s="329" t="str">
        <f>IFERROR(__xludf.DUMMYFUNCTION("""COMPUTED_VALUE"""),"Dead Man Bay - Gold Tooth 3★ #EFA")</f>
        <v>Dead Man Bay - Gold Tooth 3★ #EFA</v>
      </c>
      <c r="P802" s="246">
        <f>IFERROR(__xludf.DUMMYFUNCTION("""COMPUTED_VALUE"""),10.0)</f>
        <v>10</v>
      </c>
      <c r="Q802" s="317"/>
    </row>
    <row r="803" ht="12.75" customHeight="1">
      <c r="G803" s="316" t="s">
        <v>1540</v>
      </c>
      <c r="H803" s="246">
        <v>10.0</v>
      </c>
      <c r="I803" s="315">
        <v>4.884720593982024E-4</v>
      </c>
      <c r="K803" s="246"/>
      <c r="L803" s="316"/>
      <c r="M803" s="317"/>
      <c r="O803" s="329" t="str">
        <f>IFERROR(__xludf.DUMMYFUNCTION("""COMPUTED_VALUE"""),"Dead Man Bay - Gold Tooth 3★ #9AF")</f>
        <v>Dead Man Bay - Gold Tooth 3★ #9AF</v>
      </c>
      <c r="P803" s="246">
        <f>IFERROR(__xludf.DUMMYFUNCTION("""COMPUTED_VALUE"""),10.0)</f>
        <v>10</v>
      </c>
      <c r="Q803" s="317"/>
    </row>
    <row r="804" ht="12.75" customHeight="1">
      <c r="G804" s="316" t="s">
        <v>1541</v>
      </c>
      <c r="H804" s="246">
        <v>10.0</v>
      </c>
      <c r="I804" s="315">
        <v>4.884720593982024E-4</v>
      </c>
      <c r="K804" s="246"/>
      <c r="L804" s="316"/>
      <c r="M804" s="317"/>
      <c r="O804" s="329" t="str">
        <f>IFERROR(__xludf.DUMMYFUNCTION("""COMPUTED_VALUE"""),"Dead Man Bay - Gold Tooth 3★ #464")</f>
        <v>Dead Man Bay - Gold Tooth 3★ #464</v>
      </c>
      <c r="P804" s="246">
        <f>IFERROR(__xludf.DUMMYFUNCTION("""COMPUTED_VALUE"""),10.0)</f>
        <v>10</v>
      </c>
      <c r="Q804" s="317"/>
    </row>
    <row r="805" ht="12.75" customHeight="1">
      <c r="G805" s="316" t="s">
        <v>1542</v>
      </c>
      <c r="H805" s="246">
        <v>10.0</v>
      </c>
      <c r="I805" s="315">
        <v>4.884720593982024E-4</v>
      </c>
      <c r="K805" s="246"/>
      <c r="L805" s="316"/>
      <c r="M805" s="317"/>
      <c r="O805" s="329" t="str">
        <f>IFERROR(__xludf.DUMMYFUNCTION("""COMPUTED_VALUE"""),"Dead Man Bay - Gold Tooth 3★ #F19")</f>
        <v>Dead Man Bay - Gold Tooth 3★ #F19</v>
      </c>
      <c r="P805" s="246">
        <f>IFERROR(__xludf.DUMMYFUNCTION("""COMPUTED_VALUE"""),10.0)</f>
        <v>10</v>
      </c>
      <c r="Q805" s="317"/>
    </row>
    <row r="806" ht="12.75" customHeight="1">
      <c r="G806" s="316" t="s">
        <v>1543</v>
      </c>
      <c r="H806" s="246">
        <v>10.0</v>
      </c>
      <c r="I806" s="315">
        <v>4.884720593982024E-4</v>
      </c>
      <c r="K806" s="246"/>
      <c r="L806" s="316"/>
      <c r="M806" s="317"/>
      <c r="O806" s="329" t="str">
        <f>IFERROR(__xludf.DUMMYFUNCTION("""COMPUTED_VALUE"""),"Dead Man Bay - Gold Tooth 3★ #9CE")</f>
        <v>Dead Man Bay - Gold Tooth 3★ #9CE</v>
      </c>
      <c r="P806" s="246">
        <f>IFERROR(__xludf.DUMMYFUNCTION("""COMPUTED_VALUE"""),10.0)</f>
        <v>10</v>
      </c>
      <c r="Q806" s="317"/>
    </row>
    <row r="807" ht="12.75" customHeight="1">
      <c r="G807" s="316" t="s">
        <v>1544</v>
      </c>
      <c r="H807" s="246">
        <v>5.0</v>
      </c>
      <c r="I807" s="315">
        <v>2.442360296991012E-4</v>
      </c>
      <c r="K807" s="246"/>
      <c r="L807" s="316"/>
      <c r="M807" s="317"/>
      <c r="O807" s="329" t="str">
        <f>IFERROR(__xludf.DUMMYFUNCTION("""COMPUTED_VALUE"""),"Dead Man Bay - Dagger 4★ #483")</f>
        <v>Dead Man Bay - Dagger 4★ #483</v>
      </c>
      <c r="P807" s="246">
        <f>IFERROR(__xludf.DUMMYFUNCTION("""COMPUTED_VALUE"""),5.0)</f>
        <v>5</v>
      </c>
      <c r="Q807" s="317"/>
    </row>
    <row r="808" ht="12.75" customHeight="1">
      <c r="G808" s="316" t="s">
        <v>1545</v>
      </c>
      <c r="H808" s="246">
        <v>5.0</v>
      </c>
      <c r="I808" s="315">
        <v>2.442360296991012E-4</v>
      </c>
      <c r="K808" s="246"/>
      <c r="L808" s="316"/>
      <c r="M808" s="317"/>
      <c r="O808" s="329" t="str">
        <f>IFERROR(__xludf.DUMMYFUNCTION("""COMPUTED_VALUE"""),"Dead Man Bay - Dagger 4★ #F38")</f>
        <v>Dead Man Bay - Dagger 4★ #F38</v>
      </c>
      <c r="P808" s="246">
        <f>IFERROR(__xludf.DUMMYFUNCTION("""COMPUTED_VALUE"""),5.0)</f>
        <v>5</v>
      </c>
      <c r="Q808" s="317"/>
    </row>
    <row r="809" ht="12.75" customHeight="1">
      <c r="G809" s="316" t="s">
        <v>1546</v>
      </c>
      <c r="H809" s="246">
        <v>5.0</v>
      </c>
      <c r="I809" s="315">
        <v>2.442360296991012E-4</v>
      </c>
      <c r="K809" s="246"/>
      <c r="L809" s="316"/>
      <c r="M809" s="317"/>
      <c r="O809" s="329" t="str">
        <f>IFERROR(__xludf.DUMMYFUNCTION("""COMPUTED_VALUE"""),"Dead Man Bay - Dagger 4★ #9ED")</f>
        <v>Dead Man Bay - Dagger 4★ #9ED</v>
      </c>
      <c r="P809" s="246">
        <f>IFERROR(__xludf.DUMMYFUNCTION("""COMPUTED_VALUE"""),5.0)</f>
        <v>5</v>
      </c>
      <c r="Q809" s="317"/>
    </row>
    <row r="810" ht="12.75" customHeight="1">
      <c r="G810" s="316" t="s">
        <v>1547</v>
      </c>
      <c r="H810" s="246">
        <v>5.0</v>
      </c>
      <c r="I810" s="315">
        <v>2.442360296991012E-4</v>
      </c>
      <c r="K810" s="246"/>
      <c r="L810" s="316"/>
      <c r="M810" s="317"/>
      <c r="O810" s="329" t="str">
        <f>IFERROR(__xludf.DUMMYFUNCTION("""COMPUTED_VALUE"""),"Dead Man Bay - Dagger 4★ #4A2")</f>
        <v>Dead Man Bay - Dagger 4★ #4A2</v>
      </c>
      <c r="P810" s="246">
        <f>IFERROR(__xludf.DUMMYFUNCTION("""COMPUTED_VALUE"""),5.0)</f>
        <v>5</v>
      </c>
      <c r="Q810" s="317"/>
    </row>
    <row r="811" ht="12.75" customHeight="1">
      <c r="G811" s="316" t="s">
        <v>1548</v>
      </c>
      <c r="H811" s="246">
        <v>5.0</v>
      </c>
      <c r="I811" s="315">
        <v>2.442360296991012E-4</v>
      </c>
      <c r="K811" s="246"/>
      <c r="L811" s="316"/>
      <c r="M811" s="317"/>
      <c r="O811" s="329" t="str">
        <f>IFERROR(__xludf.DUMMYFUNCTION("""COMPUTED_VALUE"""),"Dead Man Bay - Dagger 4★ #F57")</f>
        <v>Dead Man Bay - Dagger 4★ #F57</v>
      </c>
      <c r="P811" s="246">
        <f>IFERROR(__xludf.DUMMYFUNCTION("""COMPUTED_VALUE"""),5.0)</f>
        <v>5</v>
      </c>
      <c r="Q811" s="317"/>
    </row>
    <row r="812" ht="12.75" customHeight="1">
      <c r="G812" s="316" t="s">
        <v>1549</v>
      </c>
      <c r="H812" s="246">
        <v>5.0</v>
      </c>
      <c r="I812" s="315">
        <v>2.442360296991012E-4</v>
      </c>
      <c r="K812" s="246"/>
      <c r="L812" s="316"/>
      <c r="M812" s="317"/>
      <c r="O812" s="329" t="str">
        <f>IFERROR(__xludf.DUMMYFUNCTION("""COMPUTED_VALUE"""),"Dead Man Bay - Dagger 4★ #A0C")</f>
        <v>Dead Man Bay - Dagger 4★ #A0C</v>
      </c>
      <c r="P812" s="246">
        <f>IFERROR(__xludf.DUMMYFUNCTION("""COMPUTED_VALUE"""),5.0)</f>
        <v>5</v>
      </c>
      <c r="Q812" s="317"/>
    </row>
    <row r="813" ht="12.75" customHeight="1">
      <c r="G813" s="316" t="s">
        <v>1550</v>
      </c>
      <c r="H813" s="246">
        <v>5.0</v>
      </c>
      <c r="I813" s="315">
        <v>2.442360296991012E-4</v>
      </c>
      <c r="K813" s="246"/>
      <c r="L813" s="316"/>
      <c r="M813" s="317"/>
      <c r="O813" s="329" t="str">
        <f>IFERROR(__xludf.DUMMYFUNCTION("""COMPUTED_VALUE"""),"Dead Man Bay - Dagger 4★ #4C1")</f>
        <v>Dead Man Bay - Dagger 4★ #4C1</v>
      </c>
      <c r="P813" s="246">
        <f>IFERROR(__xludf.DUMMYFUNCTION("""COMPUTED_VALUE"""),5.0)</f>
        <v>5</v>
      </c>
      <c r="Q813" s="317"/>
    </row>
    <row r="814" ht="12.75" customHeight="1">
      <c r="G814" s="316" t="s">
        <v>1551</v>
      </c>
      <c r="H814" s="246">
        <v>5.0</v>
      </c>
      <c r="I814" s="315">
        <v>2.442360296991012E-4</v>
      </c>
      <c r="K814" s="246"/>
      <c r="L814" s="316"/>
      <c r="M814" s="317"/>
      <c r="O814" s="329" t="str">
        <f>IFERROR(__xludf.DUMMYFUNCTION("""COMPUTED_VALUE"""),"Dead Man Bay - Dagger 4★ #F76")</f>
        <v>Dead Man Bay - Dagger 4★ #F76</v>
      </c>
      <c r="P814" s="246">
        <f>IFERROR(__xludf.DUMMYFUNCTION("""COMPUTED_VALUE"""),5.0)</f>
        <v>5</v>
      </c>
      <c r="Q814" s="317"/>
    </row>
    <row r="815" ht="12.75" customHeight="1">
      <c r="G815" s="316" t="s">
        <v>1552</v>
      </c>
      <c r="H815" s="246">
        <v>5.0</v>
      </c>
      <c r="I815" s="315">
        <v>2.442360296991012E-4</v>
      </c>
      <c r="K815" s="246"/>
      <c r="L815" s="316"/>
      <c r="M815" s="317"/>
      <c r="O815" s="329" t="str">
        <f>IFERROR(__xludf.DUMMYFUNCTION("""COMPUTED_VALUE"""),"Dead Man Bay - Dagger 4★ #A2B")</f>
        <v>Dead Man Bay - Dagger 4★ #A2B</v>
      </c>
      <c r="P815" s="246">
        <f>IFERROR(__xludf.DUMMYFUNCTION("""COMPUTED_VALUE"""),5.0)</f>
        <v>5</v>
      </c>
      <c r="Q815" s="317"/>
    </row>
    <row r="816" ht="12.75" customHeight="1">
      <c r="G816" s="316" t="s">
        <v>1553</v>
      </c>
      <c r="H816" s="246">
        <v>5.0</v>
      </c>
      <c r="I816" s="315">
        <v>2.442360296991012E-4</v>
      </c>
      <c r="K816" s="246"/>
      <c r="L816" s="316"/>
      <c r="M816" s="317"/>
      <c r="O816" s="329" t="str">
        <f>IFERROR(__xludf.DUMMYFUNCTION("""COMPUTED_VALUE"""),"Dead Man Bay - Dagger 4★ #4E0")</f>
        <v>Dead Man Bay - Dagger 4★ #4E0</v>
      </c>
      <c r="P816" s="246">
        <f>IFERROR(__xludf.DUMMYFUNCTION("""COMPUTED_VALUE"""),5.0)</f>
        <v>5</v>
      </c>
      <c r="Q816" s="317"/>
    </row>
    <row r="817" ht="12.75" customHeight="1">
      <c r="G817" s="316" t="s">
        <v>1554</v>
      </c>
      <c r="H817" s="246">
        <v>5.0</v>
      </c>
      <c r="I817" s="315">
        <v>2.442360296991012E-4</v>
      </c>
      <c r="K817" s="246"/>
      <c r="L817" s="316"/>
      <c r="M817" s="317"/>
      <c r="O817" s="329" t="str">
        <f>IFERROR(__xludf.DUMMYFUNCTION("""COMPUTED_VALUE"""),"Dead Man Bay - Dagger 4★ #F95")</f>
        <v>Dead Man Bay - Dagger 4★ #F95</v>
      </c>
      <c r="P817" s="246">
        <f>IFERROR(__xludf.DUMMYFUNCTION("""COMPUTED_VALUE"""),5.0)</f>
        <v>5</v>
      </c>
      <c r="Q817" s="317"/>
    </row>
    <row r="818" ht="12.75" customHeight="1">
      <c r="G818" s="316" t="s">
        <v>1555</v>
      </c>
      <c r="H818" s="246">
        <v>2.0</v>
      </c>
      <c r="I818" s="315">
        <v>9.769441187964049E-5</v>
      </c>
      <c r="K818" s="246"/>
      <c r="L818" s="316"/>
      <c r="M818" s="317"/>
      <c r="O818" s="329" t="str">
        <f>IFERROR(__xludf.DUMMYFUNCTION("""COMPUTED_VALUE"""),"Dead Man Bay - Bandana 5★ #A4A")</f>
        <v>Dead Man Bay - Bandana 5★ #A4A</v>
      </c>
      <c r="P818" s="246">
        <f>IFERROR(__xludf.DUMMYFUNCTION("""COMPUTED_VALUE"""),2.0)</f>
        <v>2</v>
      </c>
      <c r="Q818" s="317"/>
    </row>
    <row r="819" ht="12.75" customHeight="1">
      <c r="G819" s="316" t="s">
        <v>1556</v>
      </c>
      <c r="H819" s="246">
        <v>2.0</v>
      </c>
      <c r="I819" s="315">
        <v>9.769441187964049E-5</v>
      </c>
      <c r="K819" s="246"/>
      <c r="L819" s="316"/>
      <c r="M819" s="317"/>
      <c r="O819" s="329" t="str">
        <f>IFERROR(__xludf.DUMMYFUNCTION("""COMPUTED_VALUE"""),"Dead Man Bay - Bandana 5★ #4FF")</f>
        <v>Dead Man Bay - Bandana 5★ #4FF</v>
      </c>
      <c r="P819" s="246">
        <f>IFERROR(__xludf.DUMMYFUNCTION("""COMPUTED_VALUE"""),2.0)</f>
        <v>2</v>
      </c>
      <c r="Q819" s="317"/>
    </row>
    <row r="820" ht="12.75" customHeight="1">
      <c r="G820" s="316" t="s">
        <v>1557</v>
      </c>
      <c r="H820" s="246">
        <v>2.0</v>
      </c>
      <c r="I820" s="315">
        <v>9.769441187964049E-5</v>
      </c>
      <c r="K820" s="246"/>
      <c r="L820" s="316"/>
      <c r="M820" s="317"/>
      <c r="O820" s="329" t="str">
        <f>IFERROR(__xludf.DUMMYFUNCTION("""COMPUTED_VALUE"""),"Dead Man Bay - Bandana 5★ #FB4")</f>
        <v>Dead Man Bay - Bandana 5★ #FB4</v>
      </c>
      <c r="P820" s="246">
        <f>IFERROR(__xludf.DUMMYFUNCTION("""COMPUTED_VALUE"""),2.0)</f>
        <v>2</v>
      </c>
      <c r="Q820" s="317"/>
    </row>
    <row r="821" ht="12.75" customHeight="1">
      <c r="G821" s="316" t="s">
        <v>1558</v>
      </c>
      <c r="H821" s="246">
        <v>2.0</v>
      </c>
      <c r="I821" s="315">
        <v>9.769441187964049E-5</v>
      </c>
      <c r="K821" s="246"/>
      <c r="L821" s="316"/>
      <c r="M821" s="317"/>
      <c r="O821" s="329" t="str">
        <f>IFERROR(__xludf.DUMMYFUNCTION("""COMPUTED_VALUE"""),"Dead Man Bay - Bandana 5★ #A69")</f>
        <v>Dead Man Bay - Bandana 5★ #A69</v>
      </c>
      <c r="P821" s="246">
        <f>IFERROR(__xludf.DUMMYFUNCTION("""COMPUTED_VALUE"""),2.0)</f>
        <v>2</v>
      </c>
      <c r="Q821" s="317"/>
    </row>
    <row r="822" ht="12.75" customHeight="1">
      <c r="G822" s="316" t="s">
        <v>1559</v>
      </c>
      <c r="H822" s="246">
        <v>2.0</v>
      </c>
      <c r="I822" s="315">
        <v>9.769441187964049E-5</v>
      </c>
      <c r="K822" s="246"/>
      <c r="L822" s="316"/>
      <c r="M822" s="317"/>
      <c r="O822" s="329" t="str">
        <f>IFERROR(__xludf.DUMMYFUNCTION("""COMPUTED_VALUE"""),"Dead Man Bay - Bandana 5★ #51E")</f>
        <v>Dead Man Bay - Bandana 5★ #51E</v>
      </c>
      <c r="P822" s="246">
        <f>IFERROR(__xludf.DUMMYFUNCTION("""COMPUTED_VALUE"""),2.0)</f>
        <v>2</v>
      </c>
      <c r="Q822" s="317"/>
    </row>
    <row r="823" ht="12.75" customHeight="1">
      <c r="G823" s="316" t="s">
        <v>1560</v>
      </c>
      <c r="H823" s="246">
        <v>2.0</v>
      </c>
      <c r="I823" s="315">
        <v>9.769441187964049E-5</v>
      </c>
      <c r="K823" s="246"/>
      <c r="L823" s="316"/>
      <c r="M823" s="317"/>
      <c r="O823" s="329" t="str">
        <f>IFERROR(__xludf.DUMMYFUNCTION("""COMPUTED_VALUE"""),"Dead Man Bay - Boots 5★ #FD3")</f>
        <v>Dead Man Bay - Boots 5★ #FD3</v>
      </c>
      <c r="P823" s="246">
        <f>IFERROR(__xludf.DUMMYFUNCTION("""COMPUTED_VALUE"""),2.0)</f>
        <v>2</v>
      </c>
      <c r="Q823" s="317"/>
    </row>
    <row r="824" ht="12.75" customHeight="1">
      <c r="G824" s="316" t="s">
        <v>1561</v>
      </c>
      <c r="H824" s="246">
        <v>2.0</v>
      </c>
      <c r="I824" s="315">
        <v>9.769441187964049E-5</v>
      </c>
      <c r="K824" s="246"/>
      <c r="L824" s="316"/>
      <c r="M824" s="317"/>
      <c r="O824" s="329" t="str">
        <f>IFERROR(__xludf.DUMMYFUNCTION("""COMPUTED_VALUE"""),"Dead Man Bay - Boots 5★ #A88")</f>
        <v>Dead Man Bay - Boots 5★ #A88</v>
      </c>
      <c r="P824" s="246">
        <f>IFERROR(__xludf.DUMMYFUNCTION("""COMPUTED_VALUE"""),2.0)</f>
        <v>2</v>
      </c>
      <c r="Q824" s="317"/>
    </row>
    <row r="825" ht="12.75" customHeight="1">
      <c r="G825" s="316" t="s">
        <v>1562</v>
      </c>
      <c r="H825" s="246">
        <v>2.0</v>
      </c>
      <c r="I825" s="315">
        <v>9.769441187964049E-5</v>
      </c>
      <c r="K825" s="246"/>
      <c r="L825" s="316"/>
      <c r="M825" s="317"/>
      <c r="O825" s="329" t="str">
        <f>IFERROR(__xludf.DUMMYFUNCTION("""COMPUTED_VALUE"""),"Dead Man Bay - Boots 5★ #53D")</f>
        <v>Dead Man Bay - Boots 5★ #53D</v>
      </c>
      <c r="P825" s="246">
        <f>IFERROR(__xludf.DUMMYFUNCTION("""COMPUTED_VALUE"""),2.0)</f>
        <v>2</v>
      </c>
      <c r="Q825" s="317"/>
    </row>
    <row r="826" ht="12.75" customHeight="1">
      <c r="G826" s="316" t="s">
        <v>1563</v>
      </c>
      <c r="H826" s="246">
        <v>2.0</v>
      </c>
      <c r="I826" s="315">
        <v>9.769441187964049E-5</v>
      </c>
      <c r="K826" s="246"/>
      <c r="L826" s="316"/>
      <c r="M826" s="317"/>
      <c r="O826" s="329" t="str">
        <f>IFERROR(__xludf.DUMMYFUNCTION("""COMPUTED_VALUE"""),"Dead Man Bay - Boots 5★ #FF2")</f>
        <v>Dead Man Bay - Boots 5★ #FF2</v>
      </c>
      <c r="P826" s="246">
        <f>IFERROR(__xludf.DUMMYFUNCTION("""COMPUTED_VALUE"""),2.0)</f>
        <v>2</v>
      </c>
      <c r="Q826" s="317"/>
    </row>
    <row r="827" ht="12.75" customHeight="1">
      <c r="G827" s="316" t="s">
        <v>1564</v>
      </c>
      <c r="H827" s="246">
        <v>2.0</v>
      </c>
      <c r="I827" s="315">
        <v>9.769441187964049E-5</v>
      </c>
      <c r="K827" s="246"/>
      <c r="L827" s="316"/>
      <c r="M827" s="317"/>
      <c r="O827" s="329" t="str">
        <f>IFERROR(__xludf.DUMMYFUNCTION("""COMPUTED_VALUE"""),"Dead Man Bay - Boots 5★ #AA7")</f>
        <v>Dead Man Bay - Boots 5★ #AA7</v>
      </c>
      <c r="P827" s="246">
        <f>IFERROR(__xludf.DUMMYFUNCTION("""COMPUTED_VALUE"""),2.0)</f>
        <v>2</v>
      </c>
      <c r="Q827" s="317"/>
    </row>
    <row r="828" ht="12.75" customHeight="1">
      <c r="G828" s="316" t="s">
        <v>1565</v>
      </c>
      <c r="H828" s="246">
        <v>2.0</v>
      </c>
      <c r="I828" s="315">
        <v>9.769441187964049E-5</v>
      </c>
      <c r="K828" s="246"/>
      <c r="L828" s="316"/>
      <c r="M828" s="317"/>
      <c r="O828" s="329" t="str">
        <f>IFERROR(__xludf.DUMMYFUNCTION("""COMPUTED_VALUE"""),"Dead Man Bay - Beard 5★ #55C")</f>
        <v>Dead Man Bay - Beard 5★ #55C</v>
      </c>
      <c r="P828" s="246">
        <f>IFERROR(__xludf.DUMMYFUNCTION("""COMPUTED_VALUE"""),2.0)</f>
        <v>2</v>
      </c>
      <c r="Q828" s="317"/>
    </row>
    <row r="829" ht="12.75" customHeight="1">
      <c r="G829" s="316" t="s">
        <v>1566</v>
      </c>
      <c r="H829" s="246">
        <v>2.0</v>
      </c>
      <c r="I829" s="315">
        <v>9.769441187964049E-5</v>
      </c>
      <c r="K829" s="246"/>
      <c r="L829" s="316"/>
      <c r="M829" s="317"/>
      <c r="O829" s="329" t="str">
        <f>IFERROR(__xludf.DUMMYFUNCTION("""COMPUTED_VALUE"""),"Dead Man Bay - Beard 5★ #011")</f>
        <v>Dead Man Bay - Beard 5★ #011</v>
      </c>
      <c r="P829" s="246">
        <f>IFERROR(__xludf.DUMMYFUNCTION("""COMPUTED_VALUE"""),2.0)</f>
        <v>2</v>
      </c>
      <c r="Q829" s="317"/>
    </row>
    <row r="830" ht="12.75" customHeight="1">
      <c r="G830" s="316" t="s">
        <v>1567</v>
      </c>
      <c r="H830" s="246">
        <v>2.0</v>
      </c>
      <c r="I830" s="315">
        <v>9.769441187964049E-5</v>
      </c>
      <c r="K830" s="246"/>
      <c r="L830" s="316"/>
      <c r="M830" s="317"/>
      <c r="O830" s="329" t="str">
        <f>IFERROR(__xludf.DUMMYFUNCTION("""COMPUTED_VALUE"""),"Dead Man Bay - Beard 5★ #AC6")</f>
        <v>Dead Man Bay - Beard 5★ #AC6</v>
      </c>
      <c r="P830" s="246">
        <f>IFERROR(__xludf.DUMMYFUNCTION("""COMPUTED_VALUE"""),2.0)</f>
        <v>2</v>
      </c>
      <c r="Q830" s="317"/>
    </row>
    <row r="831" ht="12.75" customHeight="1">
      <c r="G831" s="316" t="s">
        <v>1568</v>
      </c>
      <c r="H831" s="246">
        <v>2.0</v>
      </c>
      <c r="I831" s="315">
        <v>9.769441187964049E-5</v>
      </c>
      <c r="K831" s="246"/>
      <c r="L831" s="316"/>
      <c r="M831" s="317"/>
      <c r="O831" s="329" t="str">
        <f>IFERROR(__xludf.DUMMYFUNCTION("""COMPUTED_VALUE"""),"Dead Man Bay - Beard 5★ #57B")</f>
        <v>Dead Man Bay - Beard 5★ #57B</v>
      </c>
      <c r="P831" s="246">
        <f>IFERROR(__xludf.DUMMYFUNCTION("""COMPUTED_VALUE"""),2.0)</f>
        <v>2</v>
      </c>
      <c r="Q831" s="317"/>
    </row>
    <row r="832" ht="12.75" customHeight="1">
      <c r="G832" s="316" t="s">
        <v>1569</v>
      </c>
      <c r="H832" s="246">
        <v>2.0</v>
      </c>
      <c r="I832" s="315">
        <v>9.769441187964049E-5</v>
      </c>
      <c r="K832" s="246"/>
      <c r="L832" s="316"/>
      <c r="M832" s="317"/>
      <c r="O832" s="329" t="str">
        <f>IFERROR(__xludf.DUMMYFUNCTION("""COMPUTED_VALUE"""),"Dead Man Bay - Beard 5★ #030")</f>
        <v>Dead Man Bay - Beard 5★ #030</v>
      </c>
      <c r="P832" s="246">
        <f>IFERROR(__xludf.DUMMYFUNCTION("""COMPUTED_VALUE"""),2.0)</f>
        <v>2</v>
      </c>
      <c r="Q832" s="317"/>
    </row>
    <row r="833" ht="12.75" customHeight="1">
      <c r="G833" s="316"/>
      <c r="H833" s="246"/>
      <c r="I833" s="315"/>
      <c r="K833" s="246"/>
      <c r="L833" s="316"/>
      <c r="M833" s="317"/>
      <c r="O833" s="329"/>
      <c r="P833" s="246"/>
      <c r="Q833" s="317"/>
    </row>
    <row r="834" ht="12.75" customHeight="1">
      <c r="G834" s="316"/>
      <c r="H834" s="246"/>
      <c r="I834" s="315"/>
      <c r="K834" s="246"/>
      <c r="L834" s="316"/>
      <c r="M834" s="317"/>
      <c r="O834" s="329"/>
      <c r="P834" s="246"/>
      <c r="Q834" s="317"/>
    </row>
    <row r="835" ht="12.75" customHeight="1">
      <c r="G835" s="316"/>
      <c r="H835" s="246"/>
      <c r="I835" s="315"/>
      <c r="K835" s="246"/>
      <c r="L835" s="316"/>
      <c r="M835" s="317"/>
      <c r="O835" s="329"/>
      <c r="P835" s="246"/>
      <c r="Q835" s="317"/>
    </row>
    <row r="836" ht="12.75" customHeight="1">
      <c r="G836" s="316"/>
      <c r="H836" s="246"/>
      <c r="I836" s="315"/>
      <c r="K836" s="246"/>
      <c r="L836" s="316"/>
      <c r="M836" s="317"/>
      <c r="O836" s="329"/>
      <c r="P836" s="246"/>
      <c r="Q836" s="317"/>
    </row>
    <row r="837" ht="12.75" customHeight="1">
      <c r="G837" s="316"/>
      <c r="H837" s="246"/>
      <c r="I837" s="315"/>
      <c r="K837" s="246"/>
      <c r="L837" s="316"/>
      <c r="M837" s="317"/>
      <c r="O837" s="329"/>
      <c r="P837" s="246"/>
      <c r="Q837" s="317"/>
    </row>
    <row r="838" ht="12.75" customHeight="1">
      <c r="G838" s="316"/>
      <c r="H838" s="246"/>
      <c r="I838" s="315"/>
      <c r="K838" s="246"/>
      <c r="L838" s="316"/>
      <c r="M838" s="317"/>
      <c r="O838" s="329"/>
      <c r="P838" s="246"/>
      <c r="Q838" s="317"/>
    </row>
    <row r="839" ht="12.75" customHeight="1">
      <c r="G839" s="316"/>
      <c r="H839" s="246"/>
      <c r="I839" s="315"/>
      <c r="K839" s="246"/>
      <c r="L839" s="316"/>
      <c r="M839" s="317"/>
      <c r="O839" s="329"/>
      <c r="P839" s="246"/>
      <c r="Q839" s="317"/>
    </row>
    <row r="840" ht="12.75" customHeight="1">
      <c r="G840" s="316"/>
      <c r="H840" s="246"/>
      <c r="I840" s="315"/>
      <c r="K840" s="246"/>
      <c r="L840" s="316"/>
      <c r="M840" s="317"/>
      <c r="O840" s="329"/>
      <c r="P840" s="246"/>
      <c r="Q840" s="317"/>
    </row>
    <row r="841" ht="12.75" customHeight="1">
      <c r="G841" s="316"/>
      <c r="H841" s="246"/>
      <c r="I841" s="315"/>
      <c r="K841" s="246"/>
      <c r="L841" s="316"/>
      <c r="M841" s="317"/>
      <c r="O841" s="329"/>
      <c r="P841" s="246"/>
      <c r="Q841" s="317"/>
    </row>
    <row r="842" ht="12.75" customHeight="1">
      <c r="G842" s="316"/>
      <c r="H842" s="246"/>
      <c r="I842" s="315"/>
      <c r="K842" s="246"/>
      <c r="L842" s="316"/>
      <c r="M842" s="317"/>
      <c r="O842" s="329"/>
      <c r="P842" s="246"/>
      <c r="Q842" s="317"/>
    </row>
    <row r="843" ht="12.75" customHeight="1">
      <c r="G843" s="316"/>
      <c r="H843" s="246"/>
      <c r="I843" s="315"/>
      <c r="K843" s="246"/>
      <c r="L843" s="316"/>
      <c r="M843" s="317"/>
      <c r="O843" s="329"/>
      <c r="P843" s="246"/>
      <c r="Q843" s="317"/>
    </row>
    <row r="844" ht="12.75" customHeight="1">
      <c r="G844" s="316"/>
      <c r="H844" s="246"/>
      <c r="I844" s="315"/>
      <c r="K844" s="246"/>
      <c r="L844" s="316"/>
      <c r="M844" s="317"/>
      <c r="O844" s="329"/>
      <c r="P844" s="246"/>
      <c r="Q844" s="317"/>
    </row>
    <row r="845" ht="12.75" customHeight="1">
      <c r="G845" s="316"/>
      <c r="H845" s="246"/>
      <c r="I845" s="315"/>
      <c r="K845" s="246"/>
      <c r="L845" s="316"/>
      <c r="M845" s="317"/>
      <c r="O845" s="329"/>
      <c r="P845" s="246"/>
      <c r="Q845" s="317"/>
    </row>
    <row r="846" ht="12.75" customHeight="1">
      <c r="G846" s="316"/>
      <c r="H846" s="246"/>
      <c r="I846" s="315"/>
      <c r="K846" s="246"/>
      <c r="L846" s="316"/>
      <c r="M846" s="317"/>
      <c r="O846" s="329"/>
      <c r="P846" s="246"/>
      <c r="Q846" s="317"/>
    </row>
    <row r="847" ht="12.75" customHeight="1">
      <c r="G847" s="316"/>
      <c r="H847" s="246"/>
      <c r="I847" s="315"/>
      <c r="K847" s="246"/>
      <c r="L847" s="316"/>
      <c r="M847" s="317"/>
      <c r="O847" s="329"/>
      <c r="P847" s="246"/>
      <c r="Q847" s="317"/>
    </row>
    <row r="848" ht="12.75" customHeight="1">
      <c r="G848" s="316"/>
      <c r="H848" s="246"/>
      <c r="I848" s="315"/>
      <c r="K848" s="246"/>
      <c r="L848" s="316"/>
      <c r="M848" s="317"/>
      <c r="O848" s="329"/>
      <c r="P848" s="246"/>
      <c r="Q848" s="317"/>
    </row>
    <row r="849" ht="12.75" customHeight="1">
      <c r="G849" s="316"/>
      <c r="H849" s="246"/>
      <c r="I849" s="315"/>
      <c r="K849" s="246"/>
      <c r="L849" s="316"/>
      <c r="M849" s="317"/>
      <c r="O849" s="329"/>
      <c r="P849" s="246"/>
      <c r="Q849" s="317"/>
    </row>
    <row r="850" ht="12.75" customHeight="1">
      <c r="G850" s="316"/>
      <c r="H850" s="246"/>
      <c r="I850" s="315"/>
      <c r="K850" s="246"/>
      <c r="L850" s="316"/>
      <c r="M850" s="317"/>
      <c r="O850" s="329"/>
      <c r="P850" s="246"/>
      <c r="Q850" s="317"/>
    </row>
    <row r="851" ht="12.75" customHeight="1">
      <c r="G851" s="316"/>
      <c r="H851" s="246"/>
      <c r="I851" s="315"/>
      <c r="K851" s="246"/>
      <c r="L851" s="316"/>
      <c r="M851" s="317"/>
      <c r="O851" s="329"/>
      <c r="P851" s="246"/>
      <c r="Q851" s="317"/>
    </row>
    <row r="852" ht="12.75" customHeight="1">
      <c r="G852" s="316"/>
      <c r="H852" s="246"/>
      <c r="I852" s="315"/>
      <c r="K852" s="246"/>
      <c r="L852" s="316"/>
      <c r="M852" s="317"/>
      <c r="O852" s="329"/>
      <c r="P852" s="246"/>
      <c r="Q852" s="317"/>
    </row>
    <row r="853" ht="12.75" customHeight="1">
      <c r="G853" s="316"/>
      <c r="H853" s="246"/>
      <c r="I853" s="315"/>
      <c r="K853" s="246"/>
      <c r="L853" s="316"/>
      <c r="M853" s="317"/>
      <c r="O853" s="329"/>
      <c r="P853" s="246"/>
      <c r="Q853" s="317"/>
    </row>
    <row r="854" ht="12.75" customHeight="1">
      <c r="G854" s="316"/>
      <c r="H854" s="246"/>
      <c r="I854" s="315"/>
      <c r="K854" s="246"/>
      <c r="L854" s="316"/>
      <c r="M854" s="317"/>
      <c r="O854" s="329"/>
      <c r="P854" s="246"/>
      <c r="Q854" s="317"/>
    </row>
    <row r="855" ht="12.75" customHeight="1">
      <c r="G855" s="316"/>
      <c r="H855" s="246"/>
      <c r="I855" s="315"/>
      <c r="K855" s="246"/>
      <c r="L855" s="316"/>
      <c r="M855" s="317"/>
      <c r="O855" s="329"/>
      <c r="P855" s="246"/>
      <c r="Q855" s="317"/>
    </row>
    <row r="856" ht="12.75" customHeight="1">
      <c r="G856" s="316"/>
      <c r="H856" s="246"/>
      <c r="I856" s="315"/>
      <c r="K856" s="246"/>
      <c r="L856" s="316"/>
      <c r="M856" s="317"/>
      <c r="O856" s="329"/>
      <c r="P856" s="246"/>
      <c r="Q856" s="317"/>
    </row>
    <row r="857" ht="12.75" customHeight="1">
      <c r="G857" s="316"/>
      <c r="H857" s="246"/>
      <c r="I857" s="315"/>
      <c r="K857" s="246"/>
      <c r="L857" s="316"/>
      <c r="M857" s="317"/>
      <c r="O857" s="329"/>
      <c r="P857" s="246"/>
      <c r="Q857" s="317"/>
    </row>
    <row r="858" ht="12.75" customHeight="1">
      <c r="G858" s="316"/>
      <c r="H858" s="246"/>
      <c r="I858" s="315"/>
      <c r="K858" s="246"/>
      <c r="L858" s="316"/>
      <c r="M858" s="317"/>
      <c r="O858" s="329"/>
      <c r="P858" s="246"/>
      <c r="Q858" s="317"/>
    </row>
    <row r="859" ht="12.75" customHeight="1">
      <c r="G859" s="316"/>
      <c r="H859" s="246"/>
      <c r="I859" s="315"/>
      <c r="K859" s="246"/>
      <c r="L859" s="316"/>
      <c r="M859" s="317"/>
      <c r="O859" s="329"/>
      <c r="P859" s="246"/>
      <c r="Q859" s="317"/>
    </row>
    <row r="860" ht="12.75" customHeight="1">
      <c r="G860" s="316"/>
      <c r="H860" s="246"/>
      <c r="I860" s="315"/>
      <c r="K860" s="246"/>
      <c r="L860" s="316"/>
      <c r="M860" s="317"/>
      <c r="O860" s="329"/>
      <c r="P860" s="246"/>
      <c r="Q860" s="317"/>
    </row>
    <row r="861" ht="12.75" customHeight="1">
      <c r="G861" s="316"/>
      <c r="H861" s="246"/>
      <c r="I861" s="315"/>
      <c r="K861" s="246"/>
      <c r="L861" s="316"/>
      <c r="M861" s="317"/>
      <c r="O861" s="329"/>
      <c r="P861" s="246"/>
      <c r="Q861" s="317"/>
    </row>
    <row r="862" ht="12.75" customHeight="1">
      <c r="G862" s="316"/>
      <c r="H862" s="246"/>
      <c r="I862" s="315"/>
      <c r="K862" s="246"/>
      <c r="L862" s="316"/>
      <c r="M862" s="317"/>
      <c r="O862" s="329"/>
      <c r="P862" s="246"/>
      <c r="Q862" s="317"/>
    </row>
    <row r="863" ht="12.75" customHeight="1">
      <c r="G863" s="316"/>
      <c r="H863" s="246"/>
      <c r="I863" s="315"/>
      <c r="K863" s="246"/>
      <c r="L863" s="316"/>
      <c r="M863" s="317"/>
      <c r="O863" s="329"/>
      <c r="P863" s="246"/>
      <c r="Q863" s="317"/>
    </row>
    <row r="864" ht="12.75" customHeight="1">
      <c r="G864" s="316"/>
      <c r="H864" s="246"/>
      <c r="I864" s="315"/>
      <c r="K864" s="246"/>
      <c r="L864" s="316"/>
      <c r="M864" s="317"/>
      <c r="O864" s="329"/>
      <c r="P864" s="246"/>
      <c r="Q864" s="317"/>
    </row>
    <row r="865" ht="12.75" customHeight="1">
      <c r="G865" s="316"/>
      <c r="H865" s="246"/>
      <c r="I865" s="315"/>
      <c r="K865" s="246"/>
      <c r="L865" s="316"/>
      <c r="M865" s="317"/>
      <c r="O865" s="329"/>
      <c r="P865" s="246"/>
      <c r="Q865" s="317"/>
    </row>
    <row r="866" ht="12.75" customHeight="1">
      <c r="G866" s="316"/>
      <c r="H866" s="246"/>
      <c r="I866" s="315"/>
      <c r="K866" s="246"/>
      <c r="L866" s="316"/>
      <c r="M866" s="317"/>
      <c r="O866" s="329"/>
      <c r="P866" s="246"/>
      <c r="Q866" s="317"/>
    </row>
    <row r="867" ht="12.75" customHeight="1">
      <c r="G867" s="316"/>
      <c r="H867" s="246"/>
      <c r="I867" s="315"/>
      <c r="K867" s="246"/>
      <c r="L867" s="316"/>
      <c r="M867" s="317"/>
      <c r="O867" s="329"/>
      <c r="P867" s="246"/>
      <c r="Q867" s="317"/>
    </row>
    <row r="868" ht="12.75" customHeight="1">
      <c r="G868" s="316"/>
      <c r="H868" s="246"/>
      <c r="I868" s="315"/>
      <c r="K868" s="246"/>
      <c r="L868" s="316"/>
      <c r="M868" s="317"/>
      <c r="O868" s="329"/>
      <c r="P868" s="246"/>
      <c r="Q868" s="317"/>
    </row>
    <row r="869" ht="12.75" customHeight="1">
      <c r="G869" s="316"/>
      <c r="H869" s="246"/>
      <c r="I869" s="315"/>
      <c r="K869" s="246"/>
      <c r="L869" s="316"/>
      <c r="M869" s="317"/>
      <c r="O869" s="329"/>
      <c r="P869" s="246"/>
      <c r="Q869" s="317"/>
    </row>
    <row r="870" ht="12.75" customHeight="1">
      <c r="G870" s="316"/>
      <c r="H870" s="246"/>
      <c r="I870" s="315"/>
      <c r="K870" s="246"/>
      <c r="L870" s="316"/>
      <c r="M870" s="317"/>
      <c r="O870" s="329"/>
      <c r="P870" s="246"/>
      <c r="Q870" s="317"/>
    </row>
    <row r="871" ht="12.75" customHeight="1">
      <c r="G871" s="316"/>
      <c r="H871" s="246"/>
      <c r="I871" s="315"/>
      <c r="K871" s="246"/>
      <c r="L871" s="316"/>
      <c r="M871" s="317"/>
      <c r="O871" s="329"/>
      <c r="P871" s="246"/>
      <c r="Q871" s="317"/>
    </row>
    <row r="872" ht="12.75" customHeight="1">
      <c r="G872" s="316"/>
      <c r="H872" s="246"/>
      <c r="I872" s="315"/>
      <c r="K872" s="246"/>
      <c r="L872" s="316"/>
      <c r="M872" s="317"/>
      <c r="O872" s="329"/>
      <c r="P872" s="246"/>
      <c r="Q872" s="317"/>
    </row>
    <row r="873" ht="12.75" customHeight="1">
      <c r="G873" s="316"/>
      <c r="H873" s="246"/>
      <c r="I873" s="315"/>
      <c r="K873" s="246"/>
      <c r="L873" s="316"/>
      <c r="M873" s="317"/>
      <c r="O873" s="329"/>
      <c r="P873" s="246"/>
      <c r="Q873" s="317"/>
    </row>
    <row r="874" ht="12.75" customHeight="1">
      <c r="G874" s="316"/>
      <c r="H874" s="246"/>
      <c r="I874" s="315"/>
      <c r="K874" s="246"/>
      <c r="L874" s="316"/>
      <c r="M874" s="317"/>
      <c r="O874" s="329"/>
      <c r="P874" s="246"/>
      <c r="Q874" s="317"/>
    </row>
    <row r="875" ht="12.75" customHeight="1">
      <c r="G875" s="316"/>
      <c r="H875" s="246"/>
      <c r="I875" s="315"/>
      <c r="K875" s="246"/>
      <c r="L875" s="316"/>
      <c r="M875" s="317"/>
      <c r="O875" s="329"/>
      <c r="P875" s="246"/>
      <c r="Q875" s="317"/>
    </row>
    <row r="876" ht="12.75" customHeight="1">
      <c r="G876" s="316"/>
      <c r="H876" s="246"/>
      <c r="I876" s="315"/>
      <c r="K876" s="246"/>
      <c r="L876" s="316"/>
      <c r="M876" s="317"/>
      <c r="O876" s="329"/>
      <c r="P876" s="246"/>
      <c r="Q876" s="317"/>
    </row>
    <row r="877" ht="12.75" customHeight="1">
      <c r="G877" s="316"/>
      <c r="H877" s="246"/>
      <c r="I877" s="315"/>
      <c r="K877" s="246"/>
      <c r="L877" s="316"/>
      <c r="M877" s="317"/>
      <c r="O877" s="329"/>
      <c r="P877" s="246"/>
      <c r="Q877" s="317"/>
    </row>
    <row r="878" ht="12.75" customHeight="1">
      <c r="G878" s="316"/>
      <c r="H878" s="246"/>
      <c r="I878" s="315"/>
      <c r="K878" s="246"/>
      <c r="L878" s="316"/>
      <c r="M878" s="317"/>
      <c r="O878" s="329"/>
      <c r="P878" s="246"/>
      <c r="Q878" s="317"/>
    </row>
    <row r="879" ht="12.75" customHeight="1">
      <c r="G879" s="316"/>
      <c r="H879" s="246"/>
      <c r="I879" s="315"/>
      <c r="K879" s="246"/>
      <c r="L879" s="316"/>
      <c r="M879" s="317"/>
      <c r="O879" s="329"/>
      <c r="P879" s="246"/>
      <c r="Q879" s="317"/>
    </row>
    <row r="880" ht="12.75" customHeight="1">
      <c r="G880" s="316"/>
      <c r="H880" s="246"/>
      <c r="I880" s="315"/>
      <c r="K880" s="246"/>
      <c r="L880" s="316"/>
      <c r="M880" s="317"/>
      <c r="O880" s="329"/>
      <c r="P880" s="246"/>
      <c r="Q880" s="317"/>
    </row>
    <row r="881" ht="12.75" customHeight="1">
      <c r="G881" s="316"/>
      <c r="H881" s="246"/>
      <c r="I881" s="315"/>
      <c r="K881" s="246"/>
      <c r="L881" s="316"/>
      <c r="M881" s="317"/>
      <c r="O881" s="329"/>
      <c r="P881" s="246"/>
      <c r="Q881" s="317"/>
    </row>
    <row r="882" ht="12.75" customHeight="1">
      <c r="G882" s="316"/>
      <c r="H882" s="246"/>
      <c r="I882" s="315"/>
      <c r="K882" s="246"/>
      <c r="L882" s="316"/>
      <c r="M882" s="317"/>
      <c r="O882" s="329"/>
      <c r="P882" s="246"/>
      <c r="Q882" s="317"/>
    </row>
    <row r="883" ht="12.75" customHeight="1">
      <c r="G883" s="316"/>
      <c r="H883" s="246"/>
      <c r="I883" s="315"/>
      <c r="K883" s="246"/>
      <c r="L883" s="316"/>
      <c r="M883" s="317"/>
      <c r="O883" s="329"/>
      <c r="P883" s="246"/>
      <c r="Q883" s="317"/>
    </row>
    <row r="884" ht="12.75" customHeight="1">
      <c r="G884" s="316"/>
      <c r="H884" s="246"/>
      <c r="I884" s="315"/>
      <c r="K884" s="246"/>
      <c r="L884" s="316"/>
      <c r="M884" s="317"/>
      <c r="O884" s="329"/>
      <c r="P884" s="246"/>
      <c r="Q884" s="317"/>
    </row>
    <row r="885" ht="12.75" customHeight="1">
      <c r="G885" s="316"/>
      <c r="H885" s="246"/>
      <c r="I885" s="315"/>
      <c r="K885" s="246"/>
      <c r="L885" s="316"/>
      <c r="M885" s="317"/>
      <c r="O885" s="329"/>
      <c r="P885" s="246"/>
      <c r="Q885" s="317"/>
    </row>
    <row r="886" ht="12.75" customHeight="1">
      <c r="G886" s="316"/>
      <c r="H886" s="246"/>
      <c r="I886" s="315"/>
      <c r="K886" s="246"/>
      <c r="L886" s="316"/>
      <c r="M886" s="317"/>
      <c r="O886" s="329"/>
      <c r="P886" s="246"/>
      <c r="Q886" s="317"/>
    </row>
    <row r="887" ht="12.75" customHeight="1">
      <c r="G887" s="316"/>
      <c r="H887" s="246"/>
      <c r="I887" s="315"/>
      <c r="K887" s="246"/>
      <c r="L887" s="316"/>
      <c r="M887" s="317"/>
      <c r="O887" s="329"/>
      <c r="P887" s="246"/>
      <c r="Q887" s="317"/>
    </row>
    <row r="888" ht="12.75" customHeight="1">
      <c r="G888" s="316"/>
      <c r="H888" s="246"/>
      <c r="I888" s="315"/>
      <c r="K888" s="246"/>
      <c r="L888" s="316"/>
      <c r="M888" s="317"/>
      <c r="O888" s="329"/>
      <c r="P888" s="246"/>
      <c r="Q888" s="317"/>
    </row>
    <row r="889" ht="12.75" customHeight="1">
      <c r="G889" s="316"/>
      <c r="H889" s="246"/>
      <c r="I889" s="315"/>
      <c r="K889" s="246"/>
      <c r="L889" s="316"/>
      <c r="M889" s="317"/>
      <c r="O889" s="329"/>
      <c r="P889" s="246"/>
      <c r="Q889" s="317"/>
    </row>
    <row r="890" ht="12.75" customHeight="1">
      <c r="G890" s="316"/>
      <c r="H890" s="246"/>
      <c r="I890" s="315"/>
      <c r="K890" s="246"/>
      <c r="L890" s="316"/>
      <c r="M890" s="317"/>
      <c r="O890" s="329"/>
      <c r="P890" s="246"/>
      <c r="Q890" s="317"/>
    </row>
    <row r="891" ht="12.75" customHeight="1">
      <c r="G891" s="316"/>
      <c r="H891" s="246"/>
      <c r="I891" s="315"/>
      <c r="K891" s="246"/>
      <c r="L891" s="316"/>
      <c r="M891" s="317"/>
      <c r="O891" s="329"/>
      <c r="P891" s="246"/>
      <c r="Q891" s="317"/>
    </row>
    <row r="892" ht="12.75" customHeight="1">
      <c r="G892" s="316"/>
      <c r="H892" s="246"/>
      <c r="I892" s="315"/>
      <c r="K892" s="246"/>
      <c r="L892" s="316"/>
      <c r="M892" s="317"/>
      <c r="O892" s="329"/>
      <c r="P892" s="246"/>
      <c r="Q892" s="317"/>
    </row>
    <row r="893" ht="12.75" customHeight="1">
      <c r="G893" s="316"/>
      <c r="H893" s="246"/>
      <c r="I893" s="315"/>
      <c r="K893" s="246"/>
      <c r="L893" s="316"/>
      <c r="M893" s="317"/>
      <c r="O893" s="329"/>
      <c r="P893" s="246"/>
      <c r="Q893" s="317"/>
    </row>
    <row r="894" ht="12.75" customHeight="1">
      <c r="G894" s="316"/>
      <c r="H894" s="246"/>
      <c r="I894" s="315"/>
      <c r="K894" s="246"/>
      <c r="L894" s="316"/>
      <c r="M894" s="317"/>
      <c r="O894" s="329"/>
      <c r="P894" s="246"/>
      <c r="Q894" s="317"/>
    </row>
    <row r="895" ht="12.75" customHeight="1">
      <c r="G895" s="316"/>
      <c r="H895" s="246"/>
      <c r="I895" s="315"/>
      <c r="K895" s="246"/>
      <c r="L895" s="316"/>
      <c r="M895" s="317"/>
      <c r="O895" s="329"/>
      <c r="P895" s="246"/>
      <c r="Q895" s="317"/>
    </row>
    <row r="896" ht="12.75" customHeight="1">
      <c r="G896" s="316"/>
      <c r="H896" s="246"/>
      <c r="I896" s="315"/>
      <c r="K896" s="246"/>
      <c r="L896" s="316"/>
      <c r="M896" s="317"/>
      <c r="O896" s="329"/>
      <c r="P896" s="246"/>
      <c r="Q896" s="317"/>
    </row>
    <row r="897" ht="12.75" customHeight="1">
      <c r="G897" s="316"/>
      <c r="H897" s="246"/>
      <c r="I897" s="315"/>
      <c r="K897" s="246"/>
      <c r="L897" s="316"/>
      <c r="M897" s="317"/>
      <c r="O897" s="329"/>
      <c r="P897" s="246"/>
      <c r="Q897" s="317"/>
    </row>
    <row r="898" ht="12.75" customHeight="1">
      <c r="G898" s="316"/>
      <c r="H898" s="246"/>
      <c r="I898" s="315"/>
      <c r="K898" s="246"/>
      <c r="L898" s="316"/>
      <c r="M898" s="317"/>
      <c r="O898" s="329"/>
      <c r="P898" s="246"/>
      <c r="Q898" s="317"/>
    </row>
    <row r="899" ht="12.75" customHeight="1">
      <c r="G899" s="316"/>
      <c r="H899" s="246"/>
      <c r="I899" s="315"/>
      <c r="K899" s="246"/>
      <c r="L899" s="316"/>
      <c r="M899" s="317"/>
      <c r="O899" s="329"/>
      <c r="P899" s="246"/>
      <c r="Q899" s="317"/>
    </row>
    <row r="900" ht="12.75" customHeight="1">
      <c r="G900" s="316"/>
      <c r="H900" s="246"/>
      <c r="I900" s="315"/>
      <c r="K900" s="246"/>
      <c r="L900" s="316"/>
      <c r="M900" s="317"/>
      <c r="O900" s="329"/>
      <c r="P900" s="246"/>
      <c r="Q900" s="317"/>
    </row>
    <row r="901" ht="12.75" customHeight="1">
      <c r="G901" s="316"/>
      <c r="H901" s="246"/>
      <c r="I901" s="315"/>
      <c r="K901" s="246"/>
      <c r="L901" s="316"/>
      <c r="M901" s="317"/>
      <c r="O901" s="329"/>
      <c r="P901" s="246"/>
      <c r="Q901" s="317"/>
    </row>
    <row r="902" ht="12.75" customHeight="1">
      <c r="G902" s="316"/>
      <c r="H902" s="246"/>
      <c r="I902" s="315"/>
      <c r="K902" s="246"/>
      <c r="L902" s="316"/>
      <c r="M902" s="317"/>
      <c r="O902" s="329"/>
      <c r="P902" s="246"/>
      <c r="Q902" s="317"/>
    </row>
    <row r="903" ht="12.75" customHeight="1">
      <c r="G903" s="316"/>
      <c r="H903" s="246"/>
      <c r="I903" s="315"/>
      <c r="K903" s="246"/>
      <c r="L903" s="316"/>
      <c r="M903" s="317"/>
      <c r="O903" s="329"/>
      <c r="P903" s="246"/>
      <c r="Q903" s="317"/>
    </row>
    <row r="904" ht="12.75" customHeight="1">
      <c r="G904" s="316"/>
      <c r="H904" s="246"/>
      <c r="I904" s="315"/>
      <c r="K904" s="246"/>
      <c r="L904" s="316"/>
      <c r="M904" s="317"/>
      <c r="O904" s="329"/>
      <c r="P904" s="246"/>
      <c r="Q904" s="317"/>
    </row>
    <row r="905" ht="12.75" customHeight="1">
      <c r="G905" s="316"/>
      <c r="H905" s="246"/>
      <c r="I905" s="315"/>
      <c r="K905" s="246"/>
      <c r="L905" s="316"/>
      <c r="M905" s="317"/>
      <c r="O905" s="329"/>
      <c r="P905" s="246"/>
      <c r="Q905" s="317"/>
    </row>
    <row r="906" ht="12.75" customHeight="1">
      <c r="G906" s="316"/>
      <c r="H906" s="246"/>
      <c r="I906" s="315"/>
      <c r="K906" s="246"/>
      <c r="L906" s="316"/>
      <c r="M906" s="317"/>
      <c r="O906" s="329"/>
      <c r="P906" s="246"/>
      <c r="Q906" s="317"/>
    </row>
    <row r="907" ht="12.75" customHeight="1">
      <c r="G907" s="316"/>
      <c r="H907" s="246"/>
      <c r="I907" s="315"/>
      <c r="K907" s="246"/>
      <c r="L907" s="316"/>
      <c r="M907" s="317"/>
      <c r="O907" s="329"/>
      <c r="P907" s="246"/>
      <c r="Q907" s="317"/>
    </row>
    <row r="908" ht="12.75" customHeight="1">
      <c r="G908" s="316"/>
      <c r="H908" s="246"/>
      <c r="I908" s="315"/>
      <c r="K908" s="246"/>
      <c r="L908" s="316"/>
      <c r="M908" s="317"/>
      <c r="O908" s="329"/>
      <c r="P908" s="246"/>
      <c r="Q908" s="317"/>
    </row>
    <row r="909" ht="12.75" customHeight="1">
      <c r="G909" s="316"/>
      <c r="H909" s="246"/>
      <c r="I909" s="315"/>
      <c r="K909" s="246"/>
      <c r="L909" s="316"/>
      <c r="M909" s="317"/>
      <c r="O909" s="329"/>
      <c r="P909" s="246"/>
      <c r="Q909" s="317"/>
    </row>
    <row r="910" ht="12.75" customHeight="1">
      <c r="G910" s="316"/>
      <c r="H910" s="246"/>
      <c r="I910" s="315"/>
      <c r="K910" s="246"/>
      <c r="L910" s="316"/>
      <c r="M910" s="317"/>
      <c r="O910" s="329"/>
      <c r="P910" s="246"/>
      <c r="Q910" s="317"/>
    </row>
    <row r="911" ht="12.75" customHeight="1">
      <c r="G911" s="316"/>
      <c r="H911" s="246"/>
      <c r="I911" s="315"/>
      <c r="K911" s="246"/>
      <c r="L911" s="316"/>
      <c r="M911" s="317"/>
      <c r="O911" s="329"/>
      <c r="P911" s="246"/>
      <c r="Q911" s="317"/>
    </row>
    <row r="912" ht="12.75" customHeight="1">
      <c r="G912" s="316"/>
      <c r="H912" s="246"/>
      <c r="I912" s="315"/>
      <c r="K912" s="246"/>
      <c r="L912" s="316"/>
      <c r="M912" s="317"/>
      <c r="O912" s="329"/>
      <c r="P912" s="246"/>
      <c r="Q912" s="317"/>
    </row>
    <row r="913" ht="12.75" customHeight="1">
      <c r="G913" s="316"/>
      <c r="H913" s="246"/>
      <c r="I913" s="315"/>
      <c r="K913" s="246"/>
      <c r="L913" s="316"/>
      <c r="M913" s="317"/>
      <c r="O913" s="329"/>
      <c r="P913" s="246"/>
      <c r="Q913" s="317"/>
    </row>
    <row r="914" ht="12.75" customHeight="1">
      <c r="G914" s="316"/>
      <c r="H914" s="246"/>
      <c r="I914" s="315"/>
      <c r="K914" s="246"/>
      <c r="L914" s="316"/>
      <c r="M914" s="317"/>
      <c r="O914" s="329"/>
      <c r="P914" s="246"/>
      <c r="Q914" s="317"/>
    </row>
    <row r="915" ht="12.75" customHeight="1">
      <c r="G915" s="316"/>
      <c r="H915" s="246"/>
      <c r="I915" s="315"/>
      <c r="K915" s="246"/>
      <c r="L915" s="316"/>
      <c r="M915" s="317"/>
      <c r="O915" s="329"/>
      <c r="P915" s="246"/>
      <c r="Q915" s="317"/>
    </row>
    <row r="916" ht="12.75" customHeight="1">
      <c r="G916" s="316"/>
      <c r="H916" s="246"/>
      <c r="I916" s="315"/>
      <c r="K916" s="246"/>
      <c r="L916" s="316"/>
      <c r="M916" s="317"/>
      <c r="O916" s="329"/>
      <c r="P916" s="246"/>
      <c r="Q916" s="317"/>
    </row>
    <row r="917" ht="12.75" customHeight="1">
      <c r="G917" s="316"/>
      <c r="H917" s="246"/>
      <c r="I917" s="315"/>
      <c r="K917" s="246"/>
      <c r="L917" s="316"/>
      <c r="M917" s="317"/>
      <c r="O917" s="329"/>
      <c r="P917" s="246"/>
      <c r="Q917" s="317"/>
    </row>
    <row r="918" ht="12.75" customHeight="1">
      <c r="G918" s="316"/>
      <c r="H918" s="246"/>
      <c r="I918" s="315"/>
      <c r="K918" s="246"/>
      <c r="L918" s="316"/>
      <c r="M918" s="317"/>
      <c r="O918" s="329"/>
      <c r="P918" s="246"/>
      <c r="Q918" s="317"/>
    </row>
    <row r="919" ht="12.75" customHeight="1">
      <c r="G919" s="316"/>
      <c r="H919" s="246"/>
      <c r="I919" s="315"/>
      <c r="K919" s="246"/>
      <c r="L919" s="316"/>
      <c r="M919" s="317"/>
      <c r="O919" s="329"/>
      <c r="P919" s="246"/>
      <c r="Q919" s="317"/>
    </row>
    <row r="920" ht="12.75" customHeight="1">
      <c r="G920" s="316"/>
      <c r="H920" s="246"/>
      <c r="I920" s="315"/>
      <c r="K920" s="246"/>
      <c r="L920" s="316"/>
      <c r="M920" s="317"/>
      <c r="O920" s="329"/>
      <c r="P920" s="246"/>
      <c r="Q920" s="317"/>
    </row>
    <row r="921" ht="12.75" customHeight="1">
      <c r="G921" s="316"/>
      <c r="H921" s="246"/>
      <c r="I921" s="315"/>
      <c r="K921" s="246"/>
      <c r="L921" s="316"/>
      <c r="M921" s="317"/>
      <c r="O921" s="329"/>
      <c r="P921" s="246"/>
      <c r="Q921" s="317"/>
    </row>
    <row r="922" ht="12.75" customHeight="1">
      <c r="G922" s="316"/>
      <c r="H922" s="246"/>
      <c r="I922" s="315"/>
      <c r="K922" s="246"/>
      <c r="L922" s="316"/>
      <c r="M922" s="317"/>
      <c r="O922" s="329"/>
      <c r="P922" s="246"/>
      <c r="Q922" s="317"/>
    </row>
    <row r="923" ht="12.75" customHeight="1">
      <c r="G923" s="316"/>
      <c r="H923" s="246"/>
      <c r="I923" s="315"/>
      <c r="K923" s="246"/>
      <c r="L923" s="316"/>
      <c r="M923" s="317"/>
      <c r="O923" s="329"/>
      <c r="P923" s="246"/>
      <c r="Q923" s="317"/>
    </row>
    <row r="924" ht="12.75" customHeight="1">
      <c r="G924" s="316"/>
      <c r="H924" s="246"/>
      <c r="I924" s="315"/>
      <c r="K924" s="246"/>
      <c r="L924" s="316"/>
      <c r="M924" s="317"/>
      <c r="O924" s="329"/>
      <c r="P924" s="246"/>
      <c r="Q924" s="317"/>
    </row>
    <row r="925" ht="12.75" customHeight="1">
      <c r="G925" s="316"/>
      <c r="H925" s="246"/>
      <c r="I925" s="315"/>
      <c r="K925" s="246"/>
      <c r="L925" s="316"/>
      <c r="M925" s="317"/>
      <c r="O925" s="329"/>
      <c r="P925" s="246"/>
      <c r="Q925" s="317"/>
    </row>
    <row r="926" ht="12.75" customHeight="1">
      <c r="G926" s="316"/>
      <c r="H926" s="246"/>
      <c r="I926" s="315"/>
      <c r="K926" s="246"/>
      <c r="L926" s="316"/>
      <c r="M926" s="317"/>
      <c r="O926" s="329"/>
      <c r="P926" s="246"/>
      <c r="Q926" s="317"/>
    </row>
    <row r="927" ht="12.75" customHeight="1">
      <c r="G927" s="316"/>
      <c r="H927" s="246"/>
      <c r="I927" s="315"/>
      <c r="K927" s="246"/>
      <c r="L927" s="316"/>
      <c r="M927" s="317"/>
      <c r="O927" s="329"/>
      <c r="P927" s="246"/>
      <c r="Q927" s="317"/>
    </row>
    <row r="928" ht="12.75" customHeight="1">
      <c r="G928" s="316"/>
      <c r="H928" s="246"/>
      <c r="I928" s="315"/>
      <c r="K928" s="246"/>
      <c r="L928" s="316"/>
      <c r="M928" s="317"/>
      <c r="O928" s="329"/>
      <c r="P928" s="246"/>
      <c r="Q928" s="317"/>
    </row>
    <row r="929" ht="12.75" customHeight="1">
      <c r="G929" s="316"/>
      <c r="H929" s="246"/>
      <c r="I929" s="315"/>
      <c r="K929" s="246"/>
      <c r="L929" s="316"/>
      <c r="M929" s="317"/>
      <c r="O929" s="329"/>
      <c r="P929" s="246"/>
      <c r="Q929" s="317"/>
    </row>
    <row r="930" ht="12.75" customHeight="1">
      <c r="G930" s="316"/>
      <c r="H930" s="246"/>
      <c r="I930" s="315"/>
      <c r="K930" s="246"/>
      <c r="L930" s="316"/>
      <c r="M930" s="317"/>
      <c r="O930" s="329"/>
      <c r="P930" s="246"/>
      <c r="Q930" s="317"/>
    </row>
    <row r="931" ht="12.75" customHeight="1">
      <c r="G931" s="316"/>
      <c r="H931" s="246"/>
      <c r="I931" s="315"/>
      <c r="K931" s="246"/>
      <c r="L931" s="316"/>
      <c r="M931" s="317"/>
      <c r="O931" s="329"/>
      <c r="P931" s="246"/>
      <c r="Q931" s="317"/>
    </row>
    <row r="932" ht="12.75" customHeight="1">
      <c r="G932" s="316"/>
      <c r="H932" s="246"/>
      <c r="I932" s="315"/>
      <c r="K932" s="246"/>
      <c r="L932" s="316"/>
      <c r="M932" s="317"/>
      <c r="O932" s="329"/>
      <c r="P932" s="246"/>
      <c r="Q932" s="317"/>
    </row>
    <row r="933" ht="12.75" customHeight="1">
      <c r="G933" s="316"/>
      <c r="H933" s="246"/>
      <c r="I933" s="315"/>
      <c r="K933" s="246"/>
      <c r="L933" s="316"/>
      <c r="M933" s="317"/>
      <c r="O933" s="329"/>
      <c r="P933" s="246"/>
      <c r="Q933" s="317"/>
    </row>
    <row r="934" ht="12.75" customHeight="1">
      <c r="G934" s="316"/>
      <c r="H934" s="246"/>
      <c r="I934" s="315"/>
      <c r="K934" s="246"/>
      <c r="L934" s="316"/>
      <c r="M934" s="317"/>
      <c r="O934" s="329"/>
      <c r="P934" s="246"/>
      <c r="Q934" s="317"/>
    </row>
    <row r="935" ht="12.75" customHeight="1">
      <c r="G935" s="316"/>
      <c r="H935" s="246"/>
      <c r="I935" s="315"/>
      <c r="K935" s="246"/>
      <c r="L935" s="316"/>
      <c r="M935" s="317"/>
      <c r="O935" s="329"/>
      <c r="P935" s="246"/>
      <c r="Q935" s="317"/>
    </row>
    <row r="936" ht="12.75" customHeight="1">
      <c r="G936" s="316"/>
      <c r="H936" s="246"/>
      <c r="I936" s="315"/>
      <c r="K936" s="246"/>
      <c r="L936" s="316"/>
      <c r="M936" s="317"/>
      <c r="O936" s="329"/>
      <c r="P936" s="246"/>
      <c r="Q936" s="317"/>
    </row>
    <row r="937" ht="12.75" customHeight="1">
      <c r="G937" s="316"/>
      <c r="H937" s="246"/>
      <c r="I937" s="315"/>
      <c r="K937" s="246"/>
      <c r="L937" s="316"/>
      <c r="M937" s="317"/>
      <c r="O937" s="329"/>
      <c r="P937" s="246"/>
      <c r="Q937" s="317"/>
    </row>
    <row r="938" ht="12.75" customHeight="1">
      <c r="G938" s="316"/>
      <c r="H938" s="246"/>
      <c r="I938" s="315"/>
      <c r="K938" s="246"/>
      <c r="L938" s="316"/>
      <c r="M938" s="317"/>
      <c r="O938" s="329"/>
      <c r="P938" s="246"/>
      <c r="Q938" s="317"/>
    </row>
    <row r="939" ht="12.75" customHeight="1">
      <c r="G939" s="316"/>
      <c r="H939" s="246"/>
      <c r="I939" s="315"/>
      <c r="K939" s="246"/>
      <c r="L939" s="316"/>
      <c r="M939" s="317"/>
      <c r="O939" s="329"/>
      <c r="P939" s="246"/>
      <c r="Q939" s="317"/>
    </row>
    <row r="940" ht="12.75" customHeight="1">
      <c r="G940" s="316"/>
      <c r="H940" s="246"/>
      <c r="I940" s="315"/>
      <c r="K940" s="246"/>
      <c r="L940" s="316"/>
      <c r="M940" s="317"/>
      <c r="O940" s="329"/>
      <c r="P940" s="246"/>
      <c r="Q940" s="317"/>
    </row>
    <row r="941" ht="12.75" customHeight="1">
      <c r="G941" s="316"/>
      <c r="H941" s="246"/>
      <c r="I941" s="315"/>
      <c r="K941" s="246"/>
      <c r="L941" s="316"/>
      <c r="M941" s="317"/>
      <c r="O941" s="329"/>
      <c r="P941" s="246"/>
      <c r="Q941" s="317"/>
    </row>
    <row r="942" ht="12.75" customHeight="1">
      <c r="G942" s="316"/>
      <c r="H942" s="246"/>
      <c r="I942" s="315"/>
      <c r="K942" s="246"/>
      <c r="L942" s="316"/>
      <c r="M942" s="317"/>
      <c r="O942" s="329"/>
      <c r="P942" s="246"/>
      <c r="Q942" s="317"/>
    </row>
    <row r="943" ht="12.75" customHeight="1">
      <c r="G943" s="316"/>
      <c r="H943" s="246"/>
      <c r="I943" s="315"/>
      <c r="K943" s="246"/>
      <c r="L943" s="316"/>
      <c r="M943" s="317"/>
      <c r="O943" s="329"/>
      <c r="P943" s="246"/>
      <c r="Q943" s="317"/>
    </row>
    <row r="944" ht="12.75" customHeight="1">
      <c r="G944" s="316"/>
      <c r="H944" s="246"/>
      <c r="I944" s="315"/>
      <c r="K944" s="246"/>
      <c r="L944" s="316"/>
      <c r="M944" s="317"/>
      <c r="O944" s="329"/>
      <c r="P944" s="246"/>
      <c r="Q944" s="317"/>
    </row>
    <row r="945" ht="12.75" customHeight="1">
      <c r="G945" s="316"/>
      <c r="H945" s="246"/>
      <c r="I945" s="315"/>
      <c r="K945" s="246"/>
      <c r="L945" s="316"/>
      <c r="M945" s="317"/>
      <c r="O945" s="329"/>
      <c r="P945" s="246"/>
      <c r="Q945" s="317"/>
    </row>
    <row r="946" ht="12.75" customHeight="1">
      <c r="G946" s="316"/>
      <c r="H946" s="246"/>
      <c r="I946" s="315"/>
      <c r="K946" s="246"/>
      <c r="L946" s="316"/>
      <c r="M946" s="317"/>
      <c r="O946" s="329"/>
      <c r="P946" s="246"/>
      <c r="Q946" s="317"/>
    </row>
    <row r="947" ht="12.75" customHeight="1">
      <c r="G947" s="316"/>
      <c r="H947" s="246"/>
      <c r="I947" s="315"/>
      <c r="K947" s="246"/>
      <c r="L947" s="316"/>
      <c r="M947" s="317"/>
      <c r="O947" s="329"/>
      <c r="P947" s="246"/>
      <c r="Q947" s="317"/>
    </row>
    <row r="948" ht="12.75" customHeight="1">
      <c r="G948" s="316"/>
      <c r="H948" s="246"/>
      <c r="I948" s="315"/>
      <c r="K948" s="246"/>
      <c r="L948" s="316"/>
      <c r="M948" s="317"/>
      <c r="O948" s="329"/>
      <c r="P948" s="246"/>
      <c r="Q948" s="317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5" width="12.13"/>
    <col customWidth="1" min="6" max="6" width="11.75"/>
    <col customWidth="1" min="7" max="7" width="17.75"/>
    <col customWidth="1" min="8" max="44" width="8.63"/>
  </cols>
  <sheetData>
    <row r="1" ht="12.75" customHeight="1">
      <c r="A1" s="271" t="s">
        <v>1570</v>
      </c>
      <c r="B1" s="271"/>
      <c r="C1" s="271"/>
      <c r="D1" s="271"/>
      <c r="E1" s="271"/>
      <c r="F1" s="271"/>
      <c r="G1" s="271"/>
    </row>
    <row r="2" ht="12.75" customHeight="1">
      <c r="A2" s="274" t="s">
        <v>1571</v>
      </c>
      <c r="B2" s="275" t="s">
        <v>1572</v>
      </c>
      <c r="C2" s="276" t="s">
        <v>1573</v>
      </c>
      <c r="D2" s="276" t="s">
        <v>1574</v>
      </c>
      <c r="E2" s="275" t="s">
        <v>1575</v>
      </c>
      <c r="F2" s="276" t="s">
        <v>1576</v>
      </c>
      <c r="G2" s="276" t="s">
        <v>1577</v>
      </c>
    </row>
    <row r="3" ht="12.75" customHeight="1">
      <c r="A3" s="351" t="s">
        <v>450</v>
      </c>
      <c r="B3" s="303" t="s">
        <v>1578</v>
      </c>
      <c r="C3" s="303">
        <v>0.0</v>
      </c>
      <c r="D3" s="303" t="s">
        <v>1579</v>
      </c>
      <c r="E3" s="303">
        <v>15.0</v>
      </c>
      <c r="F3" s="278">
        <v>9.0</v>
      </c>
      <c r="G3" s="303" t="s">
        <v>1580</v>
      </c>
    </row>
    <row r="4" ht="12.75" customHeight="1">
      <c r="A4" s="351" t="s">
        <v>452</v>
      </c>
      <c r="B4" s="303" t="s">
        <v>1581</v>
      </c>
      <c r="C4" s="303">
        <v>0.0</v>
      </c>
      <c r="D4" s="303" t="s">
        <v>1579</v>
      </c>
      <c r="E4" s="303">
        <v>15.0</v>
      </c>
      <c r="F4" s="278">
        <v>9.0</v>
      </c>
      <c r="G4" s="303" t="s">
        <v>1580</v>
      </c>
    </row>
    <row r="5" ht="12.75" customHeight="1">
      <c r="A5" s="351" t="s">
        <v>453</v>
      </c>
      <c r="B5" s="303" t="s">
        <v>1578</v>
      </c>
      <c r="C5" s="303">
        <v>30.0</v>
      </c>
      <c r="D5" s="303" t="s">
        <v>1582</v>
      </c>
      <c r="E5" s="303">
        <v>150.0</v>
      </c>
      <c r="F5" s="278">
        <v>18.0</v>
      </c>
      <c r="G5" s="303" t="s">
        <v>1580</v>
      </c>
    </row>
    <row r="6" ht="12.75" customHeight="1">
      <c r="A6" s="351" t="s">
        <v>454</v>
      </c>
      <c r="B6" s="303" t="s">
        <v>1581</v>
      </c>
      <c r="C6" s="303">
        <v>30.0</v>
      </c>
      <c r="D6" s="303" t="s">
        <v>1582</v>
      </c>
      <c r="E6" s="303">
        <v>150.0</v>
      </c>
      <c r="F6" s="278">
        <v>18.0</v>
      </c>
      <c r="G6" s="303" t="s">
        <v>1580</v>
      </c>
    </row>
    <row r="7" ht="12.75" customHeight="1">
      <c r="A7" s="351" t="s">
        <v>455</v>
      </c>
      <c r="B7" s="303" t="s">
        <v>1578</v>
      </c>
      <c r="C7" s="303">
        <v>300.0</v>
      </c>
      <c r="D7" s="278">
        <v>600.0</v>
      </c>
      <c r="E7" s="303">
        <v>500.0</v>
      </c>
      <c r="F7" s="278">
        <v>27.0</v>
      </c>
      <c r="G7" s="303" t="s">
        <v>1580</v>
      </c>
    </row>
    <row r="8" ht="12.75" customHeight="1">
      <c r="A8" s="351" t="s">
        <v>456</v>
      </c>
      <c r="B8" s="303" t="s">
        <v>1581</v>
      </c>
      <c r="C8" s="303">
        <v>300.0</v>
      </c>
      <c r="D8" s="278">
        <v>600.0</v>
      </c>
      <c r="E8" s="303">
        <v>500.0</v>
      </c>
      <c r="F8" s="278">
        <v>27.0</v>
      </c>
      <c r="G8" s="303" t="s">
        <v>1580</v>
      </c>
    </row>
    <row r="9" ht="12.75" customHeight="1"/>
    <row r="10" ht="12.75" customHeight="1">
      <c r="A10" s="271" t="s">
        <v>1583</v>
      </c>
      <c r="B10" s="271"/>
      <c r="C10" s="271"/>
      <c r="D10" s="271"/>
      <c r="E10" s="271"/>
    </row>
    <row r="11" ht="12.75" customHeight="1">
      <c r="A11" s="274" t="s">
        <v>458</v>
      </c>
      <c r="B11" s="275" t="s">
        <v>459</v>
      </c>
      <c r="C11" s="274" t="s">
        <v>1584</v>
      </c>
      <c r="D11" s="352"/>
      <c r="E11" s="352"/>
    </row>
    <row r="12" ht="12.75" customHeight="1">
      <c r="A12" s="277" t="s">
        <v>1585</v>
      </c>
      <c r="B12" s="303">
        <v>250.0</v>
      </c>
      <c r="C12" s="279" t="s">
        <v>1586</v>
      </c>
    </row>
    <row r="13" ht="12.75" customHeight="1">
      <c r="A13" s="277" t="s">
        <v>1587</v>
      </c>
      <c r="B13" s="303">
        <v>14.0</v>
      </c>
      <c r="C13" s="279" t="s">
        <v>1588</v>
      </c>
    </row>
    <row r="14" ht="12.75" customHeight="1">
      <c r="A14" s="277" t="s">
        <v>1589</v>
      </c>
      <c r="B14" s="306">
        <v>0.95</v>
      </c>
      <c r="C14" s="279" t="s">
        <v>1590</v>
      </c>
    </row>
    <row r="15" ht="12.75" customHeight="1"/>
    <row r="16" ht="12.75" customHeight="1"/>
    <row r="17" ht="12.75" customHeight="1">
      <c r="A17" s="353" t="s">
        <v>1591</v>
      </c>
      <c r="B17" s="271"/>
      <c r="C17" s="271"/>
      <c r="D17" s="271"/>
      <c r="E17" s="271"/>
    </row>
    <row r="18" ht="12.75" customHeight="1">
      <c r="A18" s="274" t="s">
        <v>1571</v>
      </c>
      <c r="B18" s="354" t="s">
        <v>1592</v>
      </c>
    </row>
    <row r="19" ht="12.75" customHeight="1">
      <c r="A19" s="351" t="s">
        <v>450</v>
      </c>
      <c r="B19" s="355" t="str">
        <f>IFERROR(__xludf.DUMMYFUNCTION("LET(
  w, ARRAYFORMULA(VALUE(SPLIT(G3,""/""))),
  dw, MAP(SEQUENCE(29), LAMBDA(d, INDEX(w,1,MOD(d-1,7)+1))),
  k, MAP(dw, LAMBDA(wt, RAND()^(1/wt))),
  t, LARGE(k, F3),
  lv, MAP(k, LAMBDA(x, IF(x&gt;=t, RANDBETWEEN(C3,D3), 0))),
  TEXTJOIN("";"", FALSE, lv)"&amp;"
)"),"0;0;0;0;0;0;25;0;18;0;17;24;0;7;0;0;0;5;0;0;13;0;0;0;0;0;4;0;0")</f>
        <v>0;0;0;0;0;0;25;0;18;0;17;24;0;7;0;0;0;5;0;0;13;0;0;0;0;0;4;0;0</v>
      </c>
    </row>
    <row r="20" ht="12.75" customHeight="1">
      <c r="A20" s="351" t="s">
        <v>452</v>
      </c>
      <c r="B20" s="355" t="str">
        <f>IFERROR(__xludf.DUMMYFUNCTION("LET(
  w, ARRAYFORMULA(VALUE(SPLIT(G4,""/""))),
  dw, MAP(SEQUENCE(29), LAMBDA(d, INDEX(w,1,MOD(d-1,7)+1))),
  k, MAP(dw, LAMBDA(wt, RAND()^(1/wt))),
  t, LARGE(k, F4),
  lv, MAP(k, LAMBDA(x, IF(x&gt;=t, RANDBETWEEN(C4,D4), 0))),
  TEXTJOIN("";"", FALSE, lv)"&amp;"
)"),"0;0;0;29;0;15;20;0;0;0;0;19;0;0;0;0;0;0;0;0;18;0;12;0;0;0;0;20;12")</f>
        <v>0;0;0;29;0;15;20;0;0;0;0;19;0;0;0;0;0;0;0;0;18;0;12;0;0;0;0;20;12</v>
      </c>
    </row>
    <row r="21" ht="12.75" customHeight="1">
      <c r="A21" s="351" t="s">
        <v>453</v>
      </c>
      <c r="B21" s="355" t="str">
        <f>IFERROR(__xludf.DUMMYFUNCTION("LET(
  w, ARRAYFORMULA(VALUE(SPLIT(G5,""/""))),
  dw, MAP(SEQUENCE(29), LAMBDA(d, INDEX(w,1,MOD(d-1,7)+1))),
  k, MAP(dw, LAMBDA(wt, RAND()^(1/wt))),
  t, LARGE(k, F5),
  lv, MAP(k, LAMBDA(x, IF(x&gt;=t, RANDBETWEEN(C5,D5), 0))),
  TEXTJOIN("";"", FALSE, lv)"&amp;"
)"),"236;46;0;108;0;280;98;0;0;0;0;253;158;145;0;0;234;192;247;180;252;0;45;0;208;253;31;233;0")</f>
        <v>236;46;0;108;0;280;98;0;0;0;0;253;158;145;0;0;234;192;247;180;252;0;45;0;208;253;31;233;0</v>
      </c>
    </row>
    <row r="22" ht="12.75" customHeight="1">
      <c r="A22" s="351" t="s">
        <v>454</v>
      </c>
      <c r="B22" s="355" t="str">
        <f>IFERROR(__xludf.DUMMYFUNCTION("LET(
  w, ARRAYFORMULA(VALUE(SPLIT(G6,""/""))),
  dw, MAP(SEQUENCE(29), LAMBDA(d, INDEX(w,1,MOD(d-1,7)+1))),
  k, MAP(dw, LAMBDA(wt, RAND()^(1/wt))),
  t, LARGE(k, F6),
  lv, MAP(k, LAMBDA(x, IF(x&gt;=t, RANDBETWEEN(C6,D6), 0))),
  TEXTJOIN("";"", FALSE, lv)"&amp;"
)"),"0;201;0;165;159;0;180;0;149;0;75;109;245;30;0;0;0;0;150;162;233;211;236;0;199;108;30;168;0")</f>
        <v>0;201;0;165;159;0;180;0;149;0;75;109;245;30;0;0;0;0;150;162;233;211;236;0;199;108;30;168;0</v>
      </c>
    </row>
    <row r="23" ht="12.75" customHeight="1">
      <c r="A23" s="351" t="s">
        <v>455</v>
      </c>
      <c r="B23" s="355" t="str">
        <f>IFERROR(__xludf.DUMMYFUNCTION("LET(
  w, ARRAYFORMULA(VALUE(SPLIT(G7,""/""))),
  dw, MAP(SEQUENCE(29), LAMBDA(d, INDEX(w,1,MOD(d-1,7)+1))),
  k, MAP(dw, LAMBDA(wt, RAND()^(1/wt))),
  t, LARGE(k, F7),
  lv, MAP(k, LAMBDA(x, IF(x&gt;=t, RANDBETWEEN(C7,D7), 0))),
  TEXTJOIN("";"", FALSE, lv)"&amp;"
)"),"466;521;591;472;402;593;565;430;506;0;395;526;430;425;310;563;595;551;558;499;516;418;0;442;487;322;507;300;414")</f>
        <v>466;521;591;472;402;593;565;430;506;0;395;526;430;425;310;563;595;551;558;499;516;418;0;442;487;322;507;300;414</v>
      </c>
    </row>
    <row r="24" ht="12.75" customHeight="1">
      <c r="A24" s="351" t="s">
        <v>456</v>
      </c>
      <c r="B24" s="355" t="str">
        <f>IFERROR(__xludf.DUMMYFUNCTION("LET(
  w, ARRAYFORMULA(VALUE(SPLIT(G8,""/""))),
  dw, MAP(SEQUENCE(29), LAMBDA(d, INDEX(w,1,MOD(d-1,7)+1))),
  k, MAP(dw, LAMBDA(wt, RAND()^(1/wt))),
  t, LARGE(k, F8),
  lv, MAP(k, LAMBDA(x, IF(x&gt;=t, RANDBETWEEN(C8,D8), 0))),
  TEXTJOIN("";"", FALSE, lv)"&amp;"
)"),"429;348;366;313;591;545;404;527;495;0;304;553;442;439;416;344;552;336;487;555;514;334;0;457;525;380;354;536;310")</f>
        <v>429;348;366;313;591;545;404;527;495;0;304;553;442;439;416;344;552;336;487;555;514;334;0;457;525;380;354;536;310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C11:E11"/>
    <mergeCell ref="C12:E12"/>
    <mergeCell ref="C13:E13"/>
    <mergeCell ref="C14:E1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271" t="s">
        <v>1593</v>
      </c>
      <c r="B1" s="272"/>
      <c r="C1" s="272"/>
      <c r="D1" s="272"/>
      <c r="E1" s="272"/>
      <c r="F1" s="272"/>
      <c r="G1" s="273"/>
    </row>
    <row r="2" ht="12.75" customHeight="1">
      <c r="A2" s="274" t="s">
        <v>1594</v>
      </c>
      <c r="B2" s="275" t="s">
        <v>450</v>
      </c>
      <c r="C2" s="275" t="s">
        <v>452</v>
      </c>
      <c r="D2" s="275" t="s">
        <v>453</v>
      </c>
      <c r="E2" s="275" t="s">
        <v>454</v>
      </c>
      <c r="F2" s="275" t="s">
        <v>455</v>
      </c>
      <c r="G2" s="275" t="s">
        <v>456</v>
      </c>
    </row>
    <row r="3" ht="12.75" customHeight="1">
      <c r="A3" s="277" t="s">
        <v>1595</v>
      </c>
      <c r="B3" s="283" t="s">
        <v>451</v>
      </c>
      <c r="C3" s="283" t="s">
        <v>451</v>
      </c>
      <c r="D3" s="283" t="s">
        <v>451</v>
      </c>
      <c r="E3" s="283" t="s">
        <v>451</v>
      </c>
      <c r="F3" s="283" t="s">
        <v>451</v>
      </c>
      <c r="G3" s="283" t="s">
        <v>451</v>
      </c>
    </row>
    <row r="4" ht="12.75" customHeight="1">
      <c r="A4" s="277" t="s">
        <v>1596</v>
      </c>
      <c r="B4" s="283" t="s">
        <v>451</v>
      </c>
      <c r="C4" s="283" t="s">
        <v>451</v>
      </c>
      <c r="D4" s="283" t="s">
        <v>451</v>
      </c>
      <c r="E4" s="283" t="s">
        <v>451</v>
      </c>
      <c r="F4" s="283" t="s">
        <v>451</v>
      </c>
      <c r="G4" s="283" t="s">
        <v>451</v>
      </c>
    </row>
    <row r="5" ht="12.75" customHeight="1">
      <c r="A5" s="277" t="s">
        <v>1597</v>
      </c>
      <c r="B5" s="283" t="s">
        <v>451</v>
      </c>
      <c r="C5" s="283" t="s">
        <v>451</v>
      </c>
      <c r="D5" s="283" t="s">
        <v>451</v>
      </c>
      <c r="E5" s="283" t="s">
        <v>451</v>
      </c>
      <c r="F5" s="283" t="s">
        <v>451</v>
      </c>
      <c r="G5" s="283" t="s">
        <v>451</v>
      </c>
    </row>
    <row r="6" ht="12.75" customHeight="1">
      <c r="A6" s="277" t="s">
        <v>1598</v>
      </c>
      <c r="B6" s="283" t="s">
        <v>451</v>
      </c>
      <c r="C6" s="283" t="s">
        <v>451</v>
      </c>
      <c r="D6" s="283" t="s">
        <v>451</v>
      </c>
      <c r="E6" s="283" t="s">
        <v>451</v>
      </c>
      <c r="F6" s="283" t="s">
        <v>451</v>
      </c>
      <c r="G6" s="283" t="s">
        <v>451</v>
      </c>
    </row>
    <row r="7" ht="12.75" customHeight="1"/>
    <row r="8" ht="12.75" customHeight="1">
      <c r="A8" s="277" t="s">
        <v>1599</v>
      </c>
      <c r="B8" s="283" t="s">
        <v>451</v>
      </c>
      <c r="C8" s="283" t="s">
        <v>451</v>
      </c>
      <c r="D8" s="283" t="s">
        <v>451</v>
      </c>
      <c r="E8" s="283" t="s">
        <v>451</v>
      </c>
      <c r="F8" s="283" t="s">
        <v>451</v>
      </c>
      <c r="G8" s="283" t="s">
        <v>451</v>
      </c>
    </row>
    <row r="9" ht="12.75" customHeight="1">
      <c r="A9" s="277" t="s">
        <v>1600</v>
      </c>
      <c r="B9" s="283" t="s">
        <v>451</v>
      </c>
      <c r="C9" s="283" t="s">
        <v>451</v>
      </c>
      <c r="D9" s="283" t="s">
        <v>451</v>
      </c>
      <c r="E9" s="283" t="s">
        <v>451</v>
      </c>
      <c r="F9" s="283" t="s">
        <v>451</v>
      </c>
      <c r="G9" s="283" t="s">
        <v>451</v>
      </c>
    </row>
    <row r="10" ht="12.75" customHeight="1">
      <c r="A10" s="277" t="s">
        <v>1601</v>
      </c>
      <c r="B10" s="283" t="s">
        <v>451</v>
      </c>
      <c r="C10" s="283" t="s">
        <v>451</v>
      </c>
      <c r="D10" s="283" t="s">
        <v>451</v>
      </c>
      <c r="E10" s="283" t="s">
        <v>451</v>
      </c>
      <c r="F10" s="283" t="s">
        <v>451</v>
      </c>
      <c r="G10" s="283" t="s">
        <v>451</v>
      </c>
    </row>
    <row r="11" ht="12.75" customHeight="1"/>
    <row r="12" ht="12.75" customHeight="1">
      <c r="A12" s="277" t="s">
        <v>1602</v>
      </c>
      <c r="B12" s="283" t="s">
        <v>451</v>
      </c>
      <c r="C12" s="283" t="s">
        <v>451</v>
      </c>
      <c r="D12" s="283" t="s">
        <v>451</v>
      </c>
      <c r="E12" s="283" t="s">
        <v>451</v>
      </c>
      <c r="F12" s="283" t="s">
        <v>451</v>
      </c>
      <c r="G12" s="283" t="s">
        <v>451</v>
      </c>
    </row>
    <row r="13" ht="12.75" customHeight="1">
      <c r="A13" s="277" t="s">
        <v>1603</v>
      </c>
      <c r="B13" s="283" t="s">
        <v>451</v>
      </c>
      <c r="C13" s="283" t="s">
        <v>451</v>
      </c>
      <c r="D13" s="283" t="s">
        <v>451</v>
      </c>
      <c r="E13" s="283" t="s">
        <v>451</v>
      </c>
      <c r="F13" s="283" t="s">
        <v>451</v>
      </c>
      <c r="G13" s="283" t="s">
        <v>451</v>
      </c>
    </row>
    <row r="14" ht="12.75" customHeight="1">
      <c r="A14" s="277" t="s">
        <v>1604</v>
      </c>
      <c r="B14" s="283" t="s">
        <v>451</v>
      </c>
      <c r="C14" s="283" t="s">
        <v>451</v>
      </c>
      <c r="D14" s="283" t="s">
        <v>451</v>
      </c>
      <c r="E14" s="283" t="s">
        <v>451</v>
      </c>
      <c r="F14" s="283" t="s">
        <v>451</v>
      </c>
      <c r="G14" s="283" t="s">
        <v>451</v>
      </c>
    </row>
    <row r="15" ht="12.75" customHeight="1"/>
    <row r="16" ht="12.75" customHeight="1">
      <c r="A16" s="277" t="s">
        <v>1605</v>
      </c>
      <c r="B16" s="283" t="s">
        <v>451</v>
      </c>
      <c r="C16" s="283" t="s">
        <v>451</v>
      </c>
      <c r="D16" s="283" t="s">
        <v>451</v>
      </c>
      <c r="E16" s="283" t="s">
        <v>451</v>
      </c>
      <c r="F16" s="283" t="s">
        <v>451</v>
      </c>
      <c r="G16" s="283" t="s">
        <v>451</v>
      </c>
    </row>
    <row r="17" ht="12.75" customHeight="1">
      <c r="A17" s="277" t="s">
        <v>1606</v>
      </c>
      <c r="B17" s="283" t="s">
        <v>451</v>
      </c>
      <c r="C17" s="283" t="s">
        <v>451</v>
      </c>
      <c r="D17" s="283" t="s">
        <v>451</v>
      </c>
      <c r="E17" s="283" t="s">
        <v>451</v>
      </c>
      <c r="F17" s="283" t="s">
        <v>451</v>
      </c>
      <c r="G17" s="283" t="s">
        <v>451</v>
      </c>
    </row>
    <row r="18" ht="12.75" customHeight="1">
      <c r="A18" s="277" t="s">
        <v>1607</v>
      </c>
      <c r="B18" s="283" t="s">
        <v>451</v>
      </c>
      <c r="C18" s="283" t="s">
        <v>451</v>
      </c>
      <c r="D18" s="283" t="s">
        <v>451</v>
      </c>
      <c r="E18" s="283" t="s">
        <v>451</v>
      </c>
      <c r="F18" s="283" t="s">
        <v>451</v>
      </c>
      <c r="G18" s="283" t="s">
        <v>451</v>
      </c>
    </row>
    <row r="19" ht="12.75" customHeight="1">
      <c r="A19" s="277" t="s">
        <v>1608</v>
      </c>
      <c r="B19" s="283" t="s">
        <v>451</v>
      </c>
      <c r="C19" s="283" t="s">
        <v>451</v>
      </c>
      <c r="D19" s="283" t="s">
        <v>451</v>
      </c>
      <c r="E19" s="283" t="s">
        <v>451</v>
      </c>
      <c r="F19" s="283" t="s">
        <v>451</v>
      </c>
      <c r="G19" s="283" t="s">
        <v>451</v>
      </c>
    </row>
    <row r="20" ht="12.75" customHeight="1">
      <c r="A20" s="277" t="s">
        <v>1609</v>
      </c>
      <c r="B20" s="283" t="s">
        <v>451</v>
      </c>
      <c r="C20" s="283" t="s">
        <v>451</v>
      </c>
      <c r="D20" s="283" t="s">
        <v>451</v>
      </c>
      <c r="E20" s="283" t="s">
        <v>451</v>
      </c>
      <c r="F20" s="283" t="s">
        <v>451</v>
      </c>
      <c r="G20" s="283" t="s">
        <v>451</v>
      </c>
    </row>
    <row r="21" ht="12.75" customHeight="1">
      <c r="A21" s="277" t="s">
        <v>1610</v>
      </c>
      <c r="B21" s="283" t="s">
        <v>451</v>
      </c>
      <c r="C21" s="283" t="s">
        <v>451</v>
      </c>
      <c r="D21" s="283" t="s">
        <v>451</v>
      </c>
      <c r="E21" s="283" t="s">
        <v>451</v>
      </c>
      <c r="F21" s="283" t="s">
        <v>451</v>
      </c>
      <c r="G21" s="283" t="s">
        <v>451</v>
      </c>
    </row>
    <row r="22" ht="12.75" customHeight="1"/>
    <row r="23" ht="12.75" customHeight="1">
      <c r="A23" s="277" t="s">
        <v>1611</v>
      </c>
      <c r="B23" s="283" t="s">
        <v>451</v>
      </c>
      <c r="C23" s="283" t="s">
        <v>451</v>
      </c>
      <c r="D23" s="283" t="s">
        <v>451</v>
      </c>
      <c r="E23" s="283" t="s">
        <v>451</v>
      </c>
      <c r="F23" s="283" t="s">
        <v>451</v>
      </c>
      <c r="G23" s="283" t="s">
        <v>451</v>
      </c>
    </row>
    <row r="24" ht="12.75" customHeight="1">
      <c r="A24" s="277" t="s">
        <v>1612</v>
      </c>
      <c r="B24" s="283" t="s">
        <v>451</v>
      </c>
      <c r="C24" s="283" t="s">
        <v>451</v>
      </c>
      <c r="D24" s="283" t="s">
        <v>451</v>
      </c>
      <c r="E24" s="283" t="s">
        <v>451</v>
      </c>
      <c r="F24" s="283" t="s">
        <v>451</v>
      </c>
      <c r="G24" s="283" t="s">
        <v>451</v>
      </c>
    </row>
    <row r="25" ht="12.75" customHeight="1"/>
    <row r="26" ht="12.75" customHeight="1">
      <c r="A26" s="271" t="s">
        <v>1613</v>
      </c>
      <c r="B26" s="272"/>
      <c r="C26" s="272"/>
      <c r="D26" s="272"/>
      <c r="E26" s="272"/>
      <c r="F26" s="272"/>
      <c r="G26" s="273"/>
    </row>
    <row r="27" ht="12.75" customHeight="1">
      <c r="A27" s="274" t="s">
        <v>746</v>
      </c>
      <c r="B27" s="275" t="s">
        <v>450</v>
      </c>
      <c r="C27" s="275" t="s">
        <v>452</v>
      </c>
      <c r="D27" s="275" t="s">
        <v>453</v>
      </c>
      <c r="E27" s="275" t="s">
        <v>454</v>
      </c>
      <c r="F27" s="275" t="s">
        <v>455</v>
      </c>
      <c r="G27" s="275" t="s">
        <v>456</v>
      </c>
    </row>
    <row r="28" ht="12.75" customHeight="1">
      <c r="A28" s="282" t="s">
        <v>1614</v>
      </c>
      <c r="B28" s="283" t="s">
        <v>451</v>
      </c>
      <c r="C28" s="283" t="s">
        <v>451</v>
      </c>
      <c r="D28" s="283" t="s">
        <v>451</v>
      </c>
      <c r="E28" s="283" t="s">
        <v>451</v>
      </c>
      <c r="F28" s="283" t="s">
        <v>451</v>
      </c>
      <c r="G28" s="283" t="s">
        <v>451</v>
      </c>
    </row>
    <row r="29" ht="12.75" customHeight="1">
      <c r="A29" s="282" t="s">
        <v>1615</v>
      </c>
      <c r="B29" s="283" t="s">
        <v>451</v>
      </c>
      <c r="C29" s="283" t="s">
        <v>451</v>
      </c>
      <c r="D29" s="283" t="s">
        <v>451</v>
      </c>
      <c r="E29" s="283" t="s">
        <v>451</v>
      </c>
      <c r="F29" s="283" t="s">
        <v>451</v>
      </c>
      <c r="G29" s="283" t="s">
        <v>451</v>
      </c>
    </row>
    <row r="30" ht="12.75" customHeight="1">
      <c r="A30" s="282" t="s">
        <v>1616</v>
      </c>
      <c r="B30" s="283" t="s">
        <v>451</v>
      </c>
      <c r="C30" s="283" t="s">
        <v>451</v>
      </c>
      <c r="D30" s="283" t="s">
        <v>451</v>
      </c>
      <c r="E30" s="283" t="s">
        <v>451</v>
      </c>
      <c r="F30" s="283" t="s">
        <v>451</v>
      </c>
      <c r="G30" s="283" t="s">
        <v>451</v>
      </c>
    </row>
    <row r="31" ht="12.75" customHeight="1">
      <c r="A31" s="282" t="s">
        <v>1617</v>
      </c>
      <c r="B31" s="283" t="s">
        <v>451</v>
      </c>
      <c r="C31" s="283" t="s">
        <v>451</v>
      </c>
      <c r="D31" s="283" t="s">
        <v>451</v>
      </c>
      <c r="E31" s="283" t="s">
        <v>451</v>
      </c>
      <c r="F31" s="283" t="s">
        <v>451</v>
      </c>
      <c r="G31" s="283" t="s">
        <v>451</v>
      </c>
    </row>
    <row r="32" ht="12.75" customHeight="1">
      <c r="A32" s="282" t="s">
        <v>1618</v>
      </c>
      <c r="B32" s="283" t="s">
        <v>451</v>
      </c>
      <c r="C32" s="283" t="s">
        <v>451</v>
      </c>
      <c r="D32" s="283" t="s">
        <v>451</v>
      </c>
      <c r="E32" s="283" t="s">
        <v>451</v>
      </c>
      <c r="F32" s="283" t="s">
        <v>451</v>
      </c>
      <c r="G32" s="283" t="s">
        <v>451</v>
      </c>
    </row>
    <row r="33" ht="12.75" customHeight="1">
      <c r="A33" s="282" t="s">
        <v>1619</v>
      </c>
      <c r="B33" s="283" t="s">
        <v>451</v>
      </c>
      <c r="C33" s="283" t="s">
        <v>451</v>
      </c>
      <c r="D33" s="283" t="s">
        <v>451</v>
      </c>
      <c r="E33" s="283" t="s">
        <v>451</v>
      </c>
      <c r="F33" s="283" t="s">
        <v>451</v>
      </c>
      <c r="G33" s="283" t="s">
        <v>451</v>
      </c>
    </row>
    <row r="34" ht="12.75" customHeight="1">
      <c r="A34" s="282" t="s">
        <v>1620</v>
      </c>
      <c r="B34" s="283" t="s">
        <v>451</v>
      </c>
      <c r="C34" s="283" t="s">
        <v>451</v>
      </c>
      <c r="D34" s="283" t="s">
        <v>451</v>
      </c>
      <c r="E34" s="283" t="s">
        <v>451</v>
      </c>
      <c r="F34" s="283" t="s">
        <v>451</v>
      </c>
      <c r="G34" s="283" t="s">
        <v>451</v>
      </c>
    </row>
    <row r="35" ht="12.75" customHeight="1">
      <c r="A35" s="282" t="s">
        <v>1621</v>
      </c>
      <c r="B35" s="283" t="s">
        <v>451</v>
      </c>
      <c r="C35" s="283" t="s">
        <v>451</v>
      </c>
      <c r="D35" s="283" t="s">
        <v>451</v>
      </c>
      <c r="E35" s="283" t="s">
        <v>451</v>
      </c>
      <c r="F35" s="283" t="s">
        <v>451</v>
      </c>
      <c r="G35" s="283" t="s">
        <v>451</v>
      </c>
    </row>
    <row r="36" ht="12.75" customHeight="1">
      <c r="A36" s="282" t="s">
        <v>1622</v>
      </c>
      <c r="B36" s="283" t="s">
        <v>451</v>
      </c>
      <c r="C36" s="283" t="s">
        <v>451</v>
      </c>
      <c r="D36" s="283" t="s">
        <v>451</v>
      </c>
      <c r="E36" s="283" t="s">
        <v>451</v>
      </c>
      <c r="F36" s="283" t="s">
        <v>451</v>
      </c>
      <c r="G36" s="283" t="s">
        <v>451</v>
      </c>
    </row>
    <row r="37" ht="12.75" customHeight="1">
      <c r="A37" s="282" t="s">
        <v>1623</v>
      </c>
      <c r="B37" s="283" t="s">
        <v>451</v>
      </c>
      <c r="C37" s="283" t="s">
        <v>451</v>
      </c>
      <c r="D37" s="283" t="s">
        <v>451</v>
      </c>
      <c r="E37" s="283" t="s">
        <v>451</v>
      </c>
      <c r="F37" s="283" t="s">
        <v>451</v>
      </c>
      <c r="G37" s="283" t="s">
        <v>451</v>
      </c>
    </row>
    <row r="38" ht="12.75" customHeight="1">
      <c r="A38" s="282" t="s">
        <v>1624</v>
      </c>
      <c r="B38" s="283" t="s">
        <v>451</v>
      </c>
      <c r="C38" s="283" t="s">
        <v>451</v>
      </c>
      <c r="D38" s="283" t="s">
        <v>451</v>
      </c>
      <c r="E38" s="283" t="s">
        <v>451</v>
      </c>
      <c r="F38" s="283" t="s">
        <v>451</v>
      </c>
      <c r="G38" s="283" t="s">
        <v>451</v>
      </c>
    </row>
    <row r="39" ht="12.75" customHeight="1">
      <c r="A39" s="282" t="s">
        <v>1625</v>
      </c>
      <c r="B39" s="283" t="s">
        <v>451</v>
      </c>
      <c r="C39" s="283" t="s">
        <v>451</v>
      </c>
      <c r="D39" s="283" t="s">
        <v>451</v>
      </c>
      <c r="E39" s="283" t="s">
        <v>451</v>
      </c>
      <c r="F39" s="283" t="s">
        <v>451</v>
      </c>
      <c r="G39" s="283" t="s">
        <v>451</v>
      </c>
    </row>
    <row r="40" ht="12.75" customHeight="1">
      <c r="A40" s="282" t="s">
        <v>1626</v>
      </c>
      <c r="B40" s="283" t="s">
        <v>451</v>
      </c>
      <c r="C40" s="283" t="s">
        <v>451</v>
      </c>
      <c r="D40" s="283" t="s">
        <v>451</v>
      </c>
      <c r="E40" s="283" t="s">
        <v>451</v>
      </c>
      <c r="F40" s="283" t="s">
        <v>451</v>
      </c>
      <c r="G40" s="283" t="s">
        <v>451</v>
      </c>
    </row>
    <row r="41" ht="12.75" customHeight="1">
      <c r="A41" s="282" t="s">
        <v>1627</v>
      </c>
      <c r="B41" s="283" t="s">
        <v>451</v>
      </c>
      <c r="C41" s="283" t="s">
        <v>451</v>
      </c>
      <c r="D41" s="283" t="s">
        <v>451</v>
      </c>
      <c r="E41" s="283" t="s">
        <v>451</v>
      </c>
      <c r="F41" s="283" t="s">
        <v>451</v>
      </c>
      <c r="G41" s="283" t="s">
        <v>451</v>
      </c>
    </row>
    <row r="42" ht="12.75" customHeight="1">
      <c r="A42" s="282" t="s">
        <v>1628</v>
      </c>
      <c r="B42" s="283" t="s">
        <v>451</v>
      </c>
      <c r="C42" s="283" t="s">
        <v>451</v>
      </c>
      <c r="D42" s="283" t="s">
        <v>451</v>
      </c>
      <c r="E42" s="283" t="s">
        <v>451</v>
      </c>
      <c r="F42" s="283" t="s">
        <v>451</v>
      </c>
      <c r="G42" s="283" t="s">
        <v>451</v>
      </c>
    </row>
    <row r="43" ht="12.75" customHeight="1">
      <c r="A43" s="282" t="s">
        <v>1629</v>
      </c>
      <c r="B43" s="283" t="s">
        <v>451</v>
      </c>
      <c r="C43" s="283" t="s">
        <v>451</v>
      </c>
      <c r="D43" s="283" t="s">
        <v>451</v>
      </c>
      <c r="E43" s="283" t="s">
        <v>451</v>
      </c>
      <c r="F43" s="283" t="s">
        <v>451</v>
      </c>
      <c r="G43" s="283" t="s">
        <v>451</v>
      </c>
    </row>
    <row r="44" ht="12.75" customHeight="1"/>
    <row r="45" ht="12.75" customHeight="1">
      <c r="A45" s="271" t="s">
        <v>1630</v>
      </c>
      <c r="B45" s="272"/>
      <c r="C45" s="272"/>
      <c r="D45" s="272"/>
      <c r="E45" s="272"/>
      <c r="F45" s="272"/>
      <c r="G45" s="273"/>
    </row>
    <row r="46" ht="12.75" customHeight="1">
      <c r="A46" s="274" t="s">
        <v>131</v>
      </c>
      <c r="B46" s="275" t="s">
        <v>450</v>
      </c>
      <c r="C46" s="275" t="s">
        <v>452</v>
      </c>
      <c r="D46" s="275" t="s">
        <v>453</v>
      </c>
      <c r="E46" s="275" t="s">
        <v>454</v>
      </c>
      <c r="F46" s="275" t="s">
        <v>455</v>
      </c>
      <c r="G46" s="275" t="s">
        <v>456</v>
      </c>
    </row>
    <row r="47" ht="12.75" customHeight="1">
      <c r="A47" s="282" t="s">
        <v>1631</v>
      </c>
      <c r="B47" s="283" t="s">
        <v>451</v>
      </c>
      <c r="C47" s="283" t="s">
        <v>451</v>
      </c>
      <c r="D47" s="283" t="s">
        <v>451</v>
      </c>
      <c r="E47" s="283" t="s">
        <v>451</v>
      </c>
      <c r="F47" s="283" t="s">
        <v>451</v>
      </c>
      <c r="G47" s="283" t="s">
        <v>451</v>
      </c>
    </row>
    <row r="48" ht="12.75" customHeight="1">
      <c r="A48" s="282" t="s">
        <v>1632</v>
      </c>
      <c r="B48" s="283" t="s">
        <v>451</v>
      </c>
      <c r="C48" s="283" t="s">
        <v>451</v>
      </c>
      <c r="D48" s="283" t="s">
        <v>451</v>
      </c>
      <c r="E48" s="283" t="s">
        <v>451</v>
      </c>
      <c r="F48" s="283" t="s">
        <v>451</v>
      </c>
      <c r="G48" s="283" t="s">
        <v>451</v>
      </c>
    </row>
    <row r="49" ht="12.75" customHeight="1">
      <c r="A49" s="282" t="s">
        <v>1633</v>
      </c>
      <c r="B49" s="283" t="s">
        <v>451</v>
      </c>
      <c r="C49" s="283" t="s">
        <v>451</v>
      </c>
      <c r="D49" s="283" t="s">
        <v>451</v>
      </c>
      <c r="E49" s="283" t="s">
        <v>451</v>
      </c>
      <c r="F49" s="283" t="s">
        <v>451</v>
      </c>
      <c r="G49" s="283" t="s">
        <v>451</v>
      </c>
    </row>
    <row r="50" ht="12.75" customHeight="1">
      <c r="A50" s="282" t="s">
        <v>1634</v>
      </c>
      <c r="B50" s="283" t="s">
        <v>451</v>
      </c>
      <c r="C50" s="283" t="s">
        <v>451</v>
      </c>
      <c r="D50" s="283" t="s">
        <v>451</v>
      </c>
      <c r="E50" s="283" t="s">
        <v>451</v>
      </c>
      <c r="F50" s="283" t="s">
        <v>451</v>
      </c>
      <c r="G50" s="283" t="s">
        <v>451</v>
      </c>
    </row>
    <row r="51" ht="12.75" customHeight="1">
      <c r="A51" s="282" t="s">
        <v>1635</v>
      </c>
      <c r="B51" s="283" t="s">
        <v>451</v>
      </c>
      <c r="C51" s="283" t="s">
        <v>451</v>
      </c>
      <c r="D51" s="283" t="s">
        <v>451</v>
      </c>
      <c r="E51" s="283" t="s">
        <v>451</v>
      </c>
      <c r="F51" s="283" t="s">
        <v>451</v>
      </c>
      <c r="G51" s="283" t="s">
        <v>451</v>
      </c>
    </row>
    <row r="52" ht="12.75" customHeight="1">
      <c r="A52" s="282" t="s">
        <v>1636</v>
      </c>
      <c r="B52" s="283" t="s">
        <v>451</v>
      </c>
      <c r="C52" s="283" t="s">
        <v>451</v>
      </c>
      <c r="D52" s="283" t="s">
        <v>451</v>
      </c>
      <c r="E52" s="283" t="s">
        <v>451</v>
      </c>
      <c r="F52" s="283" t="s">
        <v>451</v>
      </c>
      <c r="G52" s="283" t="s">
        <v>451</v>
      </c>
    </row>
    <row r="53" ht="12.75" customHeight="1"/>
    <row r="54" ht="12.75" customHeight="1">
      <c r="A54" s="279" t="s">
        <v>1637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75"/>
    <col customWidth="1" min="3" max="3" width="17.75"/>
    <col customWidth="1" min="4" max="8" width="18.0"/>
    <col customWidth="1" min="9" max="9" width="15.25"/>
    <col customWidth="1" min="10" max="20" width="4.38"/>
    <col customWidth="1" min="21" max="55" width="8.63"/>
  </cols>
  <sheetData>
    <row r="1" ht="12.75" customHeight="1">
      <c r="A1" s="271" t="s">
        <v>1638</v>
      </c>
      <c r="B1" s="333"/>
      <c r="C1" s="333"/>
      <c r="D1" s="333"/>
      <c r="E1" s="333"/>
      <c r="F1" s="333"/>
      <c r="G1" s="333"/>
      <c r="H1" s="333"/>
    </row>
    <row r="2" ht="12.75" customHeight="1">
      <c r="A2" s="277" t="s">
        <v>1639</v>
      </c>
      <c r="B2" s="335" t="s">
        <v>453</v>
      </c>
      <c r="C2" s="277"/>
      <c r="D2" s="277"/>
      <c r="E2" s="277"/>
      <c r="F2" s="277" t="s">
        <v>1640</v>
      </c>
      <c r="G2" s="303">
        <v>1.0</v>
      </c>
      <c r="I2" s="356"/>
    </row>
    <row r="3" ht="12.75" customHeight="1">
      <c r="I3" s="356"/>
    </row>
    <row r="4" ht="12.75" customHeight="1">
      <c r="A4" s="271" t="s">
        <v>1641</v>
      </c>
      <c r="B4" s="333"/>
      <c r="C4" s="333"/>
      <c r="D4" s="333"/>
      <c r="E4" s="333"/>
      <c r="F4" s="333"/>
      <c r="G4" s="333"/>
      <c r="H4" s="333"/>
    </row>
    <row r="5" ht="12.75" customHeight="1">
      <c r="A5" s="275" t="s">
        <v>61</v>
      </c>
      <c r="B5" s="275" t="s">
        <v>1642</v>
      </c>
      <c r="C5" s="275" t="s">
        <v>590</v>
      </c>
      <c r="D5" s="275" t="s">
        <v>1643</v>
      </c>
      <c r="E5" s="275" t="s">
        <v>1644</v>
      </c>
      <c r="F5" s="275" t="s">
        <v>756</v>
      </c>
      <c r="I5" s="356"/>
    </row>
    <row r="6" ht="12.75" customHeight="1">
      <c r="A6" s="321">
        <v>1.0</v>
      </c>
      <c r="B6" s="283" t="s">
        <v>451</v>
      </c>
      <c r="C6" s="283" t="s">
        <v>451</v>
      </c>
      <c r="D6" s="283" t="s">
        <v>451</v>
      </c>
      <c r="E6" s="283" t="s">
        <v>451</v>
      </c>
      <c r="F6" s="283" t="s">
        <v>451</v>
      </c>
      <c r="I6" s="356"/>
    </row>
    <row r="7" ht="12.75" customHeight="1">
      <c r="A7" s="321">
        <v>2.0</v>
      </c>
      <c r="B7" s="283" t="s">
        <v>451</v>
      </c>
      <c r="C7" s="283" t="s">
        <v>451</v>
      </c>
      <c r="D7" s="283" t="s">
        <v>451</v>
      </c>
      <c r="E7" s="283" t="s">
        <v>451</v>
      </c>
      <c r="F7" s="283" t="s">
        <v>451</v>
      </c>
      <c r="I7" s="356"/>
    </row>
    <row r="8" ht="12.75" customHeight="1">
      <c r="A8" s="321">
        <v>3.0</v>
      </c>
      <c r="B8" s="283" t="s">
        <v>451</v>
      </c>
      <c r="C8" s="283" t="s">
        <v>451</v>
      </c>
      <c r="D8" s="283" t="s">
        <v>451</v>
      </c>
      <c r="E8" s="283" t="s">
        <v>451</v>
      </c>
      <c r="F8" s="283" t="s">
        <v>451</v>
      </c>
      <c r="I8" s="356"/>
    </row>
    <row r="9" ht="12.75" customHeight="1">
      <c r="A9" s="321">
        <v>4.0</v>
      </c>
      <c r="B9" s="283" t="s">
        <v>451</v>
      </c>
      <c r="C9" s="283" t="s">
        <v>451</v>
      </c>
      <c r="D9" s="283" t="s">
        <v>451</v>
      </c>
      <c r="E9" s="283" t="s">
        <v>451</v>
      </c>
      <c r="F9" s="283" t="s">
        <v>451</v>
      </c>
      <c r="I9" s="356"/>
    </row>
    <row r="10" ht="12.75" customHeight="1">
      <c r="A10" s="321">
        <v>5.0</v>
      </c>
      <c r="B10" s="283" t="s">
        <v>451</v>
      </c>
      <c r="C10" s="283" t="s">
        <v>451</v>
      </c>
      <c r="D10" s="283" t="s">
        <v>451</v>
      </c>
      <c r="E10" s="283" t="s">
        <v>451</v>
      </c>
      <c r="F10" s="283" t="s">
        <v>451</v>
      </c>
      <c r="I10" s="356"/>
    </row>
    <row r="11" ht="12.75" customHeight="1">
      <c r="A11" s="321">
        <v>6.0</v>
      </c>
      <c r="B11" s="283" t="s">
        <v>451</v>
      </c>
      <c r="C11" s="283" t="s">
        <v>451</v>
      </c>
      <c r="D11" s="283" t="s">
        <v>451</v>
      </c>
      <c r="E11" s="283" t="s">
        <v>451</v>
      </c>
      <c r="F11" s="283" t="s">
        <v>451</v>
      </c>
      <c r="I11" s="356"/>
    </row>
    <row r="12" ht="12.75" customHeight="1">
      <c r="A12" s="321">
        <v>7.0</v>
      </c>
      <c r="B12" s="283" t="s">
        <v>451</v>
      </c>
      <c r="C12" s="283" t="s">
        <v>451</v>
      </c>
      <c r="D12" s="283" t="s">
        <v>451</v>
      </c>
      <c r="E12" s="283" t="s">
        <v>451</v>
      </c>
      <c r="F12" s="283" t="s">
        <v>451</v>
      </c>
      <c r="I12" s="356"/>
    </row>
    <row r="13" ht="12.75" customHeight="1">
      <c r="A13" s="321">
        <v>8.0</v>
      </c>
      <c r="B13" s="283" t="s">
        <v>451</v>
      </c>
      <c r="C13" s="283" t="s">
        <v>451</v>
      </c>
      <c r="D13" s="283" t="s">
        <v>451</v>
      </c>
      <c r="E13" s="283" t="s">
        <v>451</v>
      </c>
      <c r="F13" s="283" t="s">
        <v>451</v>
      </c>
      <c r="I13" s="356"/>
    </row>
    <row r="14" ht="12.75" customHeight="1">
      <c r="A14" s="321">
        <v>9.0</v>
      </c>
      <c r="B14" s="283" t="s">
        <v>451</v>
      </c>
      <c r="C14" s="283" t="s">
        <v>451</v>
      </c>
      <c r="D14" s="283" t="s">
        <v>451</v>
      </c>
      <c r="E14" s="283" t="s">
        <v>451</v>
      </c>
      <c r="F14" s="283" t="s">
        <v>451</v>
      </c>
      <c r="I14" s="356"/>
    </row>
    <row r="15" ht="12.75" customHeight="1">
      <c r="A15" s="321">
        <v>10.0</v>
      </c>
      <c r="B15" s="283" t="s">
        <v>451</v>
      </c>
      <c r="C15" s="283" t="s">
        <v>451</v>
      </c>
      <c r="D15" s="283" t="s">
        <v>451</v>
      </c>
      <c r="E15" s="283" t="s">
        <v>451</v>
      </c>
      <c r="F15" s="283" t="s">
        <v>451</v>
      </c>
      <c r="I15" s="356"/>
    </row>
    <row r="16" ht="12.75" customHeight="1">
      <c r="A16" s="321">
        <v>11.0</v>
      </c>
      <c r="B16" s="283" t="s">
        <v>451</v>
      </c>
      <c r="C16" s="283" t="s">
        <v>451</v>
      </c>
      <c r="D16" s="283" t="s">
        <v>451</v>
      </c>
      <c r="E16" s="283" t="s">
        <v>451</v>
      </c>
      <c r="F16" s="283" t="s">
        <v>451</v>
      </c>
      <c r="I16" s="356"/>
    </row>
    <row r="17" ht="12.75" customHeight="1">
      <c r="A17" s="321">
        <v>12.0</v>
      </c>
      <c r="B17" s="283" t="s">
        <v>451</v>
      </c>
      <c r="C17" s="283" t="s">
        <v>451</v>
      </c>
      <c r="D17" s="283" t="s">
        <v>451</v>
      </c>
      <c r="E17" s="283" t="s">
        <v>451</v>
      </c>
      <c r="F17" s="283" t="s">
        <v>451</v>
      </c>
      <c r="I17" s="356"/>
    </row>
    <row r="18" ht="12.75" customHeight="1">
      <c r="A18" s="321">
        <v>13.0</v>
      </c>
      <c r="B18" s="283" t="s">
        <v>451</v>
      </c>
      <c r="C18" s="283" t="s">
        <v>451</v>
      </c>
      <c r="D18" s="283" t="s">
        <v>451</v>
      </c>
      <c r="E18" s="283" t="s">
        <v>451</v>
      </c>
      <c r="F18" s="283" t="s">
        <v>451</v>
      </c>
      <c r="I18" s="356"/>
    </row>
    <row r="19" ht="12.75" customHeight="1">
      <c r="A19" s="321">
        <v>14.0</v>
      </c>
      <c r="B19" s="283" t="s">
        <v>451</v>
      </c>
      <c r="C19" s="283" t="s">
        <v>451</v>
      </c>
      <c r="D19" s="283" t="s">
        <v>451</v>
      </c>
      <c r="E19" s="283" t="s">
        <v>451</v>
      </c>
      <c r="F19" s="283" t="s">
        <v>451</v>
      </c>
      <c r="I19" s="356"/>
    </row>
    <row r="20" ht="12.75" customHeight="1">
      <c r="A20" s="321">
        <v>15.0</v>
      </c>
      <c r="B20" s="283" t="s">
        <v>451</v>
      </c>
      <c r="C20" s="283" t="s">
        <v>451</v>
      </c>
      <c r="D20" s="283" t="s">
        <v>451</v>
      </c>
      <c r="E20" s="283" t="s">
        <v>451</v>
      </c>
      <c r="F20" s="283" t="s">
        <v>451</v>
      </c>
      <c r="I20" s="356"/>
    </row>
    <row r="21" ht="12.75" customHeight="1">
      <c r="A21" s="321">
        <v>16.0</v>
      </c>
      <c r="B21" s="283" t="s">
        <v>451</v>
      </c>
      <c r="C21" s="283" t="s">
        <v>451</v>
      </c>
      <c r="D21" s="283" t="s">
        <v>451</v>
      </c>
      <c r="E21" s="283" t="s">
        <v>451</v>
      </c>
      <c r="F21" s="283" t="s">
        <v>451</v>
      </c>
      <c r="I21" s="356"/>
    </row>
    <row r="22" ht="12.75" customHeight="1">
      <c r="A22" s="321">
        <v>17.0</v>
      </c>
      <c r="B22" s="283" t="s">
        <v>451</v>
      </c>
      <c r="C22" s="283" t="s">
        <v>451</v>
      </c>
      <c r="D22" s="283" t="s">
        <v>451</v>
      </c>
      <c r="E22" s="283" t="s">
        <v>451</v>
      </c>
      <c r="F22" s="283" t="s">
        <v>451</v>
      </c>
      <c r="I22" s="356"/>
    </row>
    <row r="23" ht="12.75" customHeight="1">
      <c r="A23" s="321">
        <v>18.0</v>
      </c>
      <c r="B23" s="283" t="s">
        <v>451</v>
      </c>
      <c r="C23" s="283" t="s">
        <v>451</v>
      </c>
      <c r="D23" s="283" t="s">
        <v>451</v>
      </c>
      <c r="E23" s="283" t="s">
        <v>451</v>
      </c>
      <c r="F23" s="283" t="s">
        <v>451</v>
      </c>
      <c r="I23" s="356"/>
    </row>
    <row r="24" ht="12.75" customHeight="1">
      <c r="A24" s="321">
        <v>19.0</v>
      </c>
      <c r="B24" s="283" t="s">
        <v>451</v>
      </c>
      <c r="C24" s="283" t="s">
        <v>451</v>
      </c>
      <c r="D24" s="283" t="s">
        <v>451</v>
      </c>
      <c r="E24" s="283" t="s">
        <v>451</v>
      </c>
      <c r="F24" s="283" t="s">
        <v>451</v>
      </c>
      <c r="I24" s="356"/>
    </row>
    <row r="25" ht="12.75" customHeight="1">
      <c r="A25" s="321">
        <v>20.0</v>
      </c>
      <c r="B25" s="283" t="s">
        <v>451</v>
      </c>
      <c r="C25" s="283" t="s">
        <v>451</v>
      </c>
      <c r="D25" s="283" t="s">
        <v>451</v>
      </c>
      <c r="E25" s="283" t="s">
        <v>451</v>
      </c>
      <c r="F25" s="283" t="s">
        <v>451</v>
      </c>
      <c r="I25" s="356"/>
    </row>
    <row r="26" ht="12.75" customHeight="1">
      <c r="A26" s="321">
        <v>21.0</v>
      </c>
      <c r="B26" s="283" t="s">
        <v>451</v>
      </c>
      <c r="C26" s="283" t="s">
        <v>451</v>
      </c>
      <c r="D26" s="283" t="s">
        <v>451</v>
      </c>
      <c r="E26" s="283" t="s">
        <v>451</v>
      </c>
      <c r="F26" s="283" t="s">
        <v>451</v>
      </c>
      <c r="I26" s="356"/>
    </row>
    <row r="27" ht="12.75" customHeight="1">
      <c r="A27" s="321">
        <v>22.0</v>
      </c>
      <c r="B27" s="283" t="s">
        <v>451</v>
      </c>
      <c r="C27" s="283" t="s">
        <v>451</v>
      </c>
      <c r="D27" s="283" t="s">
        <v>451</v>
      </c>
      <c r="E27" s="283" t="s">
        <v>451</v>
      </c>
      <c r="F27" s="283" t="s">
        <v>451</v>
      </c>
      <c r="I27" s="356"/>
    </row>
    <row r="28" ht="12.75" customHeight="1">
      <c r="A28" s="321">
        <v>23.0</v>
      </c>
      <c r="B28" s="283" t="s">
        <v>451</v>
      </c>
      <c r="C28" s="283" t="s">
        <v>451</v>
      </c>
      <c r="D28" s="283" t="s">
        <v>451</v>
      </c>
      <c r="E28" s="283" t="s">
        <v>451</v>
      </c>
      <c r="F28" s="283" t="s">
        <v>451</v>
      </c>
      <c r="I28" s="356"/>
    </row>
    <row r="29" ht="12.75" customHeight="1">
      <c r="A29" s="321">
        <v>24.0</v>
      </c>
      <c r="B29" s="283" t="s">
        <v>451</v>
      </c>
      <c r="C29" s="283" t="s">
        <v>451</v>
      </c>
      <c r="D29" s="283" t="s">
        <v>451</v>
      </c>
      <c r="E29" s="283" t="s">
        <v>451</v>
      </c>
      <c r="F29" s="283" t="s">
        <v>451</v>
      </c>
      <c r="I29" s="356"/>
    </row>
    <row r="30" ht="12.75" customHeight="1">
      <c r="A30" s="321">
        <v>25.0</v>
      </c>
      <c r="B30" s="283" t="s">
        <v>451</v>
      </c>
      <c r="C30" s="283" t="s">
        <v>451</v>
      </c>
      <c r="D30" s="283" t="s">
        <v>451</v>
      </c>
      <c r="E30" s="283" t="s">
        <v>451</v>
      </c>
      <c r="F30" s="283" t="s">
        <v>451</v>
      </c>
      <c r="I30" s="356"/>
    </row>
    <row r="31" ht="12.75" customHeight="1">
      <c r="A31" s="321">
        <v>26.0</v>
      </c>
      <c r="B31" s="283" t="s">
        <v>451</v>
      </c>
      <c r="C31" s="283" t="s">
        <v>451</v>
      </c>
      <c r="D31" s="283" t="s">
        <v>451</v>
      </c>
      <c r="E31" s="283" t="s">
        <v>451</v>
      </c>
      <c r="F31" s="283" t="s">
        <v>451</v>
      </c>
      <c r="I31" s="356"/>
    </row>
    <row r="32" ht="12.75" customHeight="1">
      <c r="A32" s="321">
        <v>27.0</v>
      </c>
      <c r="B32" s="283" t="s">
        <v>451</v>
      </c>
      <c r="C32" s="283" t="s">
        <v>451</v>
      </c>
      <c r="D32" s="283" t="s">
        <v>451</v>
      </c>
      <c r="E32" s="283" t="s">
        <v>451</v>
      </c>
      <c r="F32" s="283" t="s">
        <v>451</v>
      </c>
      <c r="I32" s="356"/>
    </row>
    <row r="33" ht="12.75" customHeight="1">
      <c r="A33" s="321">
        <v>28.0</v>
      </c>
      <c r="B33" s="283" t="s">
        <v>451</v>
      </c>
      <c r="C33" s="283" t="s">
        <v>451</v>
      </c>
      <c r="D33" s="283" t="s">
        <v>451</v>
      </c>
      <c r="E33" s="283" t="s">
        <v>451</v>
      </c>
      <c r="F33" s="283" t="s">
        <v>451</v>
      </c>
      <c r="I33" s="356"/>
    </row>
    <row r="34" ht="12.75" customHeight="1">
      <c r="I34" s="356"/>
    </row>
    <row r="35" ht="12.75" customHeight="1">
      <c r="A35" s="271" t="s">
        <v>1645</v>
      </c>
      <c r="B35" s="333"/>
      <c r="C35" s="333"/>
      <c r="D35" s="333"/>
      <c r="E35" s="333"/>
      <c r="F35" s="333"/>
      <c r="G35" s="333"/>
      <c r="H35" s="333"/>
    </row>
    <row r="36" ht="12.75" customHeight="1">
      <c r="A36" s="274" t="s">
        <v>1646</v>
      </c>
      <c r="B36" s="275" t="s">
        <v>459</v>
      </c>
      <c r="I36" s="356"/>
    </row>
    <row r="37" ht="12.75" customHeight="1">
      <c r="A37" s="277" t="s">
        <v>1595</v>
      </c>
      <c r="B37" s="283" t="s">
        <v>451</v>
      </c>
      <c r="I37" s="356"/>
    </row>
    <row r="38" ht="12.75" customHeight="1">
      <c r="A38" s="277" t="s">
        <v>1596</v>
      </c>
      <c r="B38" s="283" t="s">
        <v>451</v>
      </c>
      <c r="I38" s="356"/>
    </row>
    <row r="39" ht="12.75" customHeight="1">
      <c r="A39" s="277" t="s">
        <v>590</v>
      </c>
      <c r="B39" s="283" t="s">
        <v>451</v>
      </c>
      <c r="I39" s="356"/>
    </row>
    <row r="40" ht="12.75" customHeight="1">
      <c r="A40" s="277" t="s">
        <v>1647</v>
      </c>
      <c r="B40" s="283" t="s">
        <v>451</v>
      </c>
      <c r="I40" s="356"/>
    </row>
    <row r="41" ht="12.75" customHeight="1">
      <c r="A41" s="277" t="s">
        <v>1648</v>
      </c>
      <c r="B41" s="283" t="s">
        <v>451</v>
      </c>
      <c r="I41" s="356"/>
    </row>
    <row r="42" ht="12.75" customHeight="1">
      <c r="A42" s="277" t="s">
        <v>1649</v>
      </c>
      <c r="B42" s="283" t="s">
        <v>451</v>
      </c>
      <c r="I42" s="356"/>
    </row>
    <row r="43" ht="12.75" customHeight="1">
      <c r="A43" s="277" t="s">
        <v>1650</v>
      </c>
      <c r="B43" s="283" t="s">
        <v>451</v>
      </c>
      <c r="I43" s="356"/>
    </row>
    <row r="44" ht="12.75" customHeight="1">
      <c r="A44" s="277" t="s">
        <v>1651</v>
      </c>
      <c r="B44" s="283" t="s">
        <v>451</v>
      </c>
      <c r="I44" s="356"/>
    </row>
    <row r="45" ht="12.75" customHeight="1">
      <c r="A45" s="277" t="s">
        <v>1652</v>
      </c>
      <c r="B45" s="283" t="s">
        <v>451</v>
      </c>
      <c r="I45" s="356"/>
    </row>
    <row r="46" ht="12.75" customHeight="1">
      <c r="A46" s="277" t="s">
        <v>1653</v>
      </c>
      <c r="B46" s="283" t="s">
        <v>451</v>
      </c>
      <c r="I46" s="356"/>
    </row>
    <row r="47" ht="12.75" customHeight="1">
      <c r="I47" s="356"/>
    </row>
    <row r="48" ht="12.75" customHeight="1">
      <c r="A48" s="279"/>
    </row>
    <row r="49" ht="12.75" customHeight="1">
      <c r="A49" s="309" t="s">
        <v>1654</v>
      </c>
      <c r="B49" s="333"/>
      <c r="C49" s="333"/>
      <c r="D49" s="333"/>
      <c r="E49" s="333"/>
      <c r="F49" s="333"/>
      <c r="G49" s="333"/>
      <c r="H49" s="273"/>
      <c r="I49" s="356"/>
      <c r="J49" s="309" t="s">
        <v>1655</v>
      </c>
      <c r="K49" s="357"/>
      <c r="L49" s="357"/>
      <c r="M49" s="357"/>
      <c r="N49" s="357"/>
      <c r="O49" s="357"/>
      <c r="P49" s="357"/>
      <c r="Q49" s="357"/>
      <c r="R49" s="357"/>
      <c r="S49" s="357"/>
      <c r="T49" s="357"/>
    </row>
    <row r="50" ht="12.75" customHeight="1">
      <c r="A50" s="275" t="s">
        <v>61</v>
      </c>
      <c r="B50" s="276" t="s">
        <v>1656</v>
      </c>
      <c r="C50" s="275" t="s">
        <v>356</v>
      </c>
      <c r="D50" s="275" t="s">
        <v>1657</v>
      </c>
      <c r="E50" s="275" t="s">
        <v>1658</v>
      </c>
      <c r="F50" s="275" t="s">
        <v>1659</v>
      </c>
      <c r="G50" s="275" t="s">
        <v>1660</v>
      </c>
      <c r="H50" s="275" t="s">
        <v>1648</v>
      </c>
      <c r="I50" s="356"/>
      <c r="J50" s="267" t="s">
        <v>1661</v>
      </c>
      <c r="M50" s="269" t="s">
        <v>451</v>
      </c>
      <c r="Q50" s="269" t="s">
        <v>451</v>
      </c>
      <c r="V50" s="358" t="s">
        <v>591</v>
      </c>
      <c r="W50" s="359" t="s">
        <v>1662</v>
      </c>
      <c r="X50" s="360" t="s">
        <v>1663</v>
      </c>
      <c r="Y50" s="358" t="s">
        <v>1664</v>
      </c>
    </row>
    <row r="51" ht="12.75" customHeight="1">
      <c r="A51" s="361">
        <v>1.0</v>
      </c>
      <c r="B51" s="283"/>
      <c r="C51" s="283" t="s">
        <v>1665</v>
      </c>
      <c r="D51" s="283" t="s">
        <v>1666</v>
      </c>
      <c r="E51" s="362"/>
      <c r="F51" s="362"/>
      <c r="G51" s="362"/>
      <c r="H51" s="363">
        <v>0.0</v>
      </c>
      <c r="I51" s="356"/>
      <c r="J51" s="37" t="s">
        <v>1667</v>
      </c>
      <c r="N51" s="37" t="s">
        <v>1668</v>
      </c>
      <c r="R51" s="37" t="s">
        <v>1669</v>
      </c>
      <c r="V51" s="364">
        <f>IFERROR(__xludf.DUMMYFUNCTION("counta(split(join("","", filter(F51:F350, F51:F350&lt;&gt;"""")), "",""))"),89.0)</f>
        <v>89</v>
      </c>
      <c r="W51" s="365">
        <f>V51/PackConfig!$B$3</f>
        <v>1.236111111</v>
      </c>
      <c r="X51" s="365">
        <f>max(($V$51-PackConfig!$B$3)/PackConfig!$B$3, 0)</f>
        <v>0.2361111111</v>
      </c>
      <c r="Y51" s="365">
        <f>max(($V$51-PackConfig!$B$3*2)/PackConfig!$B$3, 0)</f>
        <v>0</v>
      </c>
    </row>
    <row r="52" ht="12.75" customHeight="1">
      <c r="A52" s="361">
        <v>2.0</v>
      </c>
      <c r="B52" s="283"/>
      <c r="C52" s="283" t="s">
        <v>1665</v>
      </c>
      <c r="D52" s="283" t="s">
        <v>1666</v>
      </c>
      <c r="E52" s="362"/>
      <c r="F52" s="362"/>
      <c r="G52" s="362"/>
      <c r="H52" s="363">
        <v>0.0</v>
      </c>
      <c r="I52" s="356"/>
      <c r="J52" s="366" t="s">
        <v>469</v>
      </c>
      <c r="K52" s="366" t="s">
        <v>469</v>
      </c>
      <c r="L52" s="366" t="s">
        <v>469</v>
      </c>
      <c r="N52" s="366" t="s">
        <v>469</v>
      </c>
      <c r="O52" s="366" t="s">
        <v>469</v>
      </c>
      <c r="P52" s="366" t="s">
        <v>469</v>
      </c>
      <c r="R52" s="366" t="s">
        <v>469</v>
      </c>
      <c r="S52" s="366" t="s">
        <v>469</v>
      </c>
      <c r="T52" s="366" t="s">
        <v>469</v>
      </c>
      <c r="V52" s="297"/>
      <c r="W52" s="297"/>
      <c r="X52" s="297"/>
      <c r="Y52" s="297"/>
    </row>
    <row r="53" ht="12.75" customHeight="1">
      <c r="A53" s="361">
        <v>3.0</v>
      </c>
      <c r="B53" s="283"/>
      <c r="C53" s="283" t="s">
        <v>1665</v>
      </c>
      <c r="D53" s="283" t="s">
        <v>1666</v>
      </c>
      <c r="E53" s="362"/>
      <c r="F53" s="362"/>
      <c r="G53" s="362"/>
      <c r="H53" s="363">
        <v>0.0</v>
      </c>
      <c r="I53" s="356"/>
      <c r="J53" s="366" t="s">
        <v>469</v>
      </c>
      <c r="K53" s="366" t="s">
        <v>470</v>
      </c>
      <c r="L53" s="366" t="s">
        <v>470</v>
      </c>
      <c r="N53" s="366" t="s">
        <v>469</v>
      </c>
      <c r="O53" s="366" t="s">
        <v>470</v>
      </c>
      <c r="P53" s="366" t="s">
        <v>470</v>
      </c>
      <c r="R53" s="366" t="s">
        <v>470</v>
      </c>
      <c r="S53" s="366" t="s">
        <v>470</v>
      </c>
      <c r="T53" s="366" t="s">
        <v>471</v>
      </c>
      <c r="V53" s="367" t="s">
        <v>1670</v>
      </c>
      <c r="W53" s="297"/>
      <c r="X53" s="297"/>
      <c r="Y53" s="297"/>
    </row>
    <row r="54" ht="12.75" customHeight="1">
      <c r="A54" s="361">
        <v>4.0</v>
      </c>
      <c r="B54" s="283"/>
      <c r="C54" s="283" t="s">
        <v>1665</v>
      </c>
      <c r="D54" s="283" t="s">
        <v>1666</v>
      </c>
      <c r="E54" s="362"/>
      <c r="F54" s="362"/>
      <c r="G54" s="362"/>
      <c r="H54" s="363">
        <v>0.0</v>
      </c>
      <c r="I54" s="356"/>
      <c r="J54" s="366" t="s">
        <v>470</v>
      </c>
      <c r="K54" s="366" t="s">
        <v>471</v>
      </c>
      <c r="L54" s="366" t="s">
        <v>471</v>
      </c>
      <c r="N54" s="366" t="s">
        <v>471</v>
      </c>
      <c r="O54" s="366" t="s">
        <v>471</v>
      </c>
      <c r="P54" s="366" t="s">
        <v>472</v>
      </c>
      <c r="R54" s="366" t="s">
        <v>472</v>
      </c>
      <c r="S54" s="366" t="s">
        <v>472</v>
      </c>
      <c r="T54" s="366" t="s">
        <v>473</v>
      </c>
      <c r="V54" s="358" t="s">
        <v>1671</v>
      </c>
      <c r="W54" s="359" t="s">
        <v>1672</v>
      </c>
      <c r="X54" s="297"/>
      <c r="Y54" s="297"/>
    </row>
    <row r="55" ht="12.75" customHeight="1">
      <c r="A55" s="361">
        <v>5.0</v>
      </c>
      <c r="B55" s="283"/>
      <c r="C55" s="283" t="s">
        <v>1665</v>
      </c>
      <c r="D55" s="283" t="s">
        <v>1666</v>
      </c>
      <c r="E55" s="362"/>
      <c r="F55" s="362"/>
      <c r="G55" s="362"/>
      <c r="H55" s="363">
        <v>0.0</v>
      </c>
      <c r="I55" s="356"/>
      <c r="V55" s="368" t="s">
        <v>469</v>
      </c>
      <c r="W55" s="369">
        <f>IFERROR(__xludf.DUMMYFUNCTION("counta(filter($B$51:$B$250, $B$51:$B$250=""1-star Dly""))/28 * 1"),1.0)</f>
        <v>1</v>
      </c>
      <c r="X55" s="297"/>
      <c r="Y55" s="297"/>
    </row>
    <row r="56" ht="12.75" customHeight="1">
      <c r="A56" s="361">
        <v>6.0</v>
      </c>
      <c r="B56" s="283"/>
      <c r="C56" s="283" t="s">
        <v>1665</v>
      </c>
      <c r="D56" s="283" t="s">
        <v>1666</v>
      </c>
      <c r="E56" s="362"/>
      <c r="F56" s="362"/>
      <c r="G56" s="362"/>
      <c r="H56" s="363">
        <v>0.0</v>
      </c>
      <c r="I56" s="356"/>
      <c r="J56" s="37" t="s">
        <v>1673</v>
      </c>
      <c r="N56" s="37" t="s">
        <v>1674</v>
      </c>
      <c r="R56" s="37" t="s">
        <v>1675</v>
      </c>
      <c r="V56" s="368" t="s">
        <v>470</v>
      </c>
      <c r="W56" s="369">
        <f>IFERROR(__xludf.DUMMYFUNCTION("counta(filter($B$51:$B$250, $B$51:$B$250=""2-star Dly""))/28 * 1"),0.39285714285714285)</f>
        <v>0.3928571429</v>
      </c>
      <c r="X56" s="297"/>
      <c r="Y56" s="297"/>
    </row>
    <row r="57" ht="12.75" customHeight="1">
      <c r="A57" s="361">
        <v>7.0</v>
      </c>
      <c r="B57" s="283" t="s">
        <v>79</v>
      </c>
      <c r="C57" s="283" t="s">
        <v>371</v>
      </c>
      <c r="D57" s="283" t="s">
        <v>1666</v>
      </c>
      <c r="E57" s="362" t="s">
        <v>1676</v>
      </c>
      <c r="F57" s="362" t="s">
        <v>1676</v>
      </c>
      <c r="G57" s="362"/>
      <c r="H57" s="363">
        <v>0.0</v>
      </c>
      <c r="I57" s="356"/>
      <c r="J57" s="366" t="s">
        <v>469</v>
      </c>
      <c r="K57" s="366" t="s">
        <v>469</v>
      </c>
      <c r="L57" s="366" t="s">
        <v>470</v>
      </c>
      <c r="N57" s="366" t="s">
        <v>469</v>
      </c>
      <c r="O57" s="366" t="s">
        <v>469</v>
      </c>
      <c r="P57" s="366" t="s">
        <v>470</v>
      </c>
      <c r="R57" s="366" t="s">
        <v>469</v>
      </c>
      <c r="S57" s="366" t="s">
        <v>469</v>
      </c>
      <c r="T57" s="366" t="s">
        <v>470</v>
      </c>
      <c r="V57" s="368" t="s">
        <v>471</v>
      </c>
      <c r="W57" s="369">
        <f>IFERROR(__xludf.DUMMYFUNCTION("counta(filter($B$51:$B$250, $B$51:$B$250=""3-star Dly""))/28 * 1"),1.1785714285714286)</f>
        <v>1.178571429</v>
      </c>
      <c r="X57" s="297"/>
      <c r="Y57" s="297"/>
    </row>
    <row r="58" ht="12.75" customHeight="1">
      <c r="A58" s="361">
        <v>7.0</v>
      </c>
      <c r="B58" s="283" t="s">
        <v>81</v>
      </c>
      <c r="C58" s="283" t="s">
        <v>371</v>
      </c>
      <c r="D58" s="283" t="s">
        <v>1666</v>
      </c>
      <c r="E58" s="362" t="s">
        <v>1677</v>
      </c>
      <c r="F58" s="362" t="s">
        <v>1677</v>
      </c>
      <c r="G58" s="362"/>
      <c r="H58" s="363">
        <v>0.0</v>
      </c>
      <c r="I58" s="356"/>
      <c r="J58" s="366" t="s">
        <v>470</v>
      </c>
      <c r="K58" s="366" t="s">
        <v>471</v>
      </c>
      <c r="L58" s="366" t="s">
        <v>471</v>
      </c>
      <c r="N58" s="366" t="s">
        <v>470</v>
      </c>
      <c r="O58" s="366" t="s">
        <v>471</v>
      </c>
      <c r="P58" s="366" t="s">
        <v>472</v>
      </c>
      <c r="R58" s="366" t="s">
        <v>470</v>
      </c>
      <c r="S58" s="366" t="s">
        <v>471</v>
      </c>
      <c r="T58" s="366" t="s">
        <v>472</v>
      </c>
      <c r="V58" s="368" t="s">
        <v>472</v>
      </c>
      <c r="W58" s="369">
        <f>IFERROR(__xludf.DUMMYFUNCTION("counta(filter($B$51:$B$250, $B$51:$B$250=""4-star Dly""))/28 * 1"),0.5714285714285714)</f>
        <v>0.5714285714</v>
      </c>
      <c r="X58" s="297"/>
      <c r="Y58" s="297"/>
    </row>
    <row r="59" ht="12.75" customHeight="1">
      <c r="A59" s="361">
        <v>7.0</v>
      </c>
      <c r="B59" s="283" t="s">
        <v>82</v>
      </c>
      <c r="C59" s="283" t="s">
        <v>371</v>
      </c>
      <c r="D59" s="283" t="s">
        <v>1666</v>
      </c>
      <c r="E59" s="362" t="s">
        <v>1678</v>
      </c>
      <c r="F59" s="362" t="s">
        <v>1678</v>
      </c>
      <c r="G59" s="362"/>
      <c r="H59" s="363">
        <v>0.0</v>
      </c>
      <c r="I59" s="356"/>
      <c r="J59" s="366" t="s">
        <v>472</v>
      </c>
      <c r="K59" s="366" t="s">
        <v>472</v>
      </c>
      <c r="L59" s="366" t="s">
        <v>473</v>
      </c>
      <c r="N59" s="366" t="s">
        <v>472</v>
      </c>
      <c r="O59" s="366" t="s">
        <v>473</v>
      </c>
      <c r="P59" s="366" t="s">
        <v>473</v>
      </c>
      <c r="R59" s="366" t="s">
        <v>473</v>
      </c>
      <c r="S59" s="366" t="s">
        <v>473</v>
      </c>
      <c r="T59" s="366" t="s">
        <v>473</v>
      </c>
      <c r="V59" s="368" t="s">
        <v>473</v>
      </c>
      <c r="W59" s="369">
        <f>IFERROR(__xludf.DUMMYFUNCTION("counta(filter($B$51:$B$250, $B$51:$B$250=""5-star Dly""))/28 * 1"),0.2857142857142857)</f>
        <v>0.2857142857</v>
      </c>
      <c r="X59" s="297"/>
      <c r="Y59" s="297"/>
    </row>
    <row r="60" ht="12.75" customHeight="1">
      <c r="A60" s="361">
        <v>7.0</v>
      </c>
      <c r="B60" s="283" t="s">
        <v>82</v>
      </c>
      <c r="C60" s="283" t="s">
        <v>428</v>
      </c>
      <c r="D60" s="283" t="s">
        <v>1666</v>
      </c>
      <c r="E60" s="362" t="s">
        <v>1679</v>
      </c>
      <c r="F60" s="362" t="s">
        <v>1680</v>
      </c>
      <c r="G60" s="362" t="s">
        <v>1681</v>
      </c>
      <c r="H60" s="363">
        <v>1.0</v>
      </c>
      <c r="I60" s="356"/>
    </row>
    <row r="61" ht="12.75" customHeight="1">
      <c r="A61" s="361">
        <v>7.0</v>
      </c>
      <c r="B61" s="283" t="s">
        <v>83</v>
      </c>
      <c r="C61" s="283" t="s">
        <v>428</v>
      </c>
      <c r="D61" s="283" t="s">
        <v>1666</v>
      </c>
      <c r="E61" s="362" t="s">
        <v>1682</v>
      </c>
      <c r="F61" s="362" t="s">
        <v>1683</v>
      </c>
      <c r="G61" s="362" t="s">
        <v>1684</v>
      </c>
      <c r="H61" s="363">
        <v>3.0</v>
      </c>
      <c r="I61" s="356"/>
      <c r="J61" s="37" t="s">
        <v>1685</v>
      </c>
      <c r="N61" s="37" t="s">
        <v>1686</v>
      </c>
    </row>
    <row r="62" ht="12.75" customHeight="1">
      <c r="A62" s="361">
        <v>7.0</v>
      </c>
      <c r="B62" s="283" t="s">
        <v>79</v>
      </c>
      <c r="C62" s="283" t="s">
        <v>35</v>
      </c>
      <c r="D62" s="283" t="s">
        <v>1666</v>
      </c>
      <c r="E62" s="362" t="s">
        <v>1687</v>
      </c>
      <c r="F62" s="362"/>
      <c r="G62" s="362" t="s">
        <v>1687</v>
      </c>
      <c r="H62" s="363">
        <v>5.0</v>
      </c>
      <c r="I62" s="356"/>
      <c r="J62" s="366" t="s">
        <v>469</v>
      </c>
      <c r="K62" s="366" t="s">
        <v>469</v>
      </c>
      <c r="L62" s="366" t="s">
        <v>470</v>
      </c>
      <c r="N62" s="366" t="s">
        <v>469</v>
      </c>
      <c r="O62" s="366" t="s">
        <v>469</v>
      </c>
      <c r="P62" s="366" t="s">
        <v>470</v>
      </c>
    </row>
    <row r="63" ht="12.75" customHeight="1">
      <c r="A63" s="361">
        <v>7.0</v>
      </c>
      <c r="B63" s="283" t="s">
        <v>81</v>
      </c>
      <c r="C63" s="283" t="s">
        <v>35</v>
      </c>
      <c r="D63" s="283" t="s">
        <v>1666</v>
      </c>
      <c r="E63" s="362" t="s">
        <v>1688</v>
      </c>
      <c r="F63" s="362" t="s">
        <v>1689</v>
      </c>
      <c r="G63" s="362" t="s">
        <v>1690</v>
      </c>
      <c r="H63" s="363">
        <v>9.0</v>
      </c>
      <c r="I63" s="356"/>
      <c r="J63" s="366" t="s">
        <v>470</v>
      </c>
      <c r="K63" s="366" t="s">
        <v>471</v>
      </c>
      <c r="L63" s="366" t="s">
        <v>472</v>
      </c>
      <c r="N63" s="366" t="s">
        <v>470</v>
      </c>
      <c r="O63" s="366" t="s">
        <v>471</v>
      </c>
      <c r="P63" s="366" t="s">
        <v>472</v>
      </c>
    </row>
    <row r="64" ht="12.75" customHeight="1">
      <c r="A64" s="361">
        <v>7.0</v>
      </c>
      <c r="B64" s="283" t="s">
        <v>79</v>
      </c>
      <c r="C64" s="283" t="s">
        <v>37</v>
      </c>
      <c r="D64" s="283" t="s">
        <v>1666</v>
      </c>
      <c r="E64" s="362" t="s">
        <v>1691</v>
      </c>
      <c r="F64" s="362" t="s">
        <v>1691</v>
      </c>
      <c r="G64" s="362"/>
      <c r="H64" s="363">
        <v>9.0</v>
      </c>
      <c r="I64" s="356"/>
      <c r="J64" s="366" t="s">
        <v>473</v>
      </c>
      <c r="K64" s="366" t="s">
        <v>473</v>
      </c>
      <c r="L64" s="366" t="s">
        <v>473</v>
      </c>
      <c r="N64" s="366" t="s">
        <v>473</v>
      </c>
      <c r="O64" s="366" t="s">
        <v>473</v>
      </c>
      <c r="P64" s="366" t="s">
        <v>473</v>
      </c>
    </row>
    <row r="65" ht="12.75" customHeight="1">
      <c r="A65" s="361">
        <v>7.0</v>
      </c>
      <c r="B65" s="283" t="s">
        <v>81</v>
      </c>
      <c r="C65" s="283" t="s">
        <v>37</v>
      </c>
      <c r="D65" s="283" t="s">
        <v>1666</v>
      </c>
      <c r="E65" s="362" t="s">
        <v>1692</v>
      </c>
      <c r="F65" s="362" t="s">
        <v>1693</v>
      </c>
      <c r="G65" s="362" t="s">
        <v>1694</v>
      </c>
      <c r="H65" s="363">
        <v>13.0</v>
      </c>
      <c r="I65" s="356"/>
    </row>
    <row r="66" ht="12.75" customHeight="1">
      <c r="A66" s="361">
        <v>8.0</v>
      </c>
      <c r="B66" s="283"/>
      <c r="C66" s="283" t="s">
        <v>1665</v>
      </c>
      <c r="D66" s="283" t="s">
        <v>1666</v>
      </c>
      <c r="E66" s="362"/>
      <c r="F66" s="362"/>
      <c r="G66" s="362"/>
      <c r="H66" s="363">
        <v>13.0</v>
      </c>
      <c r="I66" s="356"/>
    </row>
    <row r="67" ht="12.75" customHeight="1">
      <c r="A67" s="361">
        <v>9.0</v>
      </c>
      <c r="B67" s="283"/>
      <c r="C67" s="283" t="s">
        <v>1665</v>
      </c>
      <c r="D67" s="283" t="s">
        <v>1666</v>
      </c>
      <c r="E67" s="362"/>
      <c r="F67" s="362"/>
      <c r="G67" s="362"/>
      <c r="H67" s="363">
        <v>13.0</v>
      </c>
      <c r="I67" s="356"/>
      <c r="J67" s="267" t="s">
        <v>1695</v>
      </c>
      <c r="M67" s="269" t="s">
        <v>451</v>
      </c>
      <c r="Q67" s="269" t="s">
        <v>451</v>
      </c>
    </row>
    <row r="68" ht="12.75" customHeight="1">
      <c r="A68" s="361">
        <v>10.0</v>
      </c>
      <c r="B68" s="283"/>
      <c r="C68" s="283" t="s">
        <v>1665</v>
      </c>
      <c r="D68" s="283" t="s">
        <v>1666</v>
      </c>
      <c r="E68" s="362"/>
      <c r="F68" s="362"/>
      <c r="G68" s="362"/>
      <c r="H68" s="363">
        <v>13.0</v>
      </c>
      <c r="I68" s="356"/>
      <c r="J68" s="37" t="s">
        <v>1667</v>
      </c>
      <c r="N68" s="37" t="s">
        <v>1668</v>
      </c>
      <c r="R68" s="37" t="s">
        <v>1669</v>
      </c>
    </row>
    <row r="69" ht="12.75" customHeight="1">
      <c r="A69" s="361">
        <v>11.0</v>
      </c>
      <c r="B69" s="283"/>
      <c r="C69" s="283" t="s">
        <v>1665</v>
      </c>
      <c r="D69" s="283" t="s">
        <v>1666</v>
      </c>
      <c r="E69" s="362"/>
      <c r="F69" s="362"/>
      <c r="G69" s="362"/>
      <c r="H69" s="363">
        <v>13.0</v>
      </c>
      <c r="I69" s="356"/>
      <c r="J69" s="366"/>
      <c r="K69" s="366" t="s">
        <v>469</v>
      </c>
      <c r="L69" s="366" t="s">
        <v>469</v>
      </c>
      <c r="N69" s="366"/>
      <c r="O69" s="366" t="s">
        <v>469</v>
      </c>
      <c r="P69" s="366" t="s">
        <v>469</v>
      </c>
      <c r="R69" s="366"/>
      <c r="S69" s="366"/>
      <c r="T69" s="366" t="s">
        <v>469</v>
      </c>
    </row>
    <row r="70" ht="12.75" customHeight="1">
      <c r="A70" s="361">
        <v>12.0</v>
      </c>
      <c r="B70" s="283" t="s">
        <v>79</v>
      </c>
      <c r="C70" s="283" t="s">
        <v>44</v>
      </c>
      <c r="D70" s="283" t="s">
        <v>1666</v>
      </c>
      <c r="E70" s="362" t="s">
        <v>1696</v>
      </c>
      <c r="F70" s="362" t="s">
        <v>1697</v>
      </c>
      <c r="G70" s="362" t="s">
        <v>1698</v>
      </c>
      <c r="H70" s="363">
        <v>15.0</v>
      </c>
      <c r="I70" s="356"/>
      <c r="J70" s="366"/>
      <c r="K70" s="366"/>
      <c r="L70" s="366"/>
      <c r="N70" s="366"/>
      <c r="O70" s="366" t="s">
        <v>470</v>
      </c>
      <c r="P70" s="366" t="s">
        <v>470</v>
      </c>
      <c r="R70" s="366" t="s">
        <v>470</v>
      </c>
      <c r="S70" s="366"/>
      <c r="T70" s="366"/>
    </row>
    <row r="71" ht="12.75" customHeight="1">
      <c r="A71" s="361">
        <v>13.0</v>
      </c>
      <c r="B71" s="283" t="s">
        <v>79</v>
      </c>
      <c r="C71" s="283" t="s">
        <v>371</v>
      </c>
      <c r="D71" s="283" t="s">
        <v>1666</v>
      </c>
      <c r="E71" s="362" t="s">
        <v>1699</v>
      </c>
      <c r="F71" s="362" t="s">
        <v>1700</v>
      </c>
      <c r="G71" s="362" t="s">
        <v>1701</v>
      </c>
      <c r="H71" s="363">
        <v>16.0</v>
      </c>
      <c r="I71" s="356"/>
      <c r="J71" s="366" t="s">
        <v>470</v>
      </c>
      <c r="K71" s="366" t="s">
        <v>471</v>
      </c>
      <c r="L71" s="366"/>
      <c r="N71" s="366"/>
      <c r="O71" s="366"/>
      <c r="P71" s="366" t="s">
        <v>472</v>
      </c>
      <c r="R71" s="366"/>
      <c r="S71" s="366"/>
      <c r="T71" s="366"/>
    </row>
    <row r="72" ht="12.75" customHeight="1">
      <c r="A72" s="361">
        <v>13.0</v>
      </c>
      <c r="B72" s="283" t="s">
        <v>81</v>
      </c>
      <c r="C72" s="283" t="s">
        <v>371</v>
      </c>
      <c r="D72" s="283" t="s">
        <v>1666</v>
      </c>
      <c r="E72" s="362" t="s">
        <v>1702</v>
      </c>
      <c r="F72" s="362" t="s">
        <v>1703</v>
      </c>
      <c r="G72" s="362" t="s">
        <v>1704</v>
      </c>
      <c r="H72" s="363">
        <v>19.0</v>
      </c>
      <c r="I72" s="356"/>
    </row>
    <row r="73" ht="12.75" customHeight="1">
      <c r="A73" s="361">
        <v>13.0</v>
      </c>
      <c r="B73" s="283" t="s">
        <v>82</v>
      </c>
      <c r="C73" s="283" t="s">
        <v>371</v>
      </c>
      <c r="D73" s="283" t="s">
        <v>1666</v>
      </c>
      <c r="E73" s="362" t="s">
        <v>1705</v>
      </c>
      <c r="F73" s="362" t="s">
        <v>1706</v>
      </c>
      <c r="G73" s="362" t="s">
        <v>1707</v>
      </c>
      <c r="H73" s="363">
        <v>24.0</v>
      </c>
      <c r="I73" s="356"/>
      <c r="J73" s="37" t="s">
        <v>1673</v>
      </c>
      <c r="N73" s="37" t="s">
        <v>1674</v>
      </c>
      <c r="R73" s="37" t="s">
        <v>1675</v>
      </c>
    </row>
    <row r="74" ht="12.75" customHeight="1">
      <c r="A74" s="361">
        <v>13.0</v>
      </c>
      <c r="B74" s="283" t="s">
        <v>82</v>
      </c>
      <c r="C74" s="283" t="s">
        <v>428</v>
      </c>
      <c r="D74" s="283" t="s">
        <v>1666</v>
      </c>
      <c r="E74" s="362" t="s">
        <v>1708</v>
      </c>
      <c r="F74" s="362" t="s">
        <v>1709</v>
      </c>
      <c r="G74" s="362" t="s">
        <v>1710</v>
      </c>
      <c r="H74" s="363">
        <v>26.0</v>
      </c>
      <c r="I74" s="356"/>
      <c r="J74" s="366"/>
      <c r="K74" s="366" t="s">
        <v>469</v>
      </c>
      <c r="L74" s="366"/>
      <c r="N74" s="366"/>
      <c r="O74" s="366"/>
      <c r="P74" s="366"/>
      <c r="R74" s="366" t="s">
        <v>469</v>
      </c>
      <c r="S74" s="366" t="s">
        <v>469</v>
      </c>
      <c r="T74" s="366"/>
    </row>
    <row r="75" ht="12.75" customHeight="1">
      <c r="A75" s="361">
        <v>13.0</v>
      </c>
      <c r="B75" s="283" t="s">
        <v>83</v>
      </c>
      <c r="C75" s="283" t="s">
        <v>428</v>
      </c>
      <c r="D75" s="283" t="s">
        <v>1666</v>
      </c>
      <c r="E75" s="362" t="s">
        <v>1711</v>
      </c>
      <c r="F75" s="362" t="s">
        <v>1712</v>
      </c>
      <c r="G75" s="362" t="s">
        <v>1713</v>
      </c>
      <c r="H75" s="363">
        <v>37.0</v>
      </c>
      <c r="I75" s="356"/>
      <c r="J75" s="366"/>
      <c r="K75" s="366" t="s">
        <v>471</v>
      </c>
      <c r="L75" s="366"/>
      <c r="N75" s="366"/>
      <c r="O75" s="366"/>
      <c r="P75" s="366"/>
      <c r="R75" s="366"/>
      <c r="S75" s="366"/>
      <c r="T75" s="366"/>
    </row>
    <row r="76" ht="12.75" customHeight="1">
      <c r="A76" s="361">
        <v>13.0</v>
      </c>
      <c r="B76" s="283" t="s">
        <v>79</v>
      </c>
      <c r="C76" s="283" t="s">
        <v>35</v>
      </c>
      <c r="D76" s="283" t="s">
        <v>1666</v>
      </c>
      <c r="E76" s="362" t="s">
        <v>1714</v>
      </c>
      <c r="F76" s="362" t="s">
        <v>1714</v>
      </c>
      <c r="G76" s="362"/>
      <c r="H76" s="363">
        <v>37.0</v>
      </c>
      <c r="I76" s="356"/>
      <c r="J76" s="366"/>
      <c r="K76" s="366"/>
      <c r="L76" s="366"/>
      <c r="N76" s="366"/>
      <c r="O76" s="366"/>
      <c r="P76" s="366"/>
      <c r="R76" s="366"/>
      <c r="S76" s="366" t="s">
        <v>473</v>
      </c>
      <c r="T76" s="366"/>
    </row>
    <row r="77" ht="12.75" customHeight="1">
      <c r="A77" s="361">
        <v>13.0</v>
      </c>
      <c r="B77" s="283" t="s">
        <v>81</v>
      </c>
      <c r="C77" s="283" t="s">
        <v>35</v>
      </c>
      <c r="D77" s="283" t="s">
        <v>1666</v>
      </c>
      <c r="E77" s="362" t="s">
        <v>1715</v>
      </c>
      <c r="F77" s="362" t="s">
        <v>1716</v>
      </c>
      <c r="G77" s="362" t="s">
        <v>1717</v>
      </c>
      <c r="H77" s="363">
        <v>38.0</v>
      </c>
      <c r="I77" s="356"/>
    </row>
    <row r="78" ht="12.75" customHeight="1">
      <c r="A78" s="361">
        <v>13.0</v>
      </c>
      <c r="B78" s="283" t="s">
        <v>79</v>
      </c>
      <c r="C78" s="283" t="s">
        <v>37</v>
      </c>
      <c r="D78" s="283" t="s">
        <v>1666</v>
      </c>
      <c r="E78" s="362" t="s">
        <v>1718</v>
      </c>
      <c r="F78" s="362" t="s">
        <v>1719</v>
      </c>
      <c r="G78" s="362" t="s">
        <v>1720</v>
      </c>
      <c r="H78" s="363">
        <v>39.0</v>
      </c>
      <c r="I78" s="356"/>
      <c r="J78" s="37" t="s">
        <v>1685</v>
      </c>
      <c r="N78" s="37" t="s">
        <v>1686</v>
      </c>
    </row>
    <row r="79" ht="12.75" customHeight="1">
      <c r="A79" s="361">
        <v>13.0</v>
      </c>
      <c r="B79" s="283" t="s">
        <v>81</v>
      </c>
      <c r="C79" s="283" t="s">
        <v>37</v>
      </c>
      <c r="D79" s="283" t="s">
        <v>1666</v>
      </c>
      <c r="E79" s="362" t="s">
        <v>1721</v>
      </c>
      <c r="F79" s="362" t="s">
        <v>1722</v>
      </c>
      <c r="G79" s="362" t="s">
        <v>1723</v>
      </c>
      <c r="H79" s="363">
        <v>41.0</v>
      </c>
      <c r="I79" s="356"/>
      <c r="J79" s="366"/>
      <c r="K79" s="366"/>
      <c r="L79" s="366"/>
      <c r="N79" s="366"/>
      <c r="O79" s="366"/>
      <c r="P79" s="366"/>
    </row>
    <row r="80" ht="12.75" customHeight="1">
      <c r="A80" s="361">
        <v>14.0</v>
      </c>
      <c r="B80" s="283"/>
      <c r="C80" s="283" t="s">
        <v>1665</v>
      </c>
      <c r="D80" s="283" t="s">
        <v>1666</v>
      </c>
      <c r="E80" s="362"/>
      <c r="F80" s="362"/>
      <c r="G80" s="362"/>
      <c r="H80" s="363">
        <v>41.0</v>
      </c>
      <c r="I80" s="356"/>
      <c r="J80" s="366"/>
      <c r="K80" s="366" t="s">
        <v>471</v>
      </c>
      <c r="L80" s="366"/>
      <c r="N80" s="366"/>
      <c r="O80" s="366"/>
      <c r="P80" s="366"/>
    </row>
    <row r="81" ht="12.75" customHeight="1">
      <c r="A81" s="361">
        <v>15.0</v>
      </c>
      <c r="B81" s="283"/>
      <c r="C81" s="283" t="s">
        <v>1665</v>
      </c>
      <c r="D81" s="283" t="s">
        <v>1666</v>
      </c>
      <c r="E81" s="362"/>
      <c r="F81" s="362"/>
      <c r="G81" s="362"/>
      <c r="H81" s="363">
        <v>41.0</v>
      </c>
      <c r="I81" s="356"/>
      <c r="J81" s="366"/>
      <c r="K81" s="366"/>
      <c r="L81" s="366"/>
      <c r="N81" s="366"/>
      <c r="O81" s="366"/>
      <c r="P81" s="366"/>
    </row>
    <row r="82" ht="12.75" customHeight="1">
      <c r="A82" s="361">
        <v>16.0</v>
      </c>
      <c r="B82" s="283"/>
      <c r="C82" s="283" t="s">
        <v>1665</v>
      </c>
      <c r="D82" s="283" t="s">
        <v>1666</v>
      </c>
      <c r="E82" s="362"/>
      <c r="F82" s="362"/>
      <c r="G82" s="362"/>
      <c r="H82" s="363">
        <v>41.0</v>
      </c>
      <c r="I82" s="356"/>
    </row>
    <row r="83" ht="12.75" customHeight="1">
      <c r="A83" s="361">
        <v>17.0</v>
      </c>
      <c r="B83" s="283" t="s">
        <v>80</v>
      </c>
      <c r="C83" s="283" t="s">
        <v>368</v>
      </c>
      <c r="D83" s="283" t="s">
        <v>1666</v>
      </c>
      <c r="E83" s="362" t="s">
        <v>1724</v>
      </c>
      <c r="F83" s="362" t="s">
        <v>1725</v>
      </c>
      <c r="G83" s="362" t="s">
        <v>1726</v>
      </c>
      <c r="H83" s="363">
        <v>47.0</v>
      </c>
      <c r="I83" s="356"/>
    </row>
    <row r="84" ht="12.75" customHeight="1">
      <c r="A84" s="361">
        <v>18.0</v>
      </c>
      <c r="B84" s="283" t="s">
        <v>81</v>
      </c>
      <c r="C84" s="283" t="s">
        <v>283</v>
      </c>
      <c r="D84" s="283" t="s">
        <v>1666</v>
      </c>
      <c r="E84" s="362" t="s">
        <v>1727</v>
      </c>
      <c r="F84" s="362" t="s">
        <v>1728</v>
      </c>
      <c r="G84" s="362" t="s">
        <v>1729</v>
      </c>
      <c r="H84" s="363">
        <v>50.0</v>
      </c>
      <c r="I84" s="356"/>
      <c r="J84" s="267" t="s">
        <v>1730</v>
      </c>
      <c r="M84" s="269" t="s">
        <v>451</v>
      </c>
      <c r="Q84" s="269" t="s">
        <v>451</v>
      </c>
    </row>
    <row r="85" ht="12.75" customHeight="1">
      <c r="A85" s="361">
        <v>19.0</v>
      </c>
      <c r="B85" s="283" t="s">
        <v>79</v>
      </c>
      <c r="C85" s="283" t="s">
        <v>371</v>
      </c>
      <c r="D85" s="283" t="s">
        <v>1666</v>
      </c>
      <c r="E85" s="362" t="s">
        <v>1731</v>
      </c>
      <c r="F85" s="362"/>
      <c r="G85" s="362" t="s">
        <v>1731</v>
      </c>
      <c r="H85" s="363">
        <v>52.0</v>
      </c>
      <c r="I85" s="356"/>
      <c r="J85" s="37" t="s">
        <v>1667</v>
      </c>
      <c r="N85" s="37" t="s">
        <v>1668</v>
      </c>
      <c r="R85" s="37" t="s">
        <v>1669</v>
      </c>
    </row>
    <row r="86" ht="12.75" customHeight="1">
      <c r="A86" s="361">
        <v>19.0</v>
      </c>
      <c r="B86" s="283" t="s">
        <v>81</v>
      </c>
      <c r="C86" s="283" t="s">
        <v>371</v>
      </c>
      <c r="D86" s="283" t="s">
        <v>1666</v>
      </c>
      <c r="E86" s="362" t="s">
        <v>1732</v>
      </c>
      <c r="F86" s="362" t="s">
        <v>1733</v>
      </c>
      <c r="G86" s="362" t="s">
        <v>1734</v>
      </c>
      <c r="H86" s="363">
        <v>56.0</v>
      </c>
      <c r="I86" s="370" t="s">
        <v>1735</v>
      </c>
      <c r="J86" s="366"/>
      <c r="K86" s="366"/>
      <c r="L86" s="366"/>
      <c r="N86" s="366"/>
      <c r="O86" s="366"/>
      <c r="P86" s="366"/>
      <c r="R86" s="366"/>
      <c r="S86" s="366"/>
      <c r="T86" s="366"/>
    </row>
    <row r="87" ht="12.75" customHeight="1">
      <c r="A87" s="361">
        <v>19.0</v>
      </c>
      <c r="B87" s="283" t="s">
        <v>82</v>
      </c>
      <c r="C87" s="283" t="s">
        <v>371</v>
      </c>
      <c r="D87" s="283" t="s">
        <v>1666</v>
      </c>
      <c r="E87" s="362" t="s">
        <v>1736</v>
      </c>
      <c r="F87" s="362" t="s">
        <v>1737</v>
      </c>
      <c r="G87" s="362" t="s">
        <v>1738</v>
      </c>
      <c r="H87" s="363">
        <v>58.0</v>
      </c>
      <c r="I87" s="370" t="s">
        <v>1739</v>
      </c>
      <c r="J87" s="366"/>
      <c r="K87" s="366"/>
      <c r="L87" s="366"/>
      <c r="N87" s="366"/>
      <c r="O87" s="366"/>
      <c r="P87" s="366"/>
      <c r="R87" s="366"/>
      <c r="S87" s="366"/>
      <c r="T87" s="366"/>
    </row>
    <row r="88" ht="12.75" customHeight="1">
      <c r="A88" s="361">
        <v>19.0</v>
      </c>
      <c r="B88" s="283" t="s">
        <v>82</v>
      </c>
      <c r="C88" s="283" t="s">
        <v>428</v>
      </c>
      <c r="D88" s="283" t="s">
        <v>1666</v>
      </c>
      <c r="E88" s="362" t="s">
        <v>1740</v>
      </c>
      <c r="F88" s="362"/>
      <c r="G88" s="362" t="s">
        <v>1740</v>
      </c>
      <c r="H88" s="363">
        <v>67.0</v>
      </c>
      <c r="I88" s="370"/>
      <c r="J88" s="366"/>
      <c r="K88" s="366"/>
      <c r="L88" s="366"/>
      <c r="N88" s="366"/>
      <c r="O88" s="366"/>
      <c r="P88" s="366"/>
      <c r="R88" s="366"/>
      <c r="S88" s="366"/>
      <c r="T88" s="366"/>
    </row>
    <row r="89" ht="12.75" customHeight="1">
      <c r="A89" s="361">
        <v>19.0</v>
      </c>
      <c r="B89" s="283" t="s">
        <v>83</v>
      </c>
      <c r="C89" s="283" t="s">
        <v>428</v>
      </c>
      <c r="D89" s="283" t="s">
        <v>1666</v>
      </c>
      <c r="E89" s="362" t="s">
        <v>1741</v>
      </c>
      <c r="F89" s="362"/>
      <c r="G89" s="362" t="s">
        <v>1741</v>
      </c>
      <c r="H89" s="363">
        <v>74.0</v>
      </c>
      <c r="I89" s="356"/>
    </row>
    <row r="90" ht="12.75" customHeight="1">
      <c r="A90" s="361">
        <v>19.0</v>
      </c>
      <c r="B90" s="283" t="s">
        <v>79</v>
      </c>
      <c r="C90" s="283" t="s">
        <v>35</v>
      </c>
      <c r="D90" s="283" t="s">
        <v>1666</v>
      </c>
      <c r="E90" s="362" t="s">
        <v>1742</v>
      </c>
      <c r="F90" s="362" t="s">
        <v>1742</v>
      </c>
      <c r="G90" s="362"/>
      <c r="H90" s="363">
        <v>74.0</v>
      </c>
      <c r="I90" s="356"/>
      <c r="J90" s="37" t="s">
        <v>1673</v>
      </c>
      <c r="N90" s="37" t="s">
        <v>1674</v>
      </c>
      <c r="R90" s="37" t="s">
        <v>1675</v>
      </c>
    </row>
    <row r="91" ht="12.75" customHeight="1">
      <c r="A91" s="361">
        <v>19.0</v>
      </c>
      <c r="B91" s="283" t="s">
        <v>81</v>
      </c>
      <c r="C91" s="283" t="s">
        <v>35</v>
      </c>
      <c r="D91" s="283" t="s">
        <v>1666</v>
      </c>
      <c r="E91" s="362" t="s">
        <v>1743</v>
      </c>
      <c r="F91" s="362"/>
      <c r="G91" s="362" t="s">
        <v>1743</v>
      </c>
      <c r="H91" s="363">
        <v>80.0</v>
      </c>
      <c r="I91" s="356"/>
      <c r="J91" s="366"/>
      <c r="K91" s="366"/>
      <c r="L91" s="366"/>
      <c r="N91" s="366"/>
      <c r="O91" s="366"/>
      <c r="P91" s="366"/>
      <c r="R91" s="366"/>
      <c r="S91" s="366"/>
      <c r="T91" s="366"/>
    </row>
    <row r="92" ht="12.75" customHeight="1">
      <c r="A92" s="361">
        <v>19.0</v>
      </c>
      <c r="B92" s="283" t="s">
        <v>79</v>
      </c>
      <c r="C92" s="283" t="s">
        <v>37</v>
      </c>
      <c r="D92" s="283" t="s">
        <v>1666</v>
      </c>
      <c r="E92" s="362" t="s">
        <v>1744</v>
      </c>
      <c r="F92" s="362"/>
      <c r="G92" s="362" t="s">
        <v>1744</v>
      </c>
      <c r="H92" s="363">
        <v>84.0</v>
      </c>
      <c r="I92" s="356"/>
      <c r="J92" s="366"/>
      <c r="K92" s="366"/>
      <c r="L92" s="366"/>
      <c r="N92" s="366"/>
      <c r="O92" s="366"/>
      <c r="P92" s="366"/>
      <c r="R92" s="366"/>
      <c r="S92" s="366"/>
      <c r="T92" s="366"/>
    </row>
    <row r="93" ht="12.75" customHeight="1">
      <c r="A93" s="361">
        <v>19.0</v>
      </c>
      <c r="B93" s="283" t="s">
        <v>81</v>
      </c>
      <c r="C93" s="283" t="s">
        <v>37</v>
      </c>
      <c r="D93" s="283" t="s">
        <v>1666</v>
      </c>
      <c r="E93" s="362" t="s">
        <v>1745</v>
      </c>
      <c r="F93" s="362" t="s">
        <v>1746</v>
      </c>
      <c r="G93" s="362" t="s">
        <v>1747</v>
      </c>
      <c r="H93" s="363">
        <v>94.0</v>
      </c>
      <c r="I93" s="370" t="s">
        <v>1748</v>
      </c>
      <c r="J93" s="366"/>
      <c r="K93" s="366"/>
      <c r="L93" s="366"/>
      <c r="N93" s="366"/>
      <c r="O93" s="366"/>
      <c r="P93" s="366"/>
      <c r="R93" s="366"/>
      <c r="S93" s="366"/>
      <c r="T93" s="366"/>
    </row>
    <row r="94" ht="12.75" customHeight="1">
      <c r="A94" s="361">
        <v>20.0</v>
      </c>
      <c r="B94" s="283"/>
      <c r="C94" s="283" t="s">
        <v>1665</v>
      </c>
      <c r="D94" s="283" t="s">
        <v>1666</v>
      </c>
      <c r="E94" s="362"/>
      <c r="F94" s="362"/>
      <c r="G94" s="362"/>
      <c r="H94" s="363">
        <v>94.0</v>
      </c>
      <c r="I94" s="356"/>
    </row>
    <row r="95" ht="12.75" customHeight="1">
      <c r="A95" s="361">
        <v>21.0</v>
      </c>
      <c r="B95" s="283" t="s">
        <v>81</v>
      </c>
      <c r="C95" s="283" t="s">
        <v>282</v>
      </c>
      <c r="D95" s="283" t="s">
        <v>1666</v>
      </c>
      <c r="E95" s="362" t="s">
        <v>1749</v>
      </c>
      <c r="F95" s="362" t="s">
        <v>1750</v>
      </c>
      <c r="G95" s="362" t="s">
        <v>1751</v>
      </c>
      <c r="H95" s="363">
        <v>101.0</v>
      </c>
      <c r="I95" s="356"/>
      <c r="J95" s="37" t="s">
        <v>1685</v>
      </c>
      <c r="N95" s="37" t="s">
        <v>1686</v>
      </c>
    </row>
    <row r="96" ht="12.75" customHeight="1">
      <c r="A96" s="361">
        <v>21.0</v>
      </c>
      <c r="B96" s="283" t="s">
        <v>80</v>
      </c>
      <c r="C96" s="283" t="s">
        <v>163</v>
      </c>
      <c r="D96" s="283" t="s">
        <v>1666</v>
      </c>
      <c r="E96" s="362" t="s">
        <v>1752</v>
      </c>
      <c r="F96" s="362" t="s">
        <v>1753</v>
      </c>
      <c r="G96" s="362" t="s">
        <v>1754</v>
      </c>
      <c r="H96" s="363">
        <v>105.0</v>
      </c>
      <c r="I96" s="356"/>
      <c r="J96" s="366"/>
      <c r="K96" s="366"/>
      <c r="L96" s="366"/>
      <c r="N96" s="366"/>
      <c r="O96" s="366"/>
      <c r="P96" s="366"/>
    </row>
    <row r="97" ht="12.75" customHeight="1">
      <c r="A97" s="361">
        <v>22.0</v>
      </c>
      <c r="B97" s="283"/>
      <c r="C97" s="283" t="s">
        <v>1665</v>
      </c>
      <c r="D97" s="283" t="s">
        <v>1666</v>
      </c>
      <c r="E97" s="362"/>
      <c r="F97" s="362"/>
      <c r="G97" s="362"/>
      <c r="H97" s="363">
        <v>105.0</v>
      </c>
      <c r="I97" s="356"/>
      <c r="J97" s="366"/>
      <c r="K97" s="366"/>
      <c r="L97" s="366"/>
      <c r="N97" s="366"/>
      <c r="O97" s="366"/>
      <c r="P97" s="366"/>
    </row>
    <row r="98" ht="12.75" customHeight="1">
      <c r="A98" s="361">
        <v>23.0</v>
      </c>
      <c r="B98" s="283" t="s">
        <v>81</v>
      </c>
      <c r="C98" s="283" t="s">
        <v>284</v>
      </c>
      <c r="D98" s="283" t="s">
        <v>1666</v>
      </c>
      <c r="E98" s="362" t="s">
        <v>1755</v>
      </c>
      <c r="F98" s="362" t="s">
        <v>1756</v>
      </c>
      <c r="G98" s="362" t="s">
        <v>1757</v>
      </c>
      <c r="H98" s="363">
        <v>113.0</v>
      </c>
      <c r="I98" s="356"/>
      <c r="J98" s="366"/>
      <c r="K98" s="366"/>
      <c r="L98" s="366"/>
      <c r="N98" s="366"/>
      <c r="O98" s="366"/>
      <c r="P98" s="366"/>
    </row>
    <row r="99" ht="12.75" customHeight="1">
      <c r="A99" s="361">
        <v>23.0</v>
      </c>
      <c r="B99" s="283" t="s">
        <v>80</v>
      </c>
      <c r="C99" s="283" t="s">
        <v>429</v>
      </c>
      <c r="D99" s="283" t="s">
        <v>1666</v>
      </c>
      <c r="E99" s="362" t="s">
        <v>1758</v>
      </c>
      <c r="F99" s="362"/>
      <c r="G99" s="362" t="s">
        <v>1758</v>
      </c>
      <c r="H99" s="363">
        <v>116.0</v>
      </c>
      <c r="I99" s="356"/>
    </row>
    <row r="100" ht="12.75" customHeight="1">
      <c r="A100" s="361">
        <v>24.0</v>
      </c>
      <c r="B100" s="283"/>
      <c r="C100" s="283" t="s">
        <v>1665</v>
      </c>
      <c r="D100" s="283" t="s">
        <v>1666</v>
      </c>
      <c r="E100" s="362"/>
      <c r="F100" s="362"/>
      <c r="G100" s="362"/>
      <c r="H100" s="363">
        <v>116.0</v>
      </c>
      <c r="I100" s="356"/>
    </row>
    <row r="101" ht="12.75" customHeight="1">
      <c r="A101" s="361">
        <v>25.0</v>
      </c>
      <c r="B101" s="283" t="s">
        <v>79</v>
      </c>
      <c r="C101" s="283" t="s">
        <v>371</v>
      </c>
      <c r="D101" s="283" t="s">
        <v>1666</v>
      </c>
      <c r="E101" s="362" t="s">
        <v>1759</v>
      </c>
      <c r="F101" s="362" t="s">
        <v>1760</v>
      </c>
      <c r="G101" s="362" t="s">
        <v>1761</v>
      </c>
      <c r="H101" s="363">
        <v>118.0</v>
      </c>
      <c r="I101" s="356"/>
    </row>
    <row r="102" ht="12.75" customHeight="1">
      <c r="A102" s="361">
        <v>25.0</v>
      </c>
      <c r="B102" s="283" t="s">
        <v>81</v>
      </c>
      <c r="C102" s="283" t="s">
        <v>371</v>
      </c>
      <c r="D102" s="283" t="s">
        <v>1666</v>
      </c>
      <c r="E102" s="362" t="s">
        <v>1762</v>
      </c>
      <c r="F102" s="362"/>
      <c r="G102" s="362" t="s">
        <v>1762</v>
      </c>
      <c r="H102" s="363">
        <v>128.0</v>
      </c>
      <c r="I102" s="356"/>
    </row>
    <row r="103" ht="12.75" customHeight="1">
      <c r="A103" s="361">
        <v>25.0</v>
      </c>
      <c r="B103" s="283" t="s">
        <v>82</v>
      </c>
      <c r="C103" s="283" t="s">
        <v>371</v>
      </c>
      <c r="D103" s="283" t="s">
        <v>1666</v>
      </c>
      <c r="E103" s="362" t="s">
        <v>1763</v>
      </c>
      <c r="F103" s="362" t="s">
        <v>1764</v>
      </c>
      <c r="G103" s="362" t="s">
        <v>1765</v>
      </c>
      <c r="H103" s="363">
        <v>136.0</v>
      </c>
      <c r="I103" s="356"/>
    </row>
    <row r="104" ht="12.75" customHeight="1">
      <c r="A104" s="361">
        <v>25.0</v>
      </c>
      <c r="B104" s="283" t="s">
        <v>82</v>
      </c>
      <c r="C104" s="283" t="s">
        <v>428</v>
      </c>
      <c r="D104" s="283" t="s">
        <v>1666</v>
      </c>
      <c r="E104" s="362" t="s">
        <v>1766</v>
      </c>
      <c r="F104" s="362"/>
      <c r="G104" s="362" t="s">
        <v>1766</v>
      </c>
      <c r="H104" s="363">
        <v>148.0</v>
      </c>
      <c r="I104" s="356"/>
    </row>
    <row r="105" ht="12.75" customHeight="1">
      <c r="A105" s="361">
        <v>25.0</v>
      </c>
      <c r="B105" s="283" t="s">
        <v>83</v>
      </c>
      <c r="C105" s="283" t="s">
        <v>428</v>
      </c>
      <c r="D105" s="283" t="s">
        <v>1666</v>
      </c>
      <c r="E105" s="362" t="s">
        <v>1767</v>
      </c>
      <c r="F105" s="362" t="s">
        <v>1768</v>
      </c>
      <c r="G105" s="362" t="s">
        <v>1769</v>
      </c>
      <c r="H105" s="363">
        <v>155.0</v>
      </c>
      <c r="I105" s="356"/>
    </row>
    <row r="106" ht="12.75" customHeight="1">
      <c r="A106" s="361">
        <v>25.0</v>
      </c>
      <c r="B106" s="283" t="s">
        <v>79</v>
      </c>
      <c r="C106" s="283" t="s">
        <v>35</v>
      </c>
      <c r="D106" s="283" t="s">
        <v>1666</v>
      </c>
      <c r="E106" s="362" t="s">
        <v>1770</v>
      </c>
      <c r="F106" s="362"/>
      <c r="G106" s="362" t="s">
        <v>1770</v>
      </c>
      <c r="H106" s="363">
        <v>157.0</v>
      </c>
      <c r="I106" s="370"/>
    </row>
    <row r="107" ht="12.75" customHeight="1">
      <c r="A107" s="361">
        <v>25.0</v>
      </c>
      <c r="B107" s="283" t="s">
        <v>81</v>
      </c>
      <c r="C107" s="283" t="s">
        <v>35</v>
      </c>
      <c r="D107" s="283" t="s">
        <v>1666</v>
      </c>
      <c r="E107" s="362" t="s">
        <v>1771</v>
      </c>
      <c r="F107" s="362"/>
      <c r="G107" s="362" t="s">
        <v>1771</v>
      </c>
      <c r="H107" s="363">
        <v>167.0</v>
      </c>
      <c r="I107" s="370"/>
    </row>
    <row r="108" ht="12.75" customHeight="1">
      <c r="A108" s="361">
        <v>25.0</v>
      </c>
      <c r="B108" s="283" t="s">
        <v>79</v>
      </c>
      <c r="C108" s="283" t="s">
        <v>37</v>
      </c>
      <c r="D108" s="283" t="s">
        <v>1666</v>
      </c>
      <c r="E108" s="362" t="s">
        <v>1772</v>
      </c>
      <c r="F108" s="362"/>
      <c r="G108" s="362" t="s">
        <v>1772</v>
      </c>
      <c r="H108" s="363">
        <v>170.0</v>
      </c>
      <c r="I108" s="356"/>
    </row>
    <row r="109" ht="12.75" customHeight="1">
      <c r="A109" s="361">
        <v>25.0</v>
      </c>
      <c r="B109" s="283" t="s">
        <v>81</v>
      </c>
      <c r="C109" s="283" t="s">
        <v>37</v>
      </c>
      <c r="D109" s="283" t="s">
        <v>1666</v>
      </c>
      <c r="E109" s="362" t="s">
        <v>1773</v>
      </c>
      <c r="F109" s="362" t="s">
        <v>1774</v>
      </c>
      <c r="G109" s="362" t="s">
        <v>1775</v>
      </c>
      <c r="H109" s="363">
        <v>176.0</v>
      </c>
      <c r="I109" s="356"/>
    </row>
    <row r="110" ht="12.75" customHeight="1">
      <c r="A110" s="361">
        <v>26.0</v>
      </c>
      <c r="B110" s="283" t="s">
        <v>80</v>
      </c>
      <c r="C110" s="283" t="s">
        <v>433</v>
      </c>
      <c r="D110" s="283" t="s">
        <v>1666</v>
      </c>
      <c r="E110" s="362" t="s">
        <v>1776</v>
      </c>
      <c r="F110" s="362"/>
      <c r="G110" s="362" t="s">
        <v>1776</v>
      </c>
      <c r="H110" s="363">
        <v>181.0</v>
      </c>
      <c r="I110" s="356"/>
    </row>
    <row r="111" ht="12.75" customHeight="1">
      <c r="A111" s="361">
        <v>26.0</v>
      </c>
      <c r="B111" s="283" t="s">
        <v>79</v>
      </c>
      <c r="C111" s="283" t="s">
        <v>44</v>
      </c>
      <c r="D111" s="283" t="s">
        <v>1666</v>
      </c>
      <c r="E111" s="362" t="s">
        <v>1777</v>
      </c>
      <c r="F111" s="362"/>
      <c r="G111" s="362" t="s">
        <v>1777</v>
      </c>
      <c r="H111" s="363">
        <v>185.0</v>
      </c>
      <c r="I111" s="356"/>
    </row>
    <row r="112" ht="12.75" customHeight="1">
      <c r="A112" s="361">
        <v>27.0</v>
      </c>
      <c r="B112" s="283"/>
      <c r="C112" s="283" t="s">
        <v>1665</v>
      </c>
      <c r="D112" s="283" t="s">
        <v>1666</v>
      </c>
      <c r="E112" s="362"/>
      <c r="F112" s="362"/>
      <c r="G112" s="362"/>
      <c r="H112" s="363">
        <v>185.0</v>
      </c>
      <c r="I112" s="356"/>
    </row>
    <row r="113" ht="12.75" customHeight="1">
      <c r="A113" s="361">
        <v>28.0</v>
      </c>
      <c r="B113" s="283" t="s">
        <v>81</v>
      </c>
      <c r="C113" s="283" t="s">
        <v>41</v>
      </c>
      <c r="D113" s="283" t="s">
        <v>1666</v>
      </c>
      <c r="E113" s="362" t="s">
        <v>1778</v>
      </c>
      <c r="F113" s="362"/>
      <c r="G113" s="362" t="s">
        <v>1778</v>
      </c>
      <c r="H113" s="363">
        <v>193.0</v>
      </c>
      <c r="I113" s="356"/>
    </row>
    <row r="114" ht="12.75" customHeight="1">
      <c r="A114" s="361">
        <v>29.0</v>
      </c>
      <c r="B114" s="283"/>
      <c r="C114" s="283" t="s">
        <v>1665</v>
      </c>
      <c r="D114" s="283" t="s">
        <v>1666</v>
      </c>
      <c r="E114" s="362"/>
      <c r="F114" s="362"/>
      <c r="G114" s="362"/>
      <c r="H114" s="363">
        <v>193.0</v>
      </c>
      <c r="I114" s="356"/>
    </row>
    <row r="115" ht="12.75" customHeight="1">
      <c r="A115" s="361">
        <v>30.0</v>
      </c>
      <c r="B115" s="283"/>
      <c r="C115" s="283" t="s">
        <v>1665</v>
      </c>
      <c r="D115" s="283" t="s">
        <v>1666</v>
      </c>
      <c r="E115" s="362"/>
      <c r="F115" s="362"/>
      <c r="G115" s="362"/>
      <c r="H115" s="363">
        <v>193.0</v>
      </c>
      <c r="I115" s="356"/>
    </row>
    <row r="116" ht="12.75" customHeight="1">
      <c r="A116" s="361">
        <v>31.0</v>
      </c>
      <c r="B116" s="283" t="s">
        <v>79</v>
      </c>
      <c r="C116" s="283" t="s">
        <v>371</v>
      </c>
      <c r="D116" s="283" t="s">
        <v>1666</v>
      </c>
      <c r="E116" s="362" t="s">
        <v>1779</v>
      </c>
      <c r="F116" s="362" t="s">
        <v>1780</v>
      </c>
      <c r="G116" s="362" t="s">
        <v>1781</v>
      </c>
      <c r="H116" s="363">
        <v>195.0</v>
      </c>
      <c r="I116" s="356"/>
    </row>
    <row r="117" ht="12.75" customHeight="1">
      <c r="A117" s="361">
        <v>31.0</v>
      </c>
      <c r="B117" s="283" t="s">
        <v>81</v>
      </c>
      <c r="C117" s="283" t="s">
        <v>371</v>
      </c>
      <c r="D117" s="283" t="s">
        <v>1666</v>
      </c>
      <c r="E117" s="362" t="s">
        <v>1782</v>
      </c>
      <c r="F117" s="362" t="s">
        <v>1783</v>
      </c>
      <c r="G117" s="362" t="s">
        <v>1784</v>
      </c>
      <c r="H117" s="363">
        <v>199.0</v>
      </c>
      <c r="I117" s="356"/>
    </row>
    <row r="118" ht="12.75" customHeight="1">
      <c r="A118" s="361">
        <v>31.0</v>
      </c>
      <c r="B118" s="283" t="s">
        <v>82</v>
      </c>
      <c r="C118" s="283" t="s">
        <v>371</v>
      </c>
      <c r="D118" s="283" t="s">
        <v>1666</v>
      </c>
      <c r="E118" s="362" t="s">
        <v>1785</v>
      </c>
      <c r="F118" s="362"/>
      <c r="G118" s="362" t="s">
        <v>1785</v>
      </c>
      <c r="H118" s="363">
        <v>207.0</v>
      </c>
      <c r="I118" s="356"/>
    </row>
    <row r="119" ht="12.75" customHeight="1">
      <c r="A119" s="361">
        <v>31.0</v>
      </c>
      <c r="B119" s="283" t="s">
        <v>82</v>
      </c>
      <c r="C119" s="283" t="s">
        <v>428</v>
      </c>
      <c r="D119" s="283" t="s">
        <v>1666</v>
      </c>
      <c r="E119" s="362" t="s">
        <v>1786</v>
      </c>
      <c r="F119" s="362"/>
      <c r="G119" s="362" t="s">
        <v>1786</v>
      </c>
      <c r="H119" s="363">
        <v>217.0</v>
      </c>
      <c r="I119" s="370"/>
    </row>
    <row r="120" ht="12.75" customHeight="1">
      <c r="A120" s="361">
        <v>31.0</v>
      </c>
      <c r="B120" s="283" t="s">
        <v>83</v>
      </c>
      <c r="C120" s="283" t="s">
        <v>428</v>
      </c>
      <c r="D120" s="283" t="s">
        <v>1666</v>
      </c>
      <c r="E120" s="362" t="s">
        <v>1787</v>
      </c>
      <c r="F120" s="362" t="s">
        <v>1788</v>
      </c>
      <c r="G120" s="362" t="s">
        <v>1789</v>
      </c>
      <c r="H120" s="363">
        <v>223.0</v>
      </c>
      <c r="I120" s="356"/>
    </row>
    <row r="121" ht="12.75" customHeight="1">
      <c r="A121" s="361">
        <v>31.0</v>
      </c>
      <c r="B121" s="283" t="s">
        <v>79</v>
      </c>
      <c r="C121" s="283" t="s">
        <v>35</v>
      </c>
      <c r="D121" s="283" t="s">
        <v>1666</v>
      </c>
      <c r="E121" s="362" t="s">
        <v>1790</v>
      </c>
      <c r="F121" s="362"/>
      <c r="G121" s="362" t="s">
        <v>1790</v>
      </c>
      <c r="H121" s="363">
        <v>226.0</v>
      </c>
      <c r="I121" s="356"/>
    </row>
    <row r="122" ht="12.75" customHeight="1">
      <c r="A122" s="361">
        <v>31.0</v>
      </c>
      <c r="B122" s="283" t="s">
        <v>81</v>
      </c>
      <c r="C122" s="283" t="s">
        <v>35</v>
      </c>
      <c r="D122" s="283" t="s">
        <v>1666</v>
      </c>
      <c r="E122" s="362" t="s">
        <v>1791</v>
      </c>
      <c r="F122" s="362"/>
      <c r="G122" s="362" t="s">
        <v>1791</v>
      </c>
      <c r="H122" s="363">
        <v>233.0</v>
      </c>
      <c r="I122" s="356"/>
    </row>
    <row r="123" ht="12.75" customHeight="1">
      <c r="A123" s="361">
        <v>31.0</v>
      </c>
      <c r="B123" s="283" t="s">
        <v>79</v>
      </c>
      <c r="C123" s="283" t="s">
        <v>37</v>
      </c>
      <c r="D123" s="283" t="s">
        <v>1666</v>
      </c>
      <c r="E123" s="362" t="s">
        <v>1792</v>
      </c>
      <c r="F123" s="362" t="s">
        <v>1793</v>
      </c>
      <c r="G123" s="362" t="s">
        <v>1725</v>
      </c>
      <c r="H123" s="363">
        <v>234.0</v>
      </c>
      <c r="I123" s="370"/>
    </row>
    <row r="124" ht="12.75" customHeight="1">
      <c r="A124" s="361">
        <v>31.0</v>
      </c>
      <c r="B124" s="283" t="s">
        <v>81</v>
      </c>
      <c r="C124" s="283" t="s">
        <v>37</v>
      </c>
      <c r="D124" s="283" t="s">
        <v>1666</v>
      </c>
      <c r="E124" s="362" t="s">
        <v>1794</v>
      </c>
      <c r="F124" s="362" t="s">
        <v>1795</v>
      </c>
      <c r="G124" s="362" t="s">
        <v>1796</v>
      </c>
      <c r="H124" s="363">
        <v>240.0</v>
      </c>
      <c r="I124" s="356"/>
    </row>
    <row r="125" ht="12.75" customHeight="1">
      <c r="A125" s="361">
        <v>32.0</v>
      </c>
      <c r="B125" s="283"/>
      <c r="C125" s="283" t="s">
        <v>1665</v>
      </c>
      <c r="D125" s="283" t="s">
        <v>1666</v>
      </c>
      <c r="E125" s="362"/>
      <c r="F125" s="362"/>
      <c r="G125" s="362"/>
      <c r="H125" s="363">
        <v>240.0</v>
      </c>
      <c r="I125" s="370"/>
    </row>
    <row r="126" ht="12.75" customHeight="1">
      <c r="A126" s="361">
        <v>33.0</v>
      </c>
      <c r="B126" s="283"/>
      <c r="C126" s="283" t="s">
        <v>1665</v>
      </c>
      <c r="D126" s="283" t="s">
        <v>1666</v>
      </c>
      <c r="E126" s="362"/>
      <c r="F126" s="362"/>
      <c r="G126" s="362"/>
      <c r="H126" s="363">
        <v>240.0</v>
      </c>
      <c r="I126" s="356"/>
    </row>
    <row r="127" ht="12.75" customHeight="1">
      <c r="A127" s="361">
        <v>34.0</v>
      </c>
      <c r="B127" s="283"/>
      <c r="C127" s="283" t="s">
        <v>1665</v>
      </c>
      <c r="D127" s="283" t="s">
        <v>1666</v>
      </c>
      <c r="E127" s="362"/>
      <c r="F127" s="362"/>
      <c r="G127" s="362"/>
      <c r="H127" s="363">
        <v>240.0</v>
      </c>
      <c r="I127" s="370"/>
    </row>
    <row r="128" ht="12.75" customHeight="1">
      <c r="A128" s="361">
        <v>35.0</v>
      </c>
      <c r="B128" s="283" t="s">
        <v>79</v>
      </c>
      <c r="C128" s="283" t="s">
        <v>371</v>
      </c>
      <c r="D128" s="283" t="s">
        <v>1666</v>
      </c>
      <c r="E128" s="362" t="s">
        <v>1797</v>
      </c>
      <c r="F128" s="362"/>
      <c r="G128" s="362" t="s">
        <v>1797</v>
      </c>
      <c r="H128" s="363">
        <v>243.0</v>
      </c>
      <c r="I128" s="356"/>
    </row>
    <row r="129" ht="12.75" customHeight="1">
      <c r="A129" s="361">
        <v>35.0</v>
      </c>
      <c r="B129" s="283" t="s">
        <v>81</v>
      </c>
      <c r="C129" s="283" t="s">
        <v>371</v>
      </c>
      <c r="D129" s="283" t="s">
        <v>1666</v>
      </c>
      <c r="E129" s="362" t="s">
        <v>1798</v>
      </c>
      <c r="F129" s="362"/>
      <c r="G129" s="362" t="s">
        <v>1798</v>
      </c>
      <c r="H129" s="363">
        <v>250.0</v>
      </c>
      <c r="I129" s="356"/>
    </row>
    <row r="130" ht="12.75" customHeight="1">
      <c r="A130" s="361">
        <v>35.0</v>
      </c>
      <c r="B130" s="283" t="s">
        <v>82</v>
      </c>
      <c r="C130" s="283" t="s">
        <v>371</v>
      </c>
      <c r="D130" s="283" t="s">
        <v>1666</v>
      </c>
      <c r="E130" s="362" t="s">
        <v>1799</v>
      </c>
      <c r="F130" s="362" t="s">
        <v>1800</v>
      </c>
      <c r="G130" s="362" t="s">
        <v>1801</v>
      </c>
      <c r="H130" s="363">
        <v>259.0</v>
      </c>
      <c r="I130" s="356"/>
    </row>
    <row r="131" ht="12.75" customHeight="1">
      <c r="A131" s="361">
        <v>35.0</v>
      </c>
      <c r="B131" s="283" t="s">
        <v>82</v>
      </c>
      <c r="C131" s="283" t="s">
        <v>428</v>
      </c>
      <c r="D131" s="283" t="s">
        <v>1666</v>
      </c>
      <c r="E131" s="362" t="s">
        <v>1802</v>
      </c>
      <c r="F131" s="362"/>
      <c r="G131" s="362" t="s">
        <v>1802</v>
      </c>
      <c r="H131" s="363">
        <v>266.0</v>
      </c>
      <c r="I131" s="356"/>
    </row>
    <row r="132" ht="12.75" customHeight="1">
      <c r="A132" s="361">
        <v>35.0</v>
      </c>
      <c r="B132" s="283" t="s">
        <v>83</v>
      </c>
      <c r="C132" s="283" t="s">
        <v>428</v>
      </c>
      <c r="D132" s="283" t="s">
        <v>1666</v>
      </c>
      <c r="E132" s="362" t="s">
        <v>1803</v>
      </c>
      <c r="F132" s="362"/>
      <c r="G132" s="362" t="s">
        <v>1803</v>
      </c>
      <c r="H132" s="363">
        <v>276.0</v>
      </c>
      <c r="I132" s="356"/>
    </row>
    <row r="133" ht="12.75" customHeight="1">
      <c r="A133" s="361">
        <v>35.0</v>
      </c>
      <c r="B133" s="283" t="s">
        <v>79</v>
      </c>
      <c r="C133" s="283" t="s">
        <v>35</v>
      </c>
      <c r="D133" s="283" t="s">
        <v>1666</v>
      </c>
      <c r="E133" s="362" t="s">
        <v>1804</v>
      </c>
      <c r="F133" s="362"/>
      <c r="G133" s="362" t="s">
        <v>1804</v>
      </c>
      <c r="H133" s="363">
        <v>281.0</v>
      </c>
      <c r="I133" s="356"/>
    </row>
    <row r="134" ht="12.75" customHeight="1">
      <c r="A134" s="361">
        <v>35.0</v>
      </c>
      <c r="B134" s="283" t="s">
        <v>81</v>
      </c>
      <c r="C134" s="283" t="s">
        <v>35</v>
      </c>
      <c r="D134" s="283" t="s">
        <v>1666</v>
      </c>
      <c r="E134" s="362" t="s">
        <v>1805</v>
      </c>
      <c r="F134" s="362" t="s">
        <v>1806</v>
      </c>
      <c r="G134" s="362" t="s">
        <v>1807</v>
      </c>
      <c r="H134" s="363">
        <v>289.0</v>
      </c>
      <c r="I134" s="370"/>
    </row>
    <row r="135" ht="12.75" customHeight="1">
      <c r="A135" s="361">
        <v>35.0</v>
      </c>
      <c r="B135" s="283" t="s">
        <v>79</v>
      </c>
      <c r="C135" s="283" t="s">
        <v>37</v>
      </c>
      <c r="D135" s="283" t="s">
        <v>1666</v>
      </c>
      <c r="E135" s="362" t="s">
        <v>1808</v>
      </c>
      <c r="F135" s="362"/>
      <c r="G135" s="362" t="s">
        <v>1808</v>
      </c>
      <c r="H135" s="363">
        <v>296.0</v>
      </c>
      <c r="I135" s="356"/>
    </row>
    <row r="136" ht="12.75" customHeight="1">
      <c r="A136" s="361">
        <v>35.0</v>
      </c>
      <c r="B136" s="283" t="s">
        <v>81</v>
      </c>
      <c r="C136" s="283" t="s">
        <v>37</v>
      </c>
      <c r="D136" s="283" t="s">
        <v>1666</v>
      </c>
      <c r="E136" s="362" t="s">
        <v>1809</v>
      </c>
      <c r="F136" s="362"/>
      <c r="G136" s="362" t="s">
        <v>1809</v>
      </c>
      <c r="H136" s="363">
        <v>304.0</v>
      </c>
      <c r="I136" s="356"/>
    </row>
    <row r="137" ht="12.75" customHeight="1">
      <c r="A137" s="361">
        <v>36.0</v>
      </c>
      <c r="B137" s="283"/>
      <c r="C137" s="283" t="s">
        <v>1665</v>
      </c>
      <c r="D137" s="283" t="s">
        <v>1666</v>
      </c>
      <c r="E137" s="362"/>
      <c r="F137" s="362"/>
      <c r="G137" s="362"/>
      <c r="H137" s="363">
        <v>304.0</v>
      </c>
      <c r="I137" s="356"/>
    </row>
    <row r="138" ht="12.75" customHeight="1">
      <c r="A138" s="361">
        <v>37.0</v>
      </c>
      <c r="B138" s="283"/>
      <c r="C138" s="283" t="s">
        <v>1665</v>
      </c>
      <c r="D138" s="283" t="s">
        <v>1666</v>
      </c>
      <c r="E138" s="362"/>
      <c r="F138" s="362"/>
      <c r="G138" s="362"/>
      <c r="H138" s="363">
        <v>304.0</v>
      </c>
      <c r="I138" s="370"/>
    </row>
    <row r="139" ht="12.75" customHeight="1">
      <c r="A139" s="361">
        <v>38.0</v>
      </c>
      <c r="B139" s="283"/>
      <c r="C139" s="283" t="s">
        <v>1665</v>
      </c>
      <c r="D139" s="283" t="s">
        <v>1666</v>
      </c>
      <c r="E139" s="362"/>
      <c r="F139" s="362"/>
      <c r="G139" s="362"/>
      <c r="H139" s="363">
        <v>304.0</v>
      </c>
      <c r="I139" s="356"/>
    </row>
    <row r="140" ht="12.75" customHeight="1">
      <c r="A140" s="361">
        <v>39.0</v>
      </c>
      <c r="B140" s="283" t="s">
        <v>81</v>
      </c>
      <c r="C140" s="283" t="s">
        <v>284</v>
      </c>
      <c r="D140" s="283" t="s">
        <v>1666</v>
      </c>
      <c r="E140" s="362" t="s">
        <v>1810</v>
      </c>
      <c r="F140" s="362"/>
      <c r="G140" s="362" t="s">
        <v>1810</v>
      </c>
      <c r="H140" s="363">
        <v>310.0</v>
      </c>
      <c r="I140" s="356"/>
    </row>
    <row r="141" ht="12.75" customHeight="1">
      <c r="A141" s="361">
        <v>40.0</v>
      </c>
      <c r="B141" s="283" t="s">
        <v>79</v>
      </c>
      <c r="C141" s="283" t="s">
        <v>44</v>
      </c>
      <c r="D141" s="283" t="s">
        <v>1666</v>
      </c>
      <c r="E141" s="362" t="s">
        <v>1811</v>
      </c>
      <c r="F141" s="362" t="s">
        <v>1812</v>
      </c>
      <c r="G141" s="362" t="s">
        <v>1760</v>
      </c>
      <c r="H141" s="363">
        <v>311.0</v>
      </c>
      <c r="I141" s="370" t="s">
        <v>1813</v>
      </c>
    </row>
    <row r="142" ht="12.75" customHeight="1">
      <c r="A142" s="361">
        <v>41.0</v>
      </c>
      <c r="B142" s="283" t="s">
        <v>80</v>
      </c>
      <c r="C142" s="283" t="s">
        <v>368</v>
      </c>
      <c r="D142" s="283" t="s">
        <v>1666</v>
      </c>
      <c r="E142" s="362" t="s">
        <v>1814</v>
      </c>
      <c r="F142" s="362"/>
      <c r="G142" s="362" t="s">
        <v>1814</v>
      </c>
      <c r="H142" s="363">
        <v>317.0</v>
      </c>
      <c r="I142" s="370"/>
    </row>
    <row r="143" ht="12.75" customHeight="1">
      <c r="A143" s="361">
        <v>42.0</v>
      </c>
      <c r="B143" s="283" t="s">
        <v>79</v>
      </c>
      <c r="C143" s="283" t="s">
        <v>371</v>
      </c>
      <c r="D143" s="283" t="s">
        <v>1666</v>
      </c>
      <c r="E143" s="362" t="s">
        <v>1815</v>
      </c>
      <c r="F143" s="362"/>
      <c r="G143" s="362" t="s">
        <v>1815</v>
      </c>
      <c r="H143" s="363">
        <v>322.0</v>
      </c>
      <c r="I143" s="356"/>
    </row>
    <row r="144" ht="12.75" customHeight="1">
      <c r="A144" s="361">
        <v>42.0</v>
      </c>
      <c r="B144" s="283" t="s">
        <v>479</v>
      </c>
      <c r="C144" s="283" t="s">
        <v>1816</v>
      </c>
      <c r="D144" s="283" t="s">
        <v>1666</v>
      </c>
      <c r="E144" s="362" t="s">
        <v>1817</v>
      </c>
      <c r="F144" s="362"/>
      <c r="G144" s="362" t="s">
        <v>1817</v>
      </c>
      <c r="H144" s="363">
        <v>76.0</v>
      </c>
      <c r="I144" s="356"/>
    </row>
    <row r="145" ht="12.75" customHeight="1">
      <c r="A145" s="361">
        <v>42.0</v>
      </c>
      <c r="B145" s="283" t="s">
        <v>81</v>
      </c>
      <c r="C145" s="283" t="s">
        <v>371</v>
      </c>
      <c r="D145" s="283" t="s">
        <v>1666</v>
      </c>
      <c r="E145" s="362" t="s">
        <v>1818</v>
      </c>
      <c r="F145" s="362" t="s">
        <v>1819</v>
      </c>
      <c r="G145" s="362" t="s">
        <v>1820</v>
      </c>
      <c r="H145" s="363">
        <v>81.0</v>
      </c>
      <c r="I145" s="356"/>
    </row>
    <row r="146" ht="12.75" customHeight="1">
      <c r="A146" s="361">
        <v>42.0</v>
      </c>
      <c r="B146" s="283" t="s">
        <v>82</v>
      </c>
      <c r="C146" s="283" t="s">
        <v>371</v>
      </c>
      <c r="D146" s="283" t="s">
        <v>1666</v>
      </c>
      <c r="E146" s="362" t="s">
        <v>1821</v>
      </c>
      <c r="F146" s="362"/>
      <c r="G146" s="362" t="s">
        <v>1821</v>
      </c>
      <c r="H146" s="363">
        <v>90.0</v>
      </c>
      <c r="I146" s="356"/>
    </row>
    <row r="147" ht="12.75" customHeight="1">
      <c r="A147" s="361">
        <v>42.0</v>
      </c>
      <c r="B147" s="283" t="s">
        <v>82</v>
      </c>
      <c r="C147" s="283" t="s">
        <v>428</v>
      </c>
      <c r="D147" s="283" t="s">
        <v>1666</v>
      </c>
      <c r="E147" s="362" t="s">
        <v>1822</v>
      </c>
      <c r="F147" s="362"/>
      <c r="G147" s="362" t="s">
        <v>1822</v>
      </c>
      <c r="H147" s="363">
        <v>107.0</v>
      </c>
      <c r="I147" s="370"/>
    </row>
    <row r="148" ht="12.75" customHeight="1">
      <c r="A148" s="361">
        <v>42.0</v>
      </c>
      <c r="B148" s="283" t="s">
        <v>83</v>
      </c>
      <c r="C148" s="283" t="s">
        <v>428</v>
      </c>
      <c r="D148" s="283" t="s">
        <v>1666</v>
      </c>
      <c r="E148" s="362" t="s">
        <v>1823</v>
      </c>
      <c r="F148" s="362"/>
      <c r="G148" s="362" t="s">
        <v>1823</v>
      </c>
      <c r="H148" s="363">
        <v>117.0</v>
      </c>
      <c r="I148" s="356"/>
    </row>
    <row r="149" ht="12.75" customHeight="1">
      <c r="A149" s="361">
        <v>42.0</v>
      </c>
      <c r="B149" s="283" t="s">
        <v>79</v>
      </c>
      <c r="C149" s="283" t="s">
        <v>35</v>
      </c>
      <c r="D149" s="283" t="s">
        <v>1666</v>
      </c>
      <c r="E149" s="362" t="s">
        <v>1824</v>
      </c>
      <c r="F149" s="362" t="s">
        <v>1825</v>
      </c>
      <c r="G149" s="362" t="s">
        <v>1826</v>
      </c>
      <c r="H149" s="363">
        <v>121.0</v>
      </c>
      <c r="I149" s="356"/>
    </row>
    <row r="150" ht="12.75" customHeight="1">
      <c r="A150" s="361">
        <v>42.0</v>
      </c>
      <c r="B150" s="283" t="s">
        <v>81</v>
      </c>
      <c r="C150" s="283" t="s">
        <v>35</v>
      </c>
      <c r="D150" s="283" t="s">
        <v>1666</v>
      </c>
      <c r="E150" s="362" t="s">
        <v>1827</v>
      </c>
      <c r="F150" s="362"/>
      <c r="G150" s="362" t="s">
        <v>1827</v>
      </c>
      <c r="H150" s="363">
        <v>127.0</v>
      </c>
      <c r="I150" s="356"/>
    </row>
    <row r="151" ht="12.75" customHeight="1">
      <c r="A151" s="361">
        <v>42.0</v>
      </c>
      <c r="B151" s="283" t="s">
        <v>79</v>
      </c>
      <c r="C151" s="283" t="s">
        <v>37</v>
      </c>
      <c r="D151" s="283" t="s">
        <v>1666</v>
      </c>
      <c r="E151" s="362" t="s">
        <v>1828</v>
      </c>
      <c r="F151" s="362"/>
      <c r="G151" s="362" t="s">
        <v>1828</v>
      </c>
      <c r="H151" s="363">
        <v>132.0</v>
      </c>
      <c r="I151" s="370"/>
    </row>
    <row r="152" ht="12.75" customHeight="1">
      <c r="A152" s="361">
        <v>42.0</v>
      </c>
      <c r="B152" s="283" t="s">
        <v>81</v>
      </c>
      <c r="C152" s="283" t="s">
        <v>37</v>
      </c>
      <c r="D152" s="283" t="s">
        <v>1666</v>
      </c>
      <c r="E152" s="362" t="s">
        <v>1829</v>
      </c>
      <c r="F152" s="362"/>
      <c r="G152" s="362" t="s">
        <v>1829</v>
      </c>
      <c r="H152" s="363">
        <v>137.0</v>
      </c>
      <c r="I152" s="370"/>
    </row>
    <row r="153" ht="12.75" customHeight="1">
      <c r="A153" s="361">
        <v>43.0</v>
      </c>
      <c r="B153" s="283"/>
      <c r="C153" s="283" t="s">
        <v>1665</v>
      </c>
      <c r="D153" s="283" t="s">
        <v>1666</v>
      </c>
      <c r="E153" s="362"/>
      <c r="F153" s="362"/>
      <c r="G153" s="362"/>
      <c r="H153" s="363">
        <v>137.0</v>
      </c>
      <c r="I153" s="356"/>
    </row>
    <row r="154" ht="12.75" customHeight="1">
      <c r="A154" s="361">
        <v>44.0</v>
      </c>
      <c r="B154" s="283"/>
      <c r="C154" s="283" t="s">
        <v>1665</v>
      </c>
      <c r="D154" s="283" t="s">
        <v>1666</v>
      </c>
      <c r="E154" s="362"/>
      <c r="F154" s="362"/>
      <c r="G154" s="362"/>
      <c r="H154" s="363">
        <v>137.0</v>
      </c>
      <c r="I154" s="370"/>
    </row>
    <row r="155" ht="12.75" customHeight="1">
      <c r="A155" s="361">
        <v>45.0</v>
      </c>
      <c r="B155" s="283"/>
      <c r="C155" s="283" t="s">
        <v>1665</v>
      </c>
      <c r="D155" s="283" t="s">
        <v>1666</v>
      </c>
      <c r="E155" s="362"/>
      <c r="F155" s="362"/>
      <c r="G155" s="362"/>
      <c r="H155" s="363">
        <v>137.0</v>
      </c>
      <c r="I155" s="370"/>
    </row>
    <row r="156" ht="12.75" customHeight="1">
      <c r="A156" s="361">
        <v>46.0</v>
      </c>
      <c r="B156" s="283" t="s">
        <v>81</v>
      </c>
      <c r="C156" s="283" t="s">
        <v>283</v>
      </c>
      <c r="D156" s="283" t="s">
        <v>1666</v>
      </c>
      <c r="E156" s="362" t="s">
        <v>1830</v>
      </c>
      <c r="F156" s="362" t="s">
        <v>1831</v>
      </c>
      <c r="G156" s="362" t="s">
        <v>1832</v>
      </c>
      <c r="H156" s="363">
        <v>146.0</v>
      </c>
      <c r="I156" s="370" t="s">
        <v>1833</v>
      </c>
    </row>
    <row r="157" ht="12.75" customHeight="1">
      <c r="A157" s="361">
        <v>47.0</v>
      </c>
      <c r="B157" s="283" t="s">
        <v>80</v>
      </c>
      <c r="C157" s="283" t="s">
        <v>429</v>
      </c>
      <c r="D157" s="283" t="s">
        <v>1666</v>
      </c>
      <c r="E157" s="362" t="s">
        <v>1834</v>
      </c>
      <c r="F157" s="362"/>
      <c r="G157" s="362" t="s">
        <v>1834</v>
      </c>
      <c r="H157" s="363">
        <v>152.0</v>
      </c>
      <c r="I157" s="370"/>
    </row>
    <row r="158" ht="12.75" customHeight="1">
      <c r="A158" s="361">
        <v>48.0</v>
      </c>
      <c r="B158" s="283" t="s">
        <v>80</v>
      </c>
      <c r="C158" s="283" t="s">
        <v>368</v>
      </c>
      <c r="D158" s="283" t="s">
        <v>1666</v>
      </c>
      <c r="E158" s="362" t="s">
        <v>1835</v>
      </c>
      <c r="F158" s="362"/>
      <c r="G158" s="362" t="s">
        <v>1835</v>
      </c>
      <c r="H158" s="363">
        <v>159.0</v>
      </c>
      <c r="I158" s="356"/>
    </row>
    <row r="159" ht="12.75" customHeight="1">
      <c r="A159" s="361">
        <v>49.0</v>
      </c>
      <c r="B159" s="283" t="s">
        <v>81</v>
      </c>
      <c r="C159" s="283" t="s">
        <v>282</v>
      </c>
      <c r="D159" s="283" t="s">
        <v>1666</v>
      </c>
      <c r="E159" s="362" t="s">
        <v>1836</v>
      </c>
      <c r="F159" s="362"/>
      <c r="G159" s="362" t="s">
        <v>1836</v>
      </c>
      <c r="H159" s="363">
        <v>169.0</v>
      </c>
      <c r="I159" s="356"/>
    </row>
    <row r="160" ht="12.75" customHeight="1">
      <c r="A160" s="361">
        <v>49.0</v>
      </c>
      <c r="B160" s="283" t="s">
        <v>81</v>
      </c>
      <c r="C160" s="283" t="s">
        <v>284</v>
      </c>
      <c r="D160" s="283" t="s">
        <v>1666</v>
      </c>
      <c r="E160" s="362" t="s">
        <v>1837</v>
      </c>
      <c r="F160" s="362" t="s">
        <v>1838</v>
      </c>
      <c r="G160" s="362" t="s">
        <v>1839</v>
      </c>
      <c r="H160" s="363">
        <v>176.0</v>
      </c>
      <c r="I160" s="370" t="s">
        <v>1840</v>
      </c>
    </row>
    <row r="161" ht="12.75" customHeight="1">
      <c r="A161" s="361">
        <v>49.0</v>
      </c>
      <c r="B161" s="283" t="s">
        <v>81</v>
      </c>
      <c r="C161" s="283" t="s">
        <v>41</v>
      </c>
      <c r="D161" s="283" t="s">
        <v>1666</v>
      </c>
      <c r="E161" s="362" t="s">
        <v>1841</v>
      </c>
      <c r="F161" s="362"/>
      <c r="G161" s="362" t="s">
        <v>1841</v>
      </c>
      <c r="H161" s="363">
        <v>184.0</v>
      </c>
      <c r="I161" s="370"/>
    </row>
    <row r="162" ht="12.75" customHeight="1">
      <c r="A162" s="361">
        <v>49.0</v>
      </c>
      <c r="B162" s="283" t="s">
        <v>79</v>
      </c>
      <c r="C162" s="283" t="s">
        <v>371</v>
      </c>
      <c r="D162" s="283" t="s">
        <v>1666</v>
      </c>
      <c r="E162" s="362" t="s">
        <v>1842</v>
      </c>
      <c r="F162" s="362"/>
      <c r="G162" s="362" t="s">
        <v>1842</v>
      </c>
      <c r="H162" s="363">
        <v>188.0</v>
      </c>
      <c r="I162" s="356"/>
    </row>
    <row r="163" ht="12.75" customHeight="1">
      <c r="A163" s="361">
        <v>49.0</v>
      </c>
      <c r="B163" s="283" t="s">
        <v>81</v>
      </c>
      <c r="C163" s="283" t="s">
        <v>371</v>
      </c>
      <c r="D163" s="283" t="s">
        <v>1666</v>
      </c>
      <c r="E163" s="362" t="s">
        <v>1843</v>
      </c>
      <c r="F163" s="362"/>
      <c r="G163" s="362" t="s">
        <v>1843</v>
      </c>
      <c r="H163" s="363">
        <v>197.0</v>
      </c>
      <c r="I163" s="356"/>
    </row>
    <row r="164" ht="12.75" customHeight="1">
      <c r="A164" s="361">
        <v>49.0</v>
      </c>
      <c r="B164" s="283" t="s">
        <v>82</v>
      </c>
      <c r="C164" s="283" t="s">
        <v>371</v>
      </c>
      <c r="D164" s="283" t="s">
        <v>1666</v>
      </c>
      <c r="E164" s="362" t="s">
        <v>1844</v>
      </c>
      <c r="F164" s="362" t="s">
        <v>1845</v>
      </c>
      <c r="G164" s="362" t="s">
        <v>1846</v>
      </c>
      <c r="H164" s="363">
        <v>205.0</v>
      </c>
      <c r="I164" s="370" t="s">
        <v>1847</v>
      </c>
    </row>
    <row r="165" ht="12.75" customHeight="1">
      <c r="A165" s="361">
        <v>49.0</v>
      </c>
      <c r="B165" s="283" t="s">
        <v>82</v>
      </c>
      <c r="C165" s="283" t="s">
        <v>428</v>
      </c>
      <c r="D165" s="283" t="s">
        <v>1666</v>
      </c>
      <c r="E165" s="362" t="s">
        <v>1848</v>
      </c>
      <c r="F165" s="362"/>
      <c r="G165" s="362" t="s">
        <v>1848</v>
      </c>
      <c r="H165" s="363">
        <v>214.0</v>
      </c>
      <c r="I165" s="356"/>
    </row>
    <row r="166" ht="12.75" customHeight="1">
      <c r="A166" s="361">
        <v>49.0</v>
      </c>
      <c r="B166" s="283" t="s">
        <v>83</v>
      </c>
      <c r="C166" s="283" t="s">
        <v>428</v>
      </c>
      <c r="D166" s="283" t="s">
        <v>1666</v>
      </c>
      <c r="E166" s="362" t="s">
        <v>1849</v>
      </c>
      <c r="F166" s="362"/>
      <c r="G166" s="362" t="s">
        <v>1849</v>
      </c>
      <c r="H166" s="363">
        <v>222.0</v>
      </c>
      <c r="I166" s="370"/>
    </row>
    <row r="167" ht="12.75" customHeight="1">
      <c r="A167" s="361">
        <v>49.0</v>
      </c>
      <c r="B167" s="283" t="s">
        <v>80</v>
      </c>
      <c r="C167" s="283" t="s">
        <v>429</v>
      </c>
      <c r="D167" s="283" t="s">
        <v>1666</v>
      </c>
      <c r="E167" s="362" t="s">
        <v>1850</v>
      </c>
      <c r="F167" s="362"/>
      <c r="G167" s="362" t="s">
        <v>1850</v>
      </c>
      <c r="H167" s="363">
        <v>229.0</v>
      </c>
      <c r="I167" s="356"/>
    </row>
    <row r="168" ht="12.75" customHeight="1">
      <c r="A168" s="361">
        <v>49.0</v>
      </c>
      <c r="B168" s="283" t="s">
        <v>80</v>
      </c>
      <c r="C168" s="283" t="s">
        <v>163</v>
      </c>
      <c r="D168" s="283" t="s">
        <v>1666</v>
      </c>
      <c r="E168" s="362" t="s">
        <v>1851</v>
      </c>
      <c r="F168" s="362" t="s">
        <v>1852</v>
      </c>
      <c r="G168" s="362" t="s">
        <v>1853</v>
      </c>
      <c r="H168" s="363">
        <v>232.0</v>
      </c>
      <c r="I168" s="370" t="s">
        <v>1854</v>
      </c>
    </row>
    <row r="169" ht="12.75" customHeight="1">
      <c r="A169" s="361">
        <v>49.0</v>
      </c>
      <c r="B169" s="283" t="s">
        <v>80</v>
      </c>
      <c r="C169" s="283" t="s">
        <v>433</v>
      </c>
      <c r="D169" s="283" t="s">
        <v>1855</v>
      </c>
      <c r="E169" s="362" t="s">
        <v>1856</v>
      </c>
      <c r="F169" s="362" t="s">
        <v>1856</v>
      </c>
      <c r="G169" s="362"/>
      <c r="H169" s="363">
        <v>232.0</v>
      </c>
      <c r="I169" s="356"/>
    </row>
    <row r="170" ht="12.75" customHeight="1">
      <c r="A170" s="361">
        <v>49.0</v>
      </c>
      <c r="B170" s="283" t="s">
        <v>80</v>
      </c>
      <c r="C170" s="283" t="s">
        <v>27</v>
      </c>
      <c r="D170" s="283" t="s">
        <v>1855</v>
      </c>
      <c r="E170" s="362" t="s">
        <v>1857</v>
      </c>
      <c r="F170" s="362" t="s">
        <v>1857</v>
      </c>
      <c r="G170" s="362"/>
      <c r="H170" s="363">
        <v>232.0</v>
      </c>
      <c r="I170" s="356"/>
    </row>
    <row r="171" ht="12.75" customHeight="1">
      <c r="A171" s="361">
        <v>49.0</v>
      </c>
      <c r="B171" s="283" t="s">
        <v>79</v>
      </c>
      <c r="C171" s="283" t="s">
        <v>44</v>
      </c>
      <c r="D171" s="283" t="s">
        <v>1855</v>
      </c>
      <c r="E171" s="362" t="s">
        <v>1858</v>
      </c>
      <c r="F171" s="362" t="s">
        <v>1858</v>
      </c>
      <c r="G171" s="362"/>
      <c r="H171" s="363">
        <v>232.0</v>
      </c>
      <c r="I171" s="356"/>
    </row>
    <row r="172" ht="12.75" customHeight="1">
      <c r="A172" s="361">
        <v>49.0</v>
      </c>
      <c r="B172" s="283" t="s">
        <v>79</v>
      </c>
      <c r="C172" s="283" t="s">
        <v>35</v>
      </c>
      <c r="D172" s="283" t="s">
        <v>1855</v>
      </c>
      <c r="E172" s="362" t="s">
        <v>1859</v>
      </c>
      <c r="F172" s="362" t="s">
        <v>1859</v>
      </c>
      <c r="G172" s="362"/>
      <c r="H172" s="363">
        <v>232.0</v>
      </c>
      <c r="I172" s="356"/>
    </row>
    <row r="173" ht="12.75" customHeight="1">
      <c r="A173" s="361">
        <v>49.0</v>
      </c>
      <c r="B173" s="283" t="s">
        <v>81</v>
      </c>
      <c r="C173" s="283" t="s">
        <v>35</v>
      </c>
      <c r="D173" s="283" t="s">
        <v>1855</v>
      </c>
      <c r="E173" s="362" t="s">
        <v>1860</v>
      </c>
      <c r="F173" s="362" t="s">
        <v>1861</v>
      </c>
      <c r="G173" s="362" t="s">
        <v>1862</v>
      </c>
      <c r="H173" s="363">
        <v>234.0</v>
      </c>
      <c r="I173" s="356"/>
    </row>
    <row r="174" ht="12.75" customHeight="1">
      <c r="A174" s="361">
        <v>49.0</v>
      </c>
      <c r="B174" s="283" t="s">
        <v>79</v>
      </c>
      <c r="C174" s="283" t="s">
        <v>37</v>
      </c>
      <c r="D174" s="283" t="s">
        <v>1855</v>
      </c>
      <c r="E174" s="362" t="s">
        <v>1863</v>
      </c>
      <c r="F174" s="362" t="s">
        <v>1864</v>
      </c>
      <c r="G174" s="362" t="s">
        <v>1756</v>
      </c>
      <c r="H174" s="363">
        <v>237.0</v>
      </c>
      <c r="I174" s="356"/>
    </row>
    <row r="175" ht="12.75" customHeight="1">
      <c r="A175" s="361">
        <v>49.0</v>
      </c>
      <c r="B175" s="283" t="s">
        <v>81</v>
      </c>
      <c r="C175" s="283" t="s">
        <v>37</v>
      </c>
      <c r="D175" s="283" t="s">
        <v>1855</v>
      </c>
      <c r="E175" s="362" t="s">
        <v>1865</v>
      </c>
      <c r="F175" s="362" t="s">
        <v>1866</v>
      </c>
      <c r="G175" s="362" t="s">
        <v>1750</v>
      </c>
      <c r="H175" s="363">
        <v>238.0</v>
      </c>
      <c r="I175" s="356"/>
    </row>
    <row r="176" ht="12.75" customHeight="1">
      <c r="A176" s="361"/>
      <c r="B176" s="283"/>
      <c r="C176" s="283"/>
      <c r="D176" s="283"/>
      <c r="E176" s="362"/>
      <c r="F176" s="362"/>
      <c r="G176" s="362"/>
      <c r="H176" s="363"/>
      <c r="I176" s="356"/>
    </row>
    <row r="177" ht="12.75" customHeight="1">
      <c r="A177" s="361"/>
      <c r="B177" s="283"/>
      <c r="C177" s="283"/>
      <c r="D177" s="283"/>
      <c r="E177" s="362"/>
      <c r="F177" s="362"/>
      <c r="G177" s="362"/>
      <c r="H177" s="363"/>
      <c r="I177" s="356"/>
    </row>
    <row r="178" ht="12.75" customHeight="1">
      <c r="A178" s="361"/>
      <c r="B178" s="283"/>
      <c r="C178" s="283"/>
      <c r="D178" s="283"/>
      <c r="E178" s="362"/>
      <c r="F178" s="362"/>
      <c r="G178" s="362"/>
      <c r="H178" s="363"/>
      <c r="I178" s="356"/>
    </row>
    <row r="179" ht="12.75" customHeight="1">
      <c r="A179" s="361"/>
      <c r="B179" s="283"/>
      <c r="C179" s="283"/>
      <c r="D179" s="283"/>
      <c r="E179" s="362"/>
      <c r="F179" s="362"/>
      <c r="G179" s="362"/>
      <c r="H179" s="363"/>
      <c r="I179" s="356"/>
    </row>
    <row r="180" ht="12.75" customHeight="1">
      <c r="A180" s="361"/>
      <c r="B180" s="283"/>
      <c r="C180" s="283"/>
      <c r="D180" s="283"/>
      <c r="E180" s="362"/>
      <c r="F180" s="362"/>
      <c r="G180" s="362"/>
      <c r="H180" s="363"/>
      <c r="I180" s="356"/>
    </row>
    <row r="181" ht="12.75" customHeight="1">
      <c r="A181" s="321"/>
      <c r="B181" s="321"/>
      <c r="C181" s="321"/>
      <c r="D181" s="321"/>
      <c r="E181" s="362"/>
      <c r="F181" s="362"/>
      <c r="G181" s="362"/>
      <c r="H181" s="363"/>
      <c r="I181" s="356"/>
    </row>
    <row r="182" ht="12.75" customHeight="1">
      <c r="A182" s="321"/>
      <c r="B182" s="321"/>
      <c r="C182" s="321"/>
      <c r="D182" s="321"/>
      <c r="E182" s="362"/>
      <c r="F182" s="362"/>
      <c r="G182" s="362"/>
      <c r="H182" s="363"/>
      <c r="I182" s="356"/>
    </row>
    <row r="183" ht="12.75" customHeight="1">
      <c r="A183" s="321"/>
      <c r="B183" s="321"/>
      <c r="C183" s="321"/>
      <c r="D183" s="321"/>
      <c r="E183" s="362"/>
      <c r="F183" s="362"/>
      <c r="G183" s="362"/>
      <c r="H183" s="363"/>
      <c r="I183" s="356"/>
    </row>
    <row r="184" ht="12.75" customHeight="1">
      <c r="A184" s="321"/>
      <c r="B184" s="321"/>
      <c r="C184" s="321"/>
      <c r="D184" s="321"/>
      <c r="E184" s="362"/>
      <c r="F184" s="362"/>
      <c r="G184" s="362"/>
      <c r="H184" s="363"/>
      <c r="I184" s="356"/>
    </row>
    <row r="185" ht="12.75" customHeight="1">
      <c r="A185" s="321"/>
      <c r="B185" s="321"/>
      <c r="C185" s="321"/>
      <c r="D185" s="321"/>
      <c r="E185" s="362"/>
      <c r="F185" s="362"/>
      <c r="G185" s="362"/>
      <c r="H185" s="363"/>
      <c r="I185" s="356"/>
    </row>
    <row r="186" ht="12.75" customHeight="1">
      <c r="A186" s="321"/>
      <c r="B186" s="321"/>
      <c r="C186" s="321"/>
      <c r="D186" s="321"/>
      <c r="E186" s="362"/>
      <c r="F186" s="362"/>
      <c r="G186" s="362"/>
      <c r="H186" s="363"/>
      <c r="I186" s="356"/>
    </row>
    <row r="187" ht="12.75" customHeight="1">
      <c r="A187" s="321"/>
      <c r="B187" s="321"/>
      <c r="C187" s="321"/>
      <c r="D187" s="321"/>
      <c r="E187" s="362"/>
      <c r="F187" s="362"/>
      <c r="G187" s="362"/>
      <c r="H187" s="363"/>
      <c r="I187" s="356"/>
    </row>
    <row r="188" ht="12.75" customHeight="1">
      <c r="A188" s="321"/>
      <c r="B188" s="321"/>
      <c r="C188" s="321"/>
      <c r="D188" s="321"/>
      <c r="E188" s="362"/>
      <c r="F188" s="362"/>
      <c r="G188" s="362"/>
      <c r="H188" s="363"/>
      <c r="I188" s="356"/>
    </row>
    <row r="189" ht="12.75" customHeight="1">
      <c r="A189" s="321"/>
      <c r="B189" s="321"/>
      <c r="C189" s="321"/>
      <c r="D189" s="321"/>
      <c r="E189" s="362"/>
      <c r="F189" s="362"/>
      <c r="G189" s="362"/>
      <c r="H189" s="363"/>
      <c r="I189" s="356"/>
    </row>
    <row r="190" ht="12.75" customHeight="1">
      <c r="A190" s="321"/>
      <c r="B190" s="321"/>
      <c r="C190" s="321"/>
      <c r="D190" s="321"/>
      <c r="E190" s="362"/>
      <c r="F190" s="362"/>
      <c r="G190" s="362"/>
      <c r="H190" s="363"/>
      <c r="I190" s="356"/>
    </row>
    <row r="191" ht="12.75" customHeight="1">
      <c r="I191" s="356"/>
    </row>
    <row r="192">
      <c r="I192" s="356"/>
    </row>
    <row r="193">
      <c r="I193" s="356"/>
    </row>
    <row r="194">
      <c r="I194" s="356"/>
    </row>
    <row r="195">
      <c r="I195" s="356"/>
    </row>
    <row r="196">
      <c r="I196" s="356"/>
    </row>
    <row r="197">
      <c r="I197" s="356"/>
    </row>
    <row r="198">
      <c r="I198" s="356"/>
    </row>
    <row r="199">
      <c r="I199" s="356"/>
    </row>
    <row r="200">
      <c r="I200" s="356"/>
    </row>
    <row r="201">
      <c r="I201" s="356"/>
    </row>
    <row r="202">
      <c r="I202" s="356"/>
    </row>
    <row r="203">
      <c r="I203" s="356"/>
    </row>
    <row r="204">
      <c r="I204" s="356"/>
    </row>
    <row r="205">
      <c r="I205" s="356"/>
    </row>
    <row r="206">
      <c r="I206" s="356"/>
    </row>
    <row r="207">
      <c r="I207" s="356"/>
    </row>
    <row r="208">
      <c r="I208" s="356"/>
    </row>
    <row r="209">
      <c r="I209" s="356"/>
    </row>
    <row r="210">
      <c r="I210" s="356"/>
    </row>
    <row r="211">
      <c r="I211" s="356"/>
    </row>
    <row r="212">
      <c r="I212" s="356"/>
    </row>
    <row r="213">
      <c r="I213" s="356"/>
    </row>
    <row r="214">
      <c r="I214" s="356"/>
    </row>
    <row r="215">
      <c r="I215" s="356"/>
    </row>
    <row r="216">
      <c r="I216" s="356"/>
    </row>
    <row r="217">
      <c r="I217" s="356"/>
    </row>
    <row r="218">
      <c r="I218" s="356"/>
    </row>
    <row r="219">
      <c r="I219" s="356"/>
    </row>
    <row r="220">
      <c r="I220" s="356"/>
    </row>
    <row r="221">
      <c r="I221" s="356"/>
    </row>
    <row r="222">
      <c r="I222" s="356"/>
    </row>
    <row r="223">
      <c r="I223" s="356"/>
    </row>
    <row r="224">
      <c r="I224" s="356"/>
    </row>
    <row r="225">
      <c r="I225" s="356"/>
    </row>
    <row r="226">
      <c r="I226" s="356"/>
    </row>
    <row r="227">
      <c r="I227" s="356"/>
    </row>
    <row r="228">
      <c r="I228" s="356"/>
    </row>
    <row r="229">
      <c r="I229" s="356"/>
    </row>
    <row r="230">
      <c r="I230" s="356"/>
    </row>
    <row r="231">
      <c r="I231" s="356"/>
    </row>
    <row r="232">
      <c r="I232" s="356"/>
    </row>
    <row r="233">
      <c r="I233" s="356"/>
    </row>
    <row r="234">
      <c r="I234" s="356"/>
    </row>
    <row r="235">
      <c r="I235" s="356"/>
    </row>
    <row r="236">
      <c r="I236" s="356"/>
    </row>
    <row r="237" ht="12.75" customHeight="1">
      <c r="I237" s="356"/>
    </row>
    <row r="238" ht="12.75" customHeight="1">
      <c r="I238" s="356"/>
    </row>
    <row r="239" ht="12.75" customHeight="1">
      <c r="I239" s="356"/>
    </row>
    <row r="240" ht="12.75" customHeight="1">
      <c r="I240" s="356"/>
    </row>
    <row r="241" ht="12.75" customHeight="1">
      <c r="I241" s="356"/>
    </row>
    <row r="242" ht="12.75" customHeight="1">
      <c r="I242" s="356"/>
    </row>
    <row r="243" ht="12.75" customHeight="1">
      <c r="I243" s="356"/>
    </row>
    <row r="244" ht="12.75" customHeight="1">
      <c r="I244" s="356"/>
    </row>
    <row r="245" ht="12.75" customHeight="1">
      <c r="I245" s="356"/>
    </row>
    <row r="246" ht="12.75" customHeight="1">
      <c r="I246" s="356"/>
    </row>
    <row r="247" ht="12.75" customHeight="1">
      <c r="I247" s="356"/>
    </row>
    <row r="248" ht="12.75" customHeight="1">
      <c r="I248" s="356"/>
    </row>
    <row r="249" ht="12.75" customHeight="1">
      <c r="I249" s="356"/>
    </row>
    <row r="250" ht="12.75" customHeight="1">
      <c r="I250" s="356"/>
    </row>
    <row r="251" ht="12.75" customHeight="1">
      <c r="I251" s="356"/>
    </row>
    <row r="252" ht="12.75" customHeight="1">
      <c r="I252" s="356"/>
    </row>
    <row r="253" ht="12.75" customHeight="1">
      <c r="I253" s="356"/>
    </row>
    <row r="254" ht="12.75" customHeight="1">
      <c r="I254" s="356"/>
    </row>
    <row r="255" ht="12.75" customHeight="1">
      <c r="I255" s="356"/>
    </row>
    <row r="256" ht="12.75" customHeight="1">
      <c r="I256" s="356"/>
    </row>
    <row r="257" ht="12.75" customHeight="1">
      <c r="I257" s="356"/>
    </row>
    <row r="258" ht="12.75" customHeight="1">
      <c r="I258" s="356"/>
    </row>
    <row r="259" ht="12.75" customHeight="1">
      <c r="I259" s="356"/>
    </row>
    <row r="260" ht="12.75" customHeight="1">
      <c r="I260" s="356"/>
    </row>
    <row r="261" ht="12.75" customHeight="1">
      <c r="I261" s="356"/>
    </row>
    <row r="262" ht="12.75" customHeight="1">
      <c r="I262" s="356"/>
    </row>
    <row r="263" ht="12.75" customHeight="1">
      <c r="I263" s="356"/>
    </row>
    <row r="264" ht="12.75" customHeight="1">
      <c r="I264" s="356"/>
    </row>
    <row r="265" ht="12.75" customHeight="1">
      <c r="I265" s="356"/>
    </row>
    <row r="266" ht="12.75" customHeight="1">
      <c r="I266" s="356"/>
    </row>
    <row r="267" ht="12.75" customHeight="1">
      <c r="I267" s="356"/>
    </row>
    <row r="268" ht="12.75" customHeight="1">
      <c r="I268" s="356"/>
    </row>
    <row r="269" ht="12.75" customHeight="1">
      <c r="I269" s="356"/>
    </row>
    <row r="270" ht="12.75" customHeight="1">
      <c r="I270" s="356"/>
    </row>
    <row r="271" ht="12.75" customHeight="1">
      <c r="I271" s="356"/>
    </row>
    <row r="272" ht="12.75" customHeight="1">
      <c r="I272" s="356"/>
    </row>
    <row r="273" ht="12.75" customHeight="1">
      <c r="I273" s="356"/>
    </row>
    <row r="274" ht="12.75" customHeight="1">
      <c r="I274" s="356"/>
    </row>
    <row r="275" ht="12.75" customHeight="1">
      <c r="I275" s="356"/>
    </row>
    <row r="276" ht="12.75" customHeight="1">
      <c r="I276" s="356"/>
    </row>
    <row r="277" ht="12.75" customHeight="1">
      <c r="I277" s="356"/>
    </row>
    <row r="278" ht="12.75" customHeight="1">
      <c r="I278" s="356"/>
    </row>
    <row r="279" ht="12.75" customHeight="1">
      <c r="I279" s="356"/>
    </row>
    <row r="280" ht="12.75" customHeight="1">
      <c r="I280" s="356"/>
    </row>
    <row r="281" ht="12.75" customHeight="1">
      <c r="I281" s="356"/>
    </row>
    <row r="282" ht="12.75" customHeight="1">
      <c r="I282" s="356"/>
    </row>
    <row r="283" ht="12.75" customHeight="1">
      <c r="I283" s="356"/>
    </row>
    <row r="284" ht="12.75" customHeight="1">
      <c r="I284" s="356"/>
    </row>
    <row r="285" ht="12.75" customHeight="1">
      <c r="I285" s="356"/>
    </row>
    <row r="286" ht="12.75" customHeight="1">
      <c r="I286" s="356"/>
    </row>
    <row r="287" ht="12.75" customHeight="1">
      <c r="I287" s="356"/>
    </row>
    <row r="288" ht="12.75" customHeight="1">
      <c r="I288" s="356"/>
    </row>
    <row r="289" ht="12.75" customHeight="1">
      <c r="I289" s="356"/>
    </row>
    <row r="290" ht="12.75" customHeight="1">
      <c r="I290" s="356"/>
    </row>
    <row r="291" ht="12.75" customHeight="1">
      <c r="I291" s="356"/>
    </row>
    <row r="292" ht="12.75" customHeight="1">
      <c r="I292" s="356"/>
    </row>
    <row r="293" ht="12.75" customHeight="1">
      <c r="I293" s="356"/>
    </row>
    <row r="294" ht="12.75" customHeight="1">
      <c r="I294" s="356"/>
    </row>
    <row r="295" ht="12.75" customHeight="1">
      <c r="I295" s="356"/>
    </row>
    <row r="296" ht="12.75" customHeight="1">
      <c r="I296" s="356"/>
    </row>
    <row r="297" ht="12.75" customHeight="1">
      <c r="I297" s="356"/>
    </row>
    <row r="298" ht="12.75" customHeight="1">
      <c r="I298" s="356"/>
    </row>
    <row r="299" ht="12.75" customHeight="1">
      <c r="I299" s="356"/>
    </row>
    <row r="300" ht="12.75" customHeight="1">
      <c r="I300" s="356"/>
    </row>
    <row r="301" ht="12.75" customHeight="1">
      <c r="I301" s="356"/>
    </row>
    <row r="302" ht="12.75" customHeight="1">
      <c r="I302" s="356"/>
    </row>
    <row r="303" ht="12.75" customHeight="1">
      <c r="I303" s="356"/>
    </row>
    <row r="304" ht="12.75" customHeight="1">
      <c r="I304" s="356"/>
    </row>
    <row r="305" ht="12.75" customHeight="1">
      <c r="I305" s="356"/>
    </row>
    <row r="306" ht="12.75" customHeight="1">
      <c r="I306" s="356"/>
    </row>
    <row r="307" ht="12.75" customHeight="1">
      <c r="I307" s="356"/>
    </row>
    <row r="308" ht="12.75" customHeight="1">
      <c r="I308" s="356"/>
    </row>
    <row r="309" ht="12.75" customHeight="1">
      <c r="I309" s="356"/>
    </row>
    <row r="310" ht="12.75" customHeight="1">
      <c r="I310" s="356"/>
    </row>
    <row r="311" ht="12.75" customHeight="1">
      <c r="I311" s="356"/>
    </row>
    <row r="312" ht="12.75" customHeight="1">
      <c r="I312" s="356"/>
    </row>
    <row r="313" ht="12.75" customHeight="1">
      <c r="I313" s="356"/>
    </row>
    <row r="314" ht="12.75" customHeight="1">
      <c r="I314" s="356"/>
    </row>
    <row r="315" ht="12.75" customHeight="1">
      <c r="I315" s="356"/>
    </row>
    <row r="316" ht="12.75" customHeight="1">
      <c r="I316" s="356"/>
    </row>
    <row r="317" ht="12.75" customHeight="1">
      <c r="I317" s="356"/>
    </row>
    <row r="318" ht="12.75" customHeight="1">
      <c r="I318" s="356"/>
    </row>
    <row r="319" ht="12.75" customHeight="1">
      <c r="I319" s="356"/>
    </row>
    <row r="320" ht="12.75" customHeight="1">
      <c r="I320" s="356"/>
    </row>
    <row r="321" ht="12.75" customHeight="1">
      <c r="I321" s="356"/>
    </row>
    <row r="322" ht="12.75" customHeight="1">
      <c r="I322" s="356"/>
    </row>
    <row r="323" ht="12.75" customHeight="1">
      <c r="I323" s="356"/>
    </row>
    <row r="324" ht="12.75" customHeight="1">
      <c r="I324" s="356"/>
    </row>
    <row r="325" ht="12.75" customHeight="1">
      <c r="I325" s="356"/>
    </row>
    <row r="326" ht="12.75" customHeight="1">
      <c r="I326" s="356"/>
    </row>
    <row r="327" ht="12.75" customHeight="1">
      <c r="I327" s="356"/>
    </row>
    <row r="328" ht="12.75" customHeight="1">
      <c r="I328" s="356"/>
    </row>
    <row r="329" ht="12.75" customHeight="1">
      <c r="I329" s="356"/>
    </row>
    <row r="330" ht="12.75" customHeight="1">
      <c r="I330" s="356"/>
    </row>
    <row r="331" ht="12.75" customHeight="1">
      <c r="I331" s="356"/>
    </row>
    <row r="332" ht="12.75" customHeight="1">
      <c r="I332" s="356"/>
    </row>
    <row r="333" ht="12.75" customHeight="1">
      <c r="I333" s="356"/>
    </row>
    <row r="334" ht="12.75" customHeight="1">
      <c r="I334" s="356"/>
    </row>
    <row r="335" ht="12.75" customHeight="1">
      <c r="I335" s="356"/>
    </row>
    <row r="336" ht="12.75" customHeight="1">
      <c r="I336" s="356"/>
    </row>
    <row r="337" ht="12.75" customHeight="1">
      <c r="I337" s="356"/>
    </row>
    <row r="338" ht="12.75" customHeight="1">
      <c r="I338" s="356"/>
    </row>
    <row r="339" ht="12.75" customHeight="1">
      <c r="I339" s="356"/>
    </row>
    <row r="340" ht="12.75" customHeight="1">
      <c r="I340" s="356"/>
    </row>
    <row r="341" ht="12.75" customHeight="1">
      <c r="I341" s="356"/>
    </row>
    <row r="342" ht="12.75" customHeight="1">
      <c r="I342" s="356"/>
    </row>
    <row r="343" ht="12.75" customHeight="1">
      <c r="I343" s="356"/>
    </row>
    <row r="344" ht="12.75" customHeight="1">
      <c r="I344" s="356"/>
    </row>
    <row r="345" ht="12.75" customHeight="1">
      <c r="I345" s="356"/>
    </row>
    <row r="346" ht="12.75" customHeight="1">
      <c r="I346" s="356"/>
    </row>
    <row r="347" ht="12.75" customHeight="1">
      <c r="I347" s="356"/>
    </row>
    <row r="348" ht="12.75" customHeight="1">
      <c r="I348" s="356"/>
    </row>
    <row r="349" ht="12.75" customHeight="1">
      <c r="I349" s="356"/>
    </row>
    <row r="350" ht="12.75" customHeight="1">
      <c r="I350" s="356"/>
    </row>
    <row r="351" ht="12.75" customHeight="1">
      <c r="I351" s="356"/>
    </row>
    <row r="352" ht="12.75" customHeight="1">
      <c r="I352" s="356"/>
    </row>
    <row r="353" ht="12.75" customHeight="1">
      <c r="I353" s="356"/>
    </row>
    <row r="354" ht="12.75" customHeight="1">
      <c r="I354" s="356"/>
    </row>
    <row r="355" ht="12.75" customHeight="1">
      <c r="I355" s="356"/>
    </row>
    <row r="356" ht="12.75" customHeight="1">
      <c r="I356" s="356"/>
    </row>
    <row r="357" ht="12.75" customHeight="1">
      <c r="I357" s="356"/>
    </row>
    <row r="358" ht="12.75" customHeight="1">
      <c r="I358" s="356"/>
    </row>
    <row r="359" ht="12.75" customHeight="1">
      <c r="I359" s="356"/>
    </row>
    <row r="360" ht="12.75" customHeight="1">
      <c r="I360" s="356"/>
    </row>
    <row r="361" ht="12.75" customHeight="1">
      <c r="I361" s="356"/>
    </row>
    <row r="362" ht="12.75" customHeight="1">
      <c r="I362" s="356"/>
    </row>
    <row r="363" ht="12.75" customHeight="1">
      <c r="I363" s="356"/>
    </row>
    <row r="364" ht="12.75" customHeight="1">
      <c r="I364" s="356"/>
    </row>
    <row r="365" ht="12.75" customHeight="1">
      <c r="I365" s="356"/>
    </row>
    <row r="366" ht="12.75" customHeight="1">
      <c r="I366" s="356"/>
    </row>
    <row r="367" ht="12.75" customHeight="1">
      <c r="I367" s="356"/>
    </row>
    <row r="368" ht="12.75" customHeight="1">
      <c r="I368" s="356"/>
    </row>
    <row r="369" ht="12.75" customHeight="1">
      <c r="I369" s="356"/>
    </row>
    <row r="370" ht="12.75" customHeight="1">
      <c r="I370" s="356"/>
    </row>
    <row r="371" ht="12.75" customHeight="1">
      <c r="I371" s="356"/>
    </row>
    <row r="372" ht="12.75" customHeight="1">
      <c r="I372" s="356"/>
    </row>
    <row r="373" ht="12.75" customHeight="1">
      <c r="I373" s="356"/>
    </row>
    <row r="374" ht="12.75" customHeight="1">
      <c r="I374" s="356"/>
    </row>
    <row r="375" ht="12.75" customHeight="1">
      <c r="I375" s="356"/>
    </row>
    <row r="376" ht="12.75" customHeight="1">
      <c r="I376" s="356"/>
    </row>
    <row r="377" ht="12.75" customHeight="1">
      <c r="I377" s="356"/>
    </row>
    <row r="378" ht="12.75" customHeight="1">
      <c r="I378" s="356"/>
    </row>
    <row r="379" ht="12.75" customHeight="1">
      <c r="I379" s="356"/>
    </row>
    <row r="380" ht="12.75" customHeight="1">
      <c r="I380" s="356"/>
    </row>
    <row r="381" ht="12.75" customHeight="1">
      <c r="I381" s="356"/>
    </row>
    <row r="382" ht="12.75" customHeight="1">
      <c r="I382" s="356"/>
    </row>
    <row r="383" ht="12.75" customHeight="1">
      <c r="I383" s="356"/>
    </row>
    <row r="384" ht="12.75" customHeight="1">
      <c r="I384" s="356"/>
    </row>
    <row r="385" ht="12.75" customHeight="1">
      <c r="I385" s="356"/>
    </row>
    <row r="386" ht="12.75" customHeight="1">
      <c r="I386" s="356"/>
    </row>
    <row r="387" ht="12.75" customHeight="1">
      <c r="I387" s="356"/>
    </row>
    <row r="388" ht="12.75" customHeight="1">
      <c r="I388" s="356"/>
    </row>
    <row r="389" ht="12.75" customHeight="1">
      <c r="I389" s="356"/>
    </row>
    <row r="390" ht="12.75" customHeight="1">
      <c r="I390" s="356"/>
    </row>
    <row r="391" ht="12.75" customHeight="1">
      <c r="I391" s="356"/>
    </row>
    <row r="392" ht="12.75" customHeight="1">
      <c r="I392" s="356"/>
    </row>
    <row r="393" ht="12.75" customHeight="1">
      <c r="I393" s="356"/>
    </row>
    <row r="394" ht="12.75" customHeight="1">
      <c r="I394" s="356"/>
    </row>
    <row r="395" ht="12.75" customHeight="1">
      <c r="I395" s="356"/>
    </row>
    <row r="396" ht="12.75" customHeight="1">
      <c r="I396" s="356"/>
    </row>
    <row r="397" ht="12.75" customHeight="1">
      <c r="I397" s="356"/>
    </row>
    <row r="398" ht="12.75" customHeight="1">
      <c r="I398" s="356"/>
    </row>
    <row r="399" ht="12.75" customHeight="1">
      <c r="I399" s="356"/>
    </row>
    <row r="400" ht="12.75" customHeight="1">
      <c r="I400" s="356"/>
    </row>
    <row r="401" ht="12.75" customHeight="1">
      <c r="I401" s="356"/>
    </row>
    <row r="402" ht="12.75" customHeight="1">
      <c r="I402" s="356"/>
    </row>
    <row r="403" ht="12.75" customHeight="1">
      <c r="I403" s="356"/>
    </row>
    <row r="404" ht="12.75" customHeight="1">
      <c r="I404" s="356"/>
    </row>
    <row r="405" ht="12.75" customHeight="1">
      <c r="I405" s="356"/>
    </row>
    <row r="406" ht="12.75" customHeight="1">
      <c r="I406" s="356"/>
    </row>
    <row r="407" ht="12.75" customHeight="1">
      <c r="I407" s="356"/>
    </row>
    <row r="408" ht="12.75" customHeight="1">
      <c r="I408" s="356"/>
    </row>
    <row r="409" ht="12.75" customHeight="1">
      <c r="I409" s="356"/>
    </row>
    <row r="410" ht="12.75" customHeight="1">
      <c r="I410" s="356"/>
    </row>
    <row r="411" ht="12.75" customHeight="1">
      <c r="I411" s="356"/>
    </row>
    <row r="412" ht="12.75" customHeight="1">
      <c r="I412" s="356"/>
    </row>
    <row r="413" ht="12.75" customHeight="1">
      <c r="I413" s="356"/>
    </row>
    <row r="414" ht="12.75" customHeight="1">
      <c r="I414" s="356"/>
    </row>
    <row r="415" ht="12.75" customHeight="1">
      <c r="I415" s="356"/>
    </row>
    <row r="416" ht="12.75" customHeight="1">
      <c r="I416" s="356"/>
    </row>
    <row r="417" ht="12.75" customHeight="1">
      <c r="I417" s="356"/>
    </row>
    <row r="418" ht="12.75" customHeight="1">
      <c r="I418" s="356"/>
    </row>
    <row r="419" ht="12.75" customHeight="1">
      <c r="I419" s="356"/>
    </row>
    <row r="420" ht="12.75" customHeight="1">
      <c r="I420" s="356"/>
    </row>
    <row r="421" ht="12.75" customHeight="1">
      <c r="I421" s="356"/>
    </row>
    <row r="422" ht="12.75" customHeight="1">
      <c r="I422" s="356"/>
    </row>
    <row r="423" ht="12.75" customHeight="1">
      <c r="I423" s="356"/>
    </row>
    <row r="424" ht="12.75" customHeight="1">
      <c r="I424" s="356"/>
    </row>
    <row r="425" ht="12.75" customHeight="1">
      <c r="I425" s="356"/>
    </row>
    <row r="426" ht="12.75" customHeight="1">
      <c r="I426" s="356"/>
    </row>
    <row r="427" ht="12.75" customHeight="1">
      <c r="I427" s="356"/>
    </row>
    <row r="428" ht="12.75" customHeight="1">
      <c r="I428" s="356"/>
    </row>
    <row r="429" ht="12.75" customHeight="1">
      <c r="I429" s="356"/>
    </row>
    <row r="430" ht="12.75" customHeight="1">
      <c r="I430" s="356"/>
    </row>
    <row r="431" ht="12.75" customHeight="1">
      <c r="I431" s="356"/>
    </row>
    <row r="432" ht="12.75" customHeight="1">
      <c r="I432" s="356"/>
    </row>
    <row r="433" ht="12.75" customHeight="1">
      <c r="I433" s="356"/>
    </row>
    <row r="434" ht="12.75" customHeight="1">
      <c r="I434" s="356"/>
    </row>
    <row r="435" ht="12.75" customHeight="1">
      <c r="I435" s="356"/>
    </row>
    <row r="436" ht="12.75" customHeight="1">
      <c r="I436" s="356"/>
    </row>
    <row r="437" ht="12.75" customHeight="1">
      <c r="I437" s="356"/>
    </row>
    <row r="438" ht="12.75" customHeight="1">
      <c r="I438" s="356"/>
    </row>
    <row r="439" ht="12.75" customHeight="1">
      <c r="I439" s="356"/>
    </row>
    <row r="440" ht="12.75" customHeight="1">
      <c r="I440" s="356"/>
    </row>
    <row r="441" ht="12.75" customHeight="1">
      <c r="I441" s="356"/>
    </row>
    <row r="442" ht="12.75" customHeight="1">
      <c r="I442" s="356"/>
    </row>
    <row r="443" ht="12.75" customHeight="1">
      <c r="I443" s="356"/>
    </row>
    <row r="444" ht="12.75" customHeight="1">
      <c r="I444" s="356"/>
    </row>
    <row r="445" ht="12.75" customHeight="1">
      <c r="I445" s="356"/>
    </row>
    <row r="446" ht="12.75" customHeight="1">
      <c r="I446" s="356"/>
    </row>
    <row r="447" ht="12.75" customHeight="1">
      <c r="I447" s="356"/>
    </row>
    <row r="448" ht="12.75" customHeight="1">
      <c r="I448" s="356"/>
    </row>
    <row r="449" ht="12.75" customHeight="1">
      <c r="I449" s="356"/>
    </row>
    <row r="450" ht="12.75" customHeight="1">
      <c r="I450" s="356"/>
    </row>
    <row r="451" ht="12.75" customHeight="1">
      <c r="I451" s="356"/>
    </row>
    <row r="452" ht="12.75" customHeight="1">
      <c r="I452" s="356"/>
    </row>
    <row r="453" ht="12.75" customHeight="1">
      <c r="I453" s="356"/>
    </row>
    <row r="454" ht="12.75" customHeight="1">
      <c r="I454" s="356"/>
    </row>
    <row r="455" ht="12.75" customHeight="1">
      <c r="I455" s="356"/>
    </row>
    <row r="456" ht="12.75" customHeight="1">
      <c r="I456" s="356"/>
    </row>
    <row r="457" ht="12.75" customHeight="1">
      <c r="I457" s="356"/>
    </row>
    <row r="458" ht="12.75" customHeight="1">
      <c r="I458" s="356"/>
    </row>
    <row r="459" ht="12.75" customHeight="1">
      <c r="I459" s="356"/>
    </row>
    <row r="460" ht="12.75" customHeight="1">
      <c r="I460" s="356"/>
    </row>
    <row r="461" ht="12.75" customHeight="1">
      <c r="I461" s="356"/>
    </row>
    <row r="462" ht="12.75" customHeight="1">
      <c r="I462" s="356"/>
    </row>
    <row r="463" ht="12.75" customHeight="1">
      <c r="I463" s="356"/>
    </row>
    <row r="464" ht="12.75" customHeight="1">
      <c r="I464" s="356"/>
    </row>
    <row r="465" ht="12.75" customHeight="1">
      <c r="I465" s="356"/>
    </row>
    <row r="466" ht="12.75" customHeight="1">
      <c r="I466" s="356"/>
    </row>
    <row r="467" ht="12.75" customHeight="1">
      <c r="I467" s="356"/>
    </row>
    <row r="468" ht="12.75" customHeight="1">
      <c r="I468" s="356"/>
    </row>
    <row r="469" ht="12.75" customHeight="1">
      <c r="I469" s="356"/>
    </row>
    <row r="470" ht="12.75" customHeight="1">
      <c r="I470" s="356"/>
    </row>
    <row r="471" ht="12.75" customHeight="1">
      <c r="I471" s="356"/>
    </row>
    <row r="472" ht="12.75" customHeight="1">
      <c r="I472" s="356"/>
    </row>
    <row r="473" ht="12.75" customHeight="1">
      <c r="I473" s="356"/>
    </row>
    <row r="474" ht="12.75" customHeight="1">
      <c r="I474" s="356"/>
    </row>
    <row r="475" ht="12.75" customHeight="1">
      <c r="I475" s="356"/>
    </row>
    <row r="476" ht="12.75" customHeight="1">
      <c r="I476" s="356"/>
    </row>
    <row r="477" ht="12.75" customHeight="1">
      <c r="I477" s="356"/>
    </row>
    <row r="478" ht="12.75" customHeight="1">
      <c r="I478" s="356"/>
    </row>
    <row r="479" ht="12.75" customHeight="1">
      <c r="I479" s="356"/>
    </row>
    <row r="480" ht="12.75" customHeight="1">
      <c r="I480" s="356"/>
    </row>
    <row r="481" ht="12.75" customHeight="1">
      <c r="I481" s="356"/>
    </row>
    <row r="482" ht="12.75" customHeight="1">
      <c r="I482" s="356"/>
    </row>
    <row r="483" ht="12.75" customHeight="1">
      <c r="I483" s="356"/>
    </row>
    <row r="484" ht="12.75" customHeight="1">
      <c r="I484" s="356"/>
    </row>
    <row r="485" ht="12.75" customHeight="1">
      <c r="I485" s="356"/>
    </row>
    <row r="486" ht="12.75" customHeight="1">
      <c r="I486" s="356"/>
    </row>
    <row r="487" ht="12.75" customHeight="1">
      <c r="I487" s="356"/>
    </row>
    <row r="488" ht="12.75" customHeight="1">
      <c r="I488" s="356"/>
    </row>
    <row r="489" ht="12.75" customHeight="1">
      <c r="I489" s="356"/>
    </row>
    <row r="490" ht="12.75" customHeight="1">
      <c r="I490" s="356"/>
    </row>
    <row r="491" ht="12.75" customHeight="1">
      <c r="I491" s="356"/>
    </row>
    <row r="492" ht="12.75" customHeight="1">
      <c r="I492" s="356"/>
    </row>
    <row r="493" ht="12.75" customHeight="1">
      <c r="I493" s="356"/>
    </row>
    <row r="494" ht="12.75" customHeight="1">
      <c r="I494" s="356"/>
    </row>
    <row r="495" ht="12.75" customHeight="1">
      <c r="I495" s="356"/>
    </row>
    <row r="496" ht="12.75" customHeight="1">
      <c r="I496" s="356"/>
    </row>
    <row r="497" ht="12.75" customHeight="1">
      <c r="I497" s="356"/>
    </row>
    <row r="498" ht="12.75" customHeight="1">
      <c r="I498" s="356"/>
    </row>
    <row r="499" ht="12.75" customHeight="1">
      <c r="I499" s="356"/>
    </row>
    <row r="500" ht="12.75" customHeight="1">
      <c r="I500" s="356"/>
    </row>
    <row r="501" ht="12.75" customHeight="1">
      <c r="I501" s="356"/>
    </row>
    <row r="502" ht="12.75" customHeight="1">
      <c r="I502" s="356"/>
    </row>
    <row r="503" ht="12.75" customHeight="1">
      <c r="I503" s="356"/>
    </row>
    <row r="504" ht="12.75" customHeight="1">
      <c r="I504" s="356"/>
    </row>
    <row r="505" ht="12.75" customHeight="1">
      <c r="I505" s="356"/>
    </row>
    <row r="506" ht="12.75" customHeight="1">
      <c r="I506" s="356"/>
    </row>
    <row r="507" ht="12.75" customHeight="1">
      <c r="I507" s="356"/>
    </row>
    <row r="508" ht="12.75" customHeight="1">
      <c r="I508" s="356"/>
    </row>
    <row r="509" ht="12.75" customHeight="1">
      <c r="I509" s="356"/>
    </row>
    <row r="510" ht="12.75" customHeight="1">
      <c r="I510" s="356"/>
    </row>
    <row r="511" ht="12.75" customHeight="1">
      <c r="I511" s="356"/>
    </row>
    <row r="512" ht="12.75" customHeight="1">
      <c r="I512" s="356"/>
    </row>
    <row r="513" ht="12.75" customHeight="1">
      <c r="I513" s="356"/>
    </row>
    <row r="514" ht="12.75" customHeight="1">
      <c r="I514" s="356"/>
    </row>
    <row r="515" ht="12.75" customHeight="1">
      <c r="I515" s="356"/>
    </row>
    <row r="516" ht="12.75" customHeight="1">
      <c r="I516" s="356"/>
    </row>
    <row r="517" ht="12.75" customHeight="1">
      <c r="I517" s="356"/>
    </row>
    <row r="518" ht="12.75" customHeight="1">
      <c r="I518" s="356"/>
    </row>
    <row r="519" ht="12.75" customHeight="1">
      <c r="I519" s="356"/>
    </row>
    <row r="520" ht="12.75" customHeight="1">
      <c r="I520" s="356"/>
    </row>
    <row r="521" ht="12.75" customHeight="1">
      <c r="I521" s="356"/>
    </row>
    <row r="522" ht="12.75" customHeight="1">
      <c r="I522" s="356"/>
    </row>
    <row r="523" ht="12.75" customHeight="1">
      <c r="I523" s="356"/>
    </row>
    <row r="524" ht="12.75" customHeight="1">
      <c r="I524" s="356"/>
    </row>
    <row r="525" ht="12.75" customHeight="1">
      <c r="I525" s="356"/>
    </row>
    <row r="526" ht="12.75" customHeight="1">
      <c r="I526" s="356"/>
    </row>
    <row r="527" ht="12.75" customHeight="1">
      <c r="I527" s="356"/>
    </row>
    <row r="528" ht="12.75" customHeight="1">
      <c r="I528" s="356"/>
    </row>
    <row r="529" ht="12.75" customHeight="1">
      <c r="I529" s="356"/>
    </row>
    <row r="530" ht="12.75" customHeight="1">
      <c r="I530" s="356"/>
    </row>
    <row r="531" ht="12.75" customHeight="1">
      <c r="I531" s="356"/>
    </row>
    <row r="532" ht="12.75" customHeight="1">
      <c r="I532" s="356"/>
    </row>
    <row r="533" ht="12.75" customHeight="1">
      <c r="I533" s="356"/>
    </row>
    <row r="534" ht="12.75" customHeight="1">
      <c r="I534" s="356"/>
    </row>
    <row r="535" ht="12.75" customHeight="1">
      <c r="I535" s="356"/>
    </row>
    <row r="536" ht="12.75" customHeight="1">
      <c r="I536" s="356"/>
    </row>
    <row r="537" ht="12.75" customHeight="1">
      <c r="I537" s="356"/>
    </row>
    <row r="538" ht="12.75" customHeight="1">
      <c r="I538" s="356"/>
    </row>
    <row r="539" ht="12.75" customHeight="1">
      <c r="I539" s="356"/>
    </row>
    <row r="540" ht="12.75" customHeight="1">
      <c r="I540" s="356"/>
    </row>
    <row r="541" ht="12.75" customHeight="1">
      <c r="I541" s="356"/>
    </row>
    <row r="542" ht="12.75" customHeight="1">
      <c r="I542" s="356"/>
    </row>
    <row r="543" ht="12.75" customHeight="1">
      <c r="I543" s="356"/>
    </row>
    <row r="544" ht="12.75" customHeight="1">
      <c r="I544" s="356"/>
    </row>
    <row r="545" ht="12.75" customHeight="1">
      <c r="I545" s="356"/>
    </row>
    <row r="546" ht="12.75" customHeight="1">
      <c r="I546" s="356"/>
    </row>
    <row r="547" ht="12.75" customHeight="1">
      <c r="I547" s="356"/>
    </row>
    <row r="548" ht="12.75" customHeight="1">
      <c r="I548" s="356"/>
    </row>
    <row r="549" ht="12.75" customHeight="1">
      <c r="I549" s="356"/>
    </row>
    <row r="550" ht="12.75" customHeight="1">
      <c r="I550" s="356"/>
    </row>
    <row r="551" ht="12.75" customHeight="1">
      <c r="I551" s="356"/>
    </row>
    <row r="552" ht="12.75" customHeight="1">
      <c r="I552" s="356"/>
    </row>
    <row r="553" ht="12.75" customHeight="1">
      <c r="I553" s="356"/>
    </row>
    <row r="554" ht="12.75" customHeight="1">
      <c r="I554" s="356"/>
    </row>
    <row r="555" ht="12.75" customHeight="1">
      <c r="I555" s="356"/>
    </row>
    <row r="556" ht="12.75" customHeight="1">
      <c r="I556" s="356"/>
    </row>
    <row r="557" ht="12.75" customHeight="1">
      <c r="I557" s="356"/>
    </row>
    <row r="558" ht="12.75" customHeight="1">
      <c r="I558" s="356"/>
    </row>
    <row r="559" ht="12.75" customHeight="1">
      <c r="I559" s="356"/>
    </row>
    <row r="560" ht="12.75" customHeight="1">
      <c r="I560" s="356"/>
    </row>
    <row r="561" ht="12.75" customHeight="1">
      <c r="I561" s="356"/>
    </row>
    <row r="562" ht="12.75" customHeight="1">
      <c r="I562" s="356"/>
    </row>
    <row r="563" ht="12.75" customHeight="1">
      <c r="I563" s="356"/>
    </row>
    <row r="564" ht="12.75" customHeight="1">
      <c r="I564" s="356"/>
    </row>
    <row r="565" ht="12.75" customHeight="1">
      <c r="I565" s="356"/>
    </row>
    <row r="566" ht="12.75" customHeight="1">
      <c r="I566" s="356"/>
    </row>
    <row r="567" ht="12.75" customHeight="1">
      <c r="I567" s="356"/>
    </row>
    <row r="568" ht="12.75" customHeight="1">
      <c r="I568" s="356"/>
    </row>
    <row r="569" ht="12.75" customHeight="1">
      <c r="I569" s="356"/>
    </row>
    <row r="570" ht="12.75" customHeight="1">
      <c r="I570" s="356"/>
    </row>
    <row r="571" ht="12.75" customHeight="1">
      <c r="I571" s="356"/>
    </row>
    <row r="572" ht="12.75" customHeight="1">
      <c r="I572" s="356"/>
    </row>
    <row r="573" ht="12.75" customHeight="1">
      <c r="I573" s="356"/>
    </row>
    <row r="574" ht="12.75" customHeight="1">
      <c r="I574" s="356"/>
    </row>
    <row r="575" ht="12.75" customHeight="1">
      <c r="I575" s="356"/>
    </row>
    <row r="576" ht="12.75" customHeight="1">
      <c r="I576" s="356"/>
    </row>
    <row r="577" ht="12.75" customHeight="1">
      <c r="I577" s="356"/>
    </row>
    <row r="578" ht="12.75" customHeight="1">
      <c r="I578" s="356"/>
    </row>
    <row r="579" ht="12.75" customHeight="1">
      <c r="I579" s="356"/>
    </row>
    <row r="580" ht="12.75" customHeight="1">
      <c r="I580" s="356"/>
    </row>
    <row r="581" ht="12.75" customHeight="1">
      <c r="I581" s="356"/>
    </row>
    <row r="582" ht="12.75" customHeight="1">
      <c r="I582" s="356"/>
    </row>
    <row r="583" ht="12.75" customHeight="1">
      <c r="I583" s="356"/>
    </row>
    <row r="584" ht="12.75" customHeight="1">
      <c r="I584" s="356"/>
    </row>
    <row r="585" ht="12.75" customHeight="1">
      <c r="I585" s="356"/>
    </row>
    <row r="586" ht="12.75" customHeight="1">
      <c r="I586" s="356"/>
    </row>
    <row r="587" ht="12.75" customHeight="1">
      <c r="I587" s="356"/>
    </row>
    <row r="588" ht="12.75" customHeight="1">
      <c r="I588" s="356"/>
    </row>
    <row r="589" ht="12.75" customHeight="1">
      <c r="I589" s="356"/>
    </row>
    <row r="590" ht="12.75" customHeight="1">
      <c r="I590" s="356"/>
    </row>
    <row r="591" ht="12.75" customHeight="1">
      <c r="I591" s="356"/>
    </row>
    <row r="592" ht="12.75" customHeight="1">
      <c r="I592" s="356"/>
    </row>
    <row r="593" ht="12.75" customHeight="1">
      <c r="I593" s="356"/>
    </row>
    <row r="594" ht="12.75" customHeight="1">
      <c r="I594" s="356"/>
    </row>
    <row r="595" ht="12.75" customHeight="1">
      <c r="I595" s="356"/>
    </row>
    <row r="596" ht="12.75" customHeight="1">
      <c r="I596" s="356"/>
    </row>
    <row r="597" ht="12.75" customHeight="1">
      <c r="I597" s="356"/>
    </row>
    <row r="598" ht="12.75" customHeight="1">
      <c r="I598" s="356"/>
    </row>
    <row r="599" ht="12.75" customHeight="1">
      <c r="I599" s="356"/>
    </row>
    <row r="600" ht="12.75" customHeight="1">
      <c r="I600" s="356"/>
    </row>
    <row r="601" ht="12.75" customHeight="1">
      <c r="I601" s="356"/>
    </row>
    <row r="602" ht="12.75" customHeight="1">
      <c r="I602" s="356"/>
    </row>
    <row r="603" ht="12.75" customHeight="1">
      <c r="I603" s="356"/>
    </row>
    <row r="604" ht="12.75" customHeight="1">
      <c r="I604" s="356"/>
    </row>
    <row r="605" ht="12.75" customHeight="1">
      <c r="I605" s="356"/>
    </row>
    <row r="606" ht="12.75" customHeight="1">
      <c r="I606" s="356"/>
    </row>
    <row r="607" ht="12.75" customHeight="1">
      <c r="I607" s="356"/>
    </row>
    <row r="608" ht="12.75" customHeight="1">
      <c r="I608" s="356"/>
    </row>
    <row r="609" ht="12.75" customHeight="1">
      <c r="I609" s="356"/>
    </row>
    <row r="610" ht="12.75" customHeight="1">
      <c r="I610" s="356"/>
    </row>
    <row r="611" ht="12.75" customHeight="1">
      <c r="I611" s="356"/>
    </row>
    <row r="612" ht="12.75" customHeight="1">
      <c r="I612" s="356"/>
    </row>
    <row r="613" ht="12.75" customHeight="1">
      <c r="I613" s="356"/>
    </row>
    <row r="614" ht="12.75" customHeight="1">
      <c r="I614" s="356"/>
    </row>
    <row r="615" ht="12.75" customHeight="1">
      <c r="I615" s="356"/>
    </row>
    <row r="616" ht="12.75" customHeight="1">
      <c r="I616" s="356"/>
    </row>
    <row r="617" ht="12.75" customHeight="1">
      <c r="I617" s="356"/>
    </row>
    <row r="618" ht="12.75" customHeight="1">
      <c r="I618" s="356"/>
    </row>
    <row r="619" ht="12.75" customHeight="1">
      <c r="I619" s="356"/>
    </row>
    <row r="620" ht="12.75" customHeight="1">
      <c r="I620" s="356"/>
    </row>
    <row r="621" ht="12.75" customHeight="1">
      <c r="I621" s="356"/>
    </row>
    <row r="622" ht="12.75" customHeight="1">
      <c r="I622" s="356"/>
    </row>
    <row r="623" ht="12.75" customHeight="1">
      <c r="I623" s="356"/>
    </row>
    <row r="624" ht="12.75" customHeight="1">
      <c r="I624" s="356"/>
    </row>
    <row r="625" ht="12.75" customHeight="1">
      <c r="I625" s="356"/>
    </row>
    <row r="626" ht="12.75" customHeight="1">
      <c r="I626" s="356"/>
    </row>
    <row r="627" ht="12.75" customHeight="1">
      <c r="I627" s="356"/>
    </row>
    <row r="628" ht="12.75" customHeight="1">
      <c r="I628" s="356"/>
    </row>
    <row r="629" ht="12.75" customHeight="1">
      <c r="I629" s="356"/>
    </row>
    <row r="630" ht="12.75" customHeight="1">
      <c r="I630" s="356"/>
    </row>
    <row r="631" ht="12.75" customHeight="1">
      <c r="I631" s="356"/>
    </row>
    <row r="632" ht="12.75" customHeight="1">
      <c r="I632" s="356"/>
    </row>
    <row r="633" ht="12.75" customHeight="1">
      <c r="I633" s="356"/>
    </row>
    <row r="634" ht="12.75" customHeight="1">
      <c r="I634" s="356"/>
    </row>
    <row r="635" ht="12.75" customHeight="1">
      <c r="I635" s="356"/>
    </row>
    <row r="636" ht="12.75" customHeight="1">
      <c r="I636" s="356"/>
    </row>
    <row r="637" ht="12.75" customHeight="1">
      <c r="I637" s="356"/>
    </row>
    <row r="638" ht="12.75" customHeight="1">
      <c r="I638" s="356"/>
    </row>
    <row r="639" ht="12.75" customHeight="1">
      <c r="I639" s="356"/>
    </row>
    <row r="640" ht="12.75" customHeight="1">
      <c r="I640" s="356"/>
    </row>
    <row r="641" ht="12.75" customHeight="1">
      <c r="I641" s="356"/>
    </row>
    <row r="642" ht="12.75" customHeight="1">
      <c r="I642" s="356"/>
    </row>
    <row r="643" ht="12.75" customHeight="1">
      <c r="I643" s="356"/>
    </row>
    <row r="644" ht="12.75" customHeight="1">
      <c r="I644" s="356"/>
    </row>
    <row r="645" ht="12.75" customHeight="1">
      <c r="I645" s="356"/>
    </row>
    <row r="646" ht="12.75" customHeight="1">
      <c r="I646" s="356"/>
    </row>
    <row r="647" ht="12.75" customHeight="1">
      <c r="I647" s="356"/>
    </row>
    <row r="648" ht="12.75" customHeight="1">
      <c r="I648" s="356"/>
    </row>
    <row r="649" ht="12.75" customHeight="1">
      <c r="I649" s="356"/>
    </row>
    <row r="650" ht="12.75" customHeight="1">
      <c r="I650" s="356"/>
    </row>
    <row r="651" ht="12.75" customHeight="1">
      <c r="I651" s="356"/>
    </row>
    <row r="652" ht="12.75" customHeight="1">
      <c r="I652" s="356"/>
    </row>
    <row r="653" ht="12.75" customHeight="1">
      <c r="I653" s="356"/>
    </row>
    <row r="654" ht="12.75" customHeight="1">
      <c r="I654" s="356"/>
    </row>
    <row r="655" ht="12.75" customHeight="1">
      <c r="I655" s="356"/>
    </row>
    <row r="656" ht="12.75" customHeight="1">
      <c r="I656" s="356"/>
    </row>
    <row r="657" ht="12.75" customHeight="1">
      <c r="I657" s="356"/>
    </row>
    <row r="658" ht="12.75" customHeight="1">
      <c r="I658" s="356"/>
    </row>
    <row r="659" ht="12.75" customHeight="1">
      <c r="I659" s="356"/>
    </row>
    <row r="660" ht="12.75" customHeight="1">
      <c r="I660" s="356"/>
    </row>
    <row r="661" ht="12.75" customHeight="1">
      <c r="I661" s="356"/>
    </row>
    <row r="662" ht="12.75" customHeight="1">
      <c r="I662" s="356"/>
    </row>
    <row r="663" ht="12.75" customHeight="1">
      <c r="I663" s="356"/>
    </row>
    <row r="664" ht="12.75" customHeight="1">
      <c r="I664" s="356"/>
    </row>
    <row r="665" ht="12.75" customHeight="1">
      <c r="I665" s="356"/>
    </row>
    <row r="666" ht="12.75" customHeight="1">
      <c r="I666" s="356"/>
    </row>
    <row r="667" ht="12.75" customHeight="1">
      <c r="I667" s="356"/>
    </row>
    <row r="668" ht="12.75" customHeight="1">
      <c r="I668" s="356"/>
    </row>
    <row r="669" ht="12.75" customHeight="1">
      <c r="I669" s="356"/>
    </row>
    <row r="670" ht="12.75" customHeight="1">
      <c r="I670" s="356"/>
    </row>
    <row r="671" ht="12.75" customHeight="1">
      <c r="I671" s="356"/>
    </row>
    <row r="672" ht="12.75" customHeight="1">
      <c r="I672" s="356"/>
    </row>
    <row r="673" ht="12.75" customHeight="1">
      <c r="I673" s="356"/>
    </row>
    <row r="674" ht="12.75" customHeight="1">
      <c r="I674" s="356"/>
    </row>
    <row r="675" ht="12.75" customHeight="1">
      <c r="I675" s="356"/>
    </row>
    <row r="676" ht="12.75" customHeight="1">
      <c r="I676" s="356"/>
    </row>
    <row r="677" ht="12.75" customHeight="1">
      <c r="I677" s="356"/>
    </row>
    <row r="678" ht="12.75" customHeight="1">
      <c r="I678" s="356"/>
    </row>
    <row r="679" ht="12.75" customHeight="1">
      <c r="I679" s="356"/>
    </row>
    <row r="680" ht="12.75" customHeight="1">
      <c r="I680" s="356"/>
    </row>
    <row r="681" ht="12.75" customHeight="1">
      <c r="I681" s="356"/>
    </row>
    <row r="682" ht="12.75" customHeight="1">
      <c r="I682" s="356"/>
    </row>
    <row r="683" ht="12.75" customHeight="1">
      <c r="I683" s="356"/>
    </row>
    <row r="684" ht="12.75" customHeight="1">
      <c r="I684" s="356"/>
    </row>
    <row r="685" ht="12.75" customHeight="1">
      <c r="I685" s="356"/>
    </row>
    <row r="686" ht="12.75" customHeight="1">
      <c r="I686" s="356"/>
    </row>
    <row r="687" ht="12.75" customHeight="1">
      <c r="I687" s="356"/>
    </row>
    <row r="688" ht="12.75" customHeight="1">
      <c r="I688" s="356"/>
    </row>
    <row r="689" ht="12.75" customHeight="1">
      <c r="I689" s="356"/>
    </row>
    <row r="690" ht="12.75" customHeight="1">
      <c r="I690" s="356"/>
    </row>
    <row r="691" ht="12.75" customHeight="1">
      <c r="I691" s="356"/>
    </row>
    <row r="692" ht="12.75" customHeight="1">
      <c r="I692" s="356"/>
    </row>
    <row r="693" ht="12.75" customHeight="1">
      <c r="I693" s="356"/>
    </row>
    <row r="694" ht="12.75" customHeight="1">
      <c r="I694" s="356"/>
    </row>
    <row r="695" ht="12.75" customHeight="1">
      <c r="I695" s="356"/>
    </row>
    <row r="696" ht="12.75" customHeight="1">
      <c r="I696" s="356"/>
    </row>
    <row r="697" ht="12.75" customHeight="1">
      <c r="I697" s="356"/>
    </row>
    <row r="698" ht="12.75" customHeight="1">
      <c r="I698" s="356"/>
    </row>
    <row r="699" ht="12.75" customHeight="1">
      <c r="I699" s="356"/>
    </row>
    <row r="700" ht="12.75" customHeight="1">
      <c r="I700" s="356"/>
    </row>
    <row r="701" ht="12.75" customHeight="1">
      <c r="I701" s="356"/>
    </row>
    <row r="702" ht="12.75" customHeight="1">
      <c r="I702" s="356"/>
    </row>
    <row r="703" ht="12.75" customHeight="1">
      <c r="I703" s="356"/>
    </row>
    <row r="704" ht="12.75" customHeight="1">
      <c r="I704" s="356"/>
    </row>
    <row r="705" ht="12.75" customHeight="1">
      <c r="I705" s="356"/>
    </row>
    <row r="706" ht="12.75" customHeight="1">
      <c r="I706" s="356"/>
    </row>
    <row r="707" ht="12.75" customHeight="1">
      <c r="I707" s="356"/>
    </row>
    <row r="708" ht="12.75" customHeight="1">
      <c r="I708" s="356"/>
    </row>
    <row r="709" ht="12.75" customHeight="1">
      <c r="I709" s="356"/>
    </row>
    <row r="710" ht="12.75" customHeight="1">
      <c r="I710" s="356"/>
    </row>
    <row r="711" ht="12.75" customHeight="1">
      <c r="I711" s="356"/>
    </row>
    <row r="712" ht="12.75" customHeight="1">
      <c r="I712" s="356"/>
    </row>
    <row r="713" ht="12.75" customHeight="1">
      <c r="I713" s="356"/>
    </row>
    <row r="714" ht="12.75" customHeight="1">
      <c r="I714" s="356"/>
    </row>
    <row r="715" ht="12.75" customHeight="1">
      <c r="I715" s="356"/>
    </row>
    <row r="716" ht="12.75" customHeight="1">
      <c r="I716" s="356"/>
    </row>
    <row r="717" ht="12.75" customHeight="1">
      <c r="I717" s="356"/>
    </row>
    <row r="718" ht="12.75" customHeight="1">
      <c r="I718" s="356"/>
    </row>
    <row r="719" ht="12.75" customHeight="1">
      <c r="I719" s="356"/>
    </row>
    <row r="720" ht="12.75" customHeight="1">
      <c r="I720" s="356"/>
    </row>
    <row r="721" ht="12.75" customHeight="1">
      <c r="I721" s="356"/>
    </row>
    <row r="722" ht="12.75" customHeight="1">
      <c r="I722" s="356"/>
    </row>
    <row r="723" ht="12.75" customHeight="1">
      <c r="I723" s="356"/>
    </row>
    <row r="724" ht="12.75" customHeight="1">
      <c r="I724" s="356"/>
    </row>
    <row r="725" ht="12.75" customHeight="1">
      <c r="I725" s="356"/>
    </row>
    <row r="726" ht="12.75" customHeight="1">
      <c r="I726" s="356"/>
    </row>
    <row r="727" ht="12.75" customHeight="1">
      <c r="I727" s="356"/>
    </row>
    <row r="728" ht="12.75" customHeight="1">
      <c r="I728" s="356"/>
    </row>
    <row r="729" ht="12.75" customHeight="1">
      <c r="I729" s="356"/>
    </row>
    <row r="730" ht="12.75" customHeight="1">
      <c r="I730" s="356"/>
    </row>
    <row r="731" ht="12.75" customHeight="1">
      <c r="I731" s="356"/>
    </row>
    <row r="732" ht="12.75" customHeight="1">
      <c r="I732" s="356"/>
    </row>
    <row r="733" ht="12.75" customHeight="1">
      <c r="I733" s="356"/>
    </row>
    <row r="734" ht="12.75" customHeight="1">
      <c r="I734" s="356"/>
    </row>
    <row r="735" ht="12.75" customHeight="1">
      <c r="I735" s="356"/>
    </row>
    <row r="736" ht="12.75" customHeight="1">
      <c r="I736" s="356"/>
    </row>
    <row r="737" ht="12.75" customHeight="1">
      <c r="I737" s="356"/>
    </row>
    <row r="738" ht="12.75" customHeight="1">
      <c r="I738" s="356"/>
    </row>
    <row r="739" ht="12.75" customHeight="1">
      <c r="I739" s="356"/>
    </row>
    <row r="740" ht="12.75" customHeight="1">
      <c r="I740" s="356"/>
    </row>
    <row r="741" ht="12.75" customHeight="1">
      <c r="I741" s="356"/>
    </row>
    <row r="742" ht="12.75" customHeight="1">
      <c r="I742" s="356"/>
    </row>
    <row r="743" ht="12.75" customHeight="1">
      <c r="I743" s="356"/>
    </row>
    <row r="744" ht="12.75" customHeight="1">
      <c r="I744" s="356"/>
    </row>
    <row r="745" ht="12.75" customHeight="1">
      <c r="I745" s="356"/>
    </row>
    <row r="746" ht="12.75" customHeight="1">
      <c r="I746" s="356"/>
    </row>
    <row r="747" ht="12.75" customHeight="1">
      <c r="I747" s="356"/>
    </row>
    <row r="748" ht="12.75" customHeight="1">
      <c r="I748" s="356"/>
    </row>
    <row r="749" ht="12.75" customHeight="1">
      <c r="I749" s="356"/>
    </row>
    <row r="750" ht="12.75" customHeight="1">
      <c r="I750" s="356"/>
    </row>
    <row r="751" ht="12.75" customHeight="1">
      <c r="I751" s="356"/>
    </row>
    <row r="752" ht="12.75" customHeight="1">
      <c r="I752" s="356"/>
    </row>
    <row r="753" ht="12.75" customHeight="1">
      <c r="I753" s="356"/>
    </row>
    <row r="754" ht="12.75" customHeight="1">
      <c r="I754" s="356"/>
    </row>
    <row r="755" ht="12.75" customHeight="1">
      <c r="I755" s="356"/>
    </row>
    <row r="756" ht="12.75" customHeight="1">
      <c r="I756" s="356"/>
    </row>
    <row r="757" ht="12.75" customHeight="1">
      <c r="I757" s="356"/>
    </row>
    <row r="758" ht="12.75" customHeight="1">
      <c r="I758" s="356"/>
    </row>
    <row r="759" ht="12.75" customHeight="1">
      <c r="I759" s="356"/>
    </row>
    <row r="760" ht="12.75" customHeight="1">
      <c r="I760" s="356"/>
    </row>
    <row r="761" ht="12.75" customHeight="1">
      <c r="I761" s="356"/>
    </row>
    <row r="762" ht="12.75" customHeight="1">
      <c r="I762" s="356"/>
    </row>
    <row r="763" ht="12.75" customHeight="1">
      <c r="I763" s="356"/>
    </row>
    <row r="764" ht="12.75" customHeight="1">
      <c r="I764" s="356"/>
    </row>
    <row r="765" ht="12.75" customHeight="1">
      <c r="I765" s="356"/>
    </row>
    <row r="766" ht="12.75" customHeight="1">
      <c r="I766" s="356"/>
    </row>
    <row r="767" ht="12.75" customHeight="1">
      <c r="I767" s="356"/>
    </row>
    <row r="768" ht="12.75" customHeight="1">
      <c r="I768" s="356"/>
    </row>
    <row r="769" ht="12.75" customHeight="1">
      <c r="I769" s="356"/>
    </row>
    <row r="770" ht="12.75" customHeight="1">
      <c r="I770" s="356"/>
    </row>
    <row r="771" ht="12.75" customHeight="1">
      <c r="I771" s="356"/>
    </row>
    <row r="772" ht="12.75" customHeight="1">
      <c r="I772" s="356"/>
    </row>
    <row r="773" ht="12.75" customHeight="1">
      <c r="I773" s="356"/>
    </row>
    <row r="774" ht="12.75" customHeight="1">
      <c r="I774" s="356"/>
    </row>
    <row r="775" ht="12.75" customHeight="1">
      <c r="I775" s="356"/>
    </row>
    <row r="776" ht="12.75" customHeight="1">
      <c r="I776" s="356"/>
    </row>
    <row r="777" ht="12.75" customHeight="1">
      <c r="I777" s="356"/>
    </row>
    <row r="778" ht="12.75" customHeight="1">
      <c r="I778" s="356"/>
    </row>
    <row r="779" ht="12.75" customHeight="1">
      <c r="I779" s="356"/>
    </row>
    <row r="780" ht="12.75" customHeight="1">
      <c r="I780" s="356"/>
    </row>
    <row r="781" ht="12.75" customHeight="1">
      <c r="I781" s="356"/>
    </row>
    <row r="782" ht="12.75" customHeight="1">
      <c r="I782" s="356"/>
    </row>
    <row r="783" ht="12.75" customHeight="1">
      <c r="I783" s="356"/>
    </row>
    <row r="784" ht="12.75" customHeight="1">
      <c r="I784" s="356"/>
    </row>
    <row r="785" ht="12.75" customHeight="1">
      <c r="I785" s="356"/>
    </row>
    <row r="786" ht="12.75" customHeight="1">
      <c r="I786" s="356"/>
    </row>
    <row r="787" ht="12.75" customHeight="1">
      <c r="I787" s="356"/>
    </row>
    <row r="788" ht="12.75" customHeight="1">
      <c r="I788" s="356"/>
    </row>
    <row r="789" ht="12.75" customHeight="1">
      <c r="I789" s="356"/>
    </row>
    <row r="790" ht="12.75" customHeight="1">
      <c r="I790" s="356"/>
    </row>
    <row r="791" ht="12.75" customHeight="1">
      <c r="I791" s="356"/>
    </row>
    <row r="792" ht="12.75" customHeight="1">
      <c r="I792" s="356"/>
    </row>
    <row r="793" ht="12.75" customHeight="1">
      <c r="I793" s="356"/>
    </row>
    <row r="794" ht="12.75" customHeight="1">
      <c r="I794" s="356"/>
    </row>
    <row r="795" ht="12.75" customHeight="1">
      <c r="I795" s="356"/>
    </row>
    <row r="796" ht="12.75" customHeight="1">
      <c r="I796" s="356"/>
    </row>
    <row r="797" ht="12.75" customHeight="1">
      <c r="I797" s="356"/>
    </row>
    <row r="798" ht="12.75" customHeight="1">
      <c r="I798" s="356"/>
    </row>
    <row r="799" ht="12.75" customHeight="1">
      <c r="I799" s="356"/>
    </row>
    <row r="800" ht="12.75" customHeight="1">
      <c r="I800" s="356"/>
    </row>
    <row r="801" ht="12.75" customHeight="1">
      <c r="I801" s="356"/>
    </row>
    <row r="802" ht="12.75" customHeight="1">
      <c r="I802" s="356"/>
    </row>
    <row r="803" ht="12.75" customHeight="1">
      <c r="I803" s="356"/>
    </row>
    <row r="804" ht="12.75" customHeight="1">
      <c r="I804" s="356"/>
    </row>
    <row r="805" ht="12.75" customHeight="1">
      <c r="I805" s="356"/>
    </row>
    <row r="806" ht="12.75" customHeight="1">
      <c r="I806" s="356"/>
    </row>
    <row r="807" ht="12.75" customHeight="1">
      <c r="I807" s="356"/>
    </row>
    <row r="808" ht="12.75" customHeight="1">
      <c r="I808" s="356"/>
    </row>
    <row r="809" ht="12.75" customHeight="1">
      <c r="I809" s="356"/>
    </row>
    <row r="810" ht="12.75" customHeight="1">
      <c r="I810" s="356"/>
    </row>
    <row r="811" ht="12.75" customHeight="1">
      <c r="I811" s="356"/>
    </row>
    <row r="812" ht="12.75" customHeight="1">
      <c r="I812" s="356"/>
    </row>
    <row r="813" ht="12.75" customHeight="1">
      <c r="I813" s="356"/>
    </row>
    <row r="814" ht="12.75" customHeight="1">
      <c r="I814" s="356"/>
    </row>
    <row r="815" ht="12.75" customHeight="1">
      <c r="I815" s="356"/>
    </row>
    <row r="816" ht="12.75" customHeight="1">
      <c r="I816" s="356"/>
    </row>
    <row r="817" ht="12.75" customHeight="1">
      <c r="I817" s="356"/>
    </row>
    <row r="818" ht="12.75" customHeight="1">
      <c r="I818" s="356"/>
    </row>
    <row r="819" ht="12.75" customHeight="1">
      <c r="I819" s="356"/>
    </row>
    <row r="820" ht="12.75" customHeight="1">
      <c r="I820" s="356"/>
    </row>
    <row r="821" ht="12.75" customHeight="1">
      <c r="I821" s="356"/>
    </row>
    <row r="822" ht="12.75" customHeight="1">
      <c r="I822" s="356"/>
    </row>
    <row r="823" ht="12.75" customHeight="1">
      <c r="I823" s="356"/>
    </row>
    <row r="824" ht="12.75" customHeight="1">
      <c r="I824" s="356"/>
    </row>
    <row r="825" ht="12.75" customHeight="1">
      <c r="I825" s="356"/>
    </row>
    <row r="826" ht="12.75" customHeight="1">
      <c r="I826" s="356"/>
    </row>
    <row r="827" ht="12.75" customHeight="1">
      <c r="I827" s="356"/>
    </row>
    <row r="828" ht="12.75" customHeight="1">
      <c r="I828" s="356"/>
    </row>
    <row r="829" ht="12.75" customHeight="1">
      <c r="I829" s="356"/>
    </row>
    <row r="830" ht="12.75" customHeight="1">
      <c r="I830" s="356"/>
    </row>
    <row r="831" ht="12.75" customHeight="1">
      <c r="I831" s="356"/>
    </row>
    <row r="832" ht="12.75" customHeight="1">
      <c r="I832" s="356"/>
    </row>
    <row r="833" ht="12.75" customHeight="1">
      <c r="I833" s="356"/>
    </row>
    <row r="834" ht="12.75" customHeight="1">
      <c r="I834" s="356"/>
    </row>
    <row r="835" ht="12.75" customHeight="1">
      <c r="I835" s="356"/>
    </row>
    <row r="836" ht="12.75" customHeight="1">
      <c r="I836" s="356"/>
    </row>
    <row r="837" ht="12.75" customHeight="1">
      <c r="I837" s="356"/>
    </row>
    <row r="838" ht="12.75" customHeight="1">
      <c r="I838" s="356"/>
    </row>
    <row r="839" ht="12.75" customHeight="1">
      <c r="I839" s="356"/>
    </row>
    <row r="840" ht="12.75" customHeight="1">
      <c r="I840" s="356"/>
    </row>
    <row r="841" ht="12.75" customHeight="1">
      <c r="I841" s="356"/>
    </row>
    <row r="842" ht="12.75" customHeight="1">
      <c r="I842" s="356"/>
    </row>
    <row r="843" ht="12.75" customHeight="1">
      <c r="I843" s="356"/>
    </row>
    <row r="844" ht="12.75" customHeight="1">
      <c r="I844" s="356"/>
    </row>
    <row r="845" ht="12.75" customHeight="1">
      <c r="I845" s="356"/>
    </row>
    <row r="846" ht="12.75" customHeight="1">
      <c r="I846" s="356"/>
    </row>
    <row r="847" ht="12.75" customHeight="1">
      <c r="I847" s="356"/>
    </row>
    <row r="848" ht="12.75" customHeight="1">
      <c r="I848" s="356"/>
    </row>
    <row r="849" ht="12.75" customHeight="1">
      <c r="I849" s="356"/>
    </row>
    <row r="850" ht="12.75" customHeight="1">
      <c r="I850" s="356"/>
    </row>
    <row r="851" ht="12.75" customHeight="1">
      <c r="I851" s="356"/>
    </row>
    <row r="852" ht="12.75" customHeight="1">
      <c r="I852" s="356"/>
    </row>
    <row r="853" ht="12.75" customHeight="1">
      <c r="I853" s="356"/>
    </row>
    <row r="854" ht="12.75" customHeight="1">
      <c r="I854" s="356"/>
    </row>
    <row r="855" ht="12.75" customHeight="1">
      <c r="I855" s="356"/>
    </row>
    <row r="856" ht="12.75" customHeight="1">
      <c r="I856" s="356"/>
    </row>
    <row r="857" ht="12.75" customHeight="1">
      <c r="I857" s="356"/>
    </row>
    <row r="858" ht="12.75" customHeight="1">
      <c r="I858" s="356"/>
    </row>
    <row r="859" ht="12.75" customHeight="1">
      <c r="I859" s="356"/>
    </row>
    <row r="860" ht="12.75" customHeight="1">
      <c r="I860" s="356"/>
    </row>
    <row r="861" ht="12.75" customHeight="1">
      <c r="I861" s="356"/>
    </row>
    <row r="862" ht="12.75" customHeight="1">
      <c r="I862" s="356"/>
    </row>
    <row r="863" ht="12.75" customHeight="1">
      <c r="I863" s="356"/>
    </row>
    <row r="864" ht="12.75" customHeight="1">
      <c r="I864" s="356"/>
    </row>
    <row r="865" ht="12.75" customHeight="1">
      <c r="I865" s="356"/>
    </row>
    <row r="866" ht="12.75" customHeight="1">
      <c r="I866" s="356"/>
    </row>
    <row r="867" ht="12.75" customHeight="1">
      <c r="I867" s="356"/>
    </row>
    <row r="868" ht="12.75" customHeight="1">
      <c r="I868" s="356"/>
    </row>
    <row r="869" ht="12.75" customHeight="1">
      <c r="I869" s="356"/>
    </row>
    <row r="870" ht="12.75" customHeight="1">
      <c r="I870" s="356"/>
    </row>
    <row r="871" ht="12.75" customHeight="1">
      <c r="I871" s="356"/>
    </row>
    <row r="872" ht="12.75" customHeight="1">
      <c r="I872" s="356"/>
    </row>
    <row r="873" ht="12.75" customHeight="1">
      <c r="I873" s="356"/>
    </row>
    <row r="874" ht="12.75" customHeight="1">
      <c r="I874" s="356"/>
    </row>
    <row r="875" ht="12.75" customHeight="1">
      <c r="I875" s="356"/>
    </row>
    <row r="876" ht="12.75" customHeight="1">
      <c r="I876" s="356"/>
    </row>
    <row r="877" ht="12.75" customHeight="1">
      <c r="I877" s="356"/>
    </row>
    <row r="878" ht="12.75" customHeight="1">
      <c r="I878" s="356"/>
    </row>
    <row r="879" ht="12.75" customHeight="1">
      <c r="I879" s="356"/>
    </row>
    <row r="880" ht="12.75" customHeight="1">
      <c r="I880" s="356"/>
    </row>
    <row r="881" ht="12.75" customHeight="1">
      <c r="I881" s="356"/>
    </row>
    <row r="882" ht="12.75" customHeight="1">
      <c r="I882" s="356"/>
    </row>
    <row r="883" ht="12.75" customHeight="1">
      <c r="I883" s="356"/>
    </row>
    <row r="884" ht="12.75" customHeight="1">
      <c r="I884" s="356"/>
    </row>
    <row r="885" ht="12.75" customHeight="1">
      <c r="I885" s="356"/>
    </row>
    <row r="886" ht="12.75" customHeight="1">
      <c r="I886" s="356"/>
    </row>
    <row r="887" ht="12.75" customHeight="1">
      <c r="I887" s="356"/>
    </row>
    <row r="888" ht="12.75" customHeight="1">
      <c r="I888" s="356"/>
    </row>
    <row r="889" ht="12.75" customHeight="1">
      <c r="I889" s="356"/>
    </row>
    <row r="890" ht="12.75" customHeight="1">
      <c r="I890" s="356"/>
    </row>
    <row r="891" ht="12.75" customHeight="1">
      <c r="I891" s="356"/>
    </row>
    <row r="892" ht="12.75" customHeight="1">
      <c r="I892" s="356"/>
    </row>
    <row r="893" ht="12.75" customHeight="1">
      <c r="I893" s="356"/>
    </row>
    <row r="894" ht="12.75" customHeight="1">
      <c r="I894" s="356"/>
    </row>
    <row r="895" ht="12.75" customHeight="1">
      <c r="I895" s="356"/>
    </row>
    <row r="896" ht="12.75" customHeight="1">
      <c r="I896" s="356"/>
    </row>
    <row r="897" ht="12.75" customHeight="1">
      <c r="I897" s="356"/>
    </row>
    <row r="898" ht="12.75" customHeight="1">
      <c r="I898" s="356"/>
    </row>
    <row r="899" ht="12.75" customHeight="1">
      <c r="I899" s="356"/>
    </row>
    <row r="900" ht="12.75" customHeight="1">
      <c r="I900" s="356"/>
    </row>
    <row r="901" ht="12.75" customHeight="1">
      <c r="I901" s="356"/>
    </row>
    <row r="902" ht="12.75" customHeight="1">
      <c r="I902" s="356"/>
    </row>
    <row r="903" ht="12.75" customHeight="1">
      <c r="I903" s="356"/>
    </row>
    <row r="904" ht="12.75" customHeight="1">
      <c r="I904" s="356"/>
    </row>
    <row r="905" ht="12.75" customHeight="1">
      <c r="I905" s="356"/>
    </row>
    <row r="906" ht="12.75" customHeight="1">
      <c r="I906" s="356"/>
    </row>
    <row r="907" ht="12.75" customHeight="1">
      <c r="I907" s="356"/>
    </row>
    <row r="908" ht="12.75" customHeight="1">
      <c r="I908" s="356"/>
    </row>
    <row r="909" ht="12.75" customHeight="1">
      <c r="I909" s="356"/>
    </row>
    <row r="910" ht="12.75" customHeight="1">
      <c r="I910" s="356"/>
    </row>
    <row r="911" ht="12.75" customHeight="1">
      <c r="I911" s="356"/>
    </row>
    <row r="912" ht="12.75" customHeight="1">
      <c r="I912" s="356"/>
    </row>
    <row r="913" ht="12.75" customHeight="1">
      <c r="I913" s="356"/>
    </row>
    <row r="914" ht="12.75" customHeight="1">
      <c r="I914" s="356"/>
    </row>
    <row r="915" ht="12.75" customHeight="1">
      <c r="I915" s="356"/>
    </row>
    <row r="916" ht="12.75" customHeight="1">
      <c r="I916" s="356"/>
    </row>
    <row r="917" ht="12.75" customHeight="1">
      <c r="I917" s="356"/>
    </row>
    <row r="918" ht="12.75" customHeight="1">
      <c r="I918" s="356"/>
    </row>
    <row r="919" ht="12.75" customHeight="1">
      <c r="I919" s="356"/>
    </row>
    <row r="920" ht="12.75" customHeight="1">
      <c r="I920" s="356"/>
    </row>
    <row r="921" ht="12.75" customHeight="1">
      <c r="I921" s="356"/>
    </row>
    <row r="922" ht="12.75" customHeight="1">
      <c r="I922" s="356"/>
    </row>
    <row r="923" ht="12.75" customHeight="1">
      <c r="I923" s="356"/>
    </row>
    <row r="924" ht="12.75" customHeight="1">
      <c r="I924" s="356"/>
    </row>
    <row r="925" ht="12.75" customHeight="1">
      <c r="I925" s="356"/>
    </row>
    <row r="926" ht="12.75" customHeight="1">
      <c r="I926" s="356"/>
    </row>
    <row r="927" ht="12.75" customHeight="1">
      <c r="I927" s="356"/>
    </row>
    <row r="928" ht="12.75" customHeight="1">
      <c r="I928" s="356"/>
    </row>
    <row r="929" ht="12.75" customHeight="1">
      <c r="I929" s="356"/>
    </row>
    <row r="930" ht="12.75" customHeight="1">
      <c r="I930" s="356"/>
    </row>
    <row r="931" ht="12.75" customHeight="1">
      <c r="I931" s="356"/>
    </row>
    <row r="932" ht="12.75" customHeight="1">
      <c r="I932" s="356"/>
    </row>
    <row r="933" ht="12.75" customHeight="1">
      <c r="I933" s="356"/>
    </row>
    <row r="934" ht="12.75" customHeight="1">
      <c r="I934" s="356"/>
    </row>
    <row r="935" ht="12.75" customHeight="1">
      <c r="I935" s="356"/>
    </row>
    <row r="936" ht="12.75" customHeight="1">
      <c r="I936" s="356"/>
    </row>
    <row r="937" ht="12.75" customHeight="1">
      <c r="I937" s="356"/>
    </row>
    <row r="938" ht="12.75" customHeight="1">
      <c r="I938" s="356"/>
    </row>
    <row r="939" ht="12.75" customHeight="1">
      <c r="I939" s="356"/>
    </row>
    <row r="940" ht="12.75" customHeight="1">
      <c r="I940" s="356"/>
    </row>
    <row r="941" ht="12.75" customHeight="1">
      <c r="I941" s="356"/>
    </row>
    <row r="942" ht="12.75" customHeight="1">
      <c r="I942" s="356"/>
    </row>
    <row r="943" ht="12.75" customHeight="1">
      <c r="I943" s="356"/>
    </row>
    <row r="944" ht="12.75" customHeight="1">
      <c r="I944" s="356"/>
    </row>
    <row r="945" ht="12.75" customHeight="1">
      <c r="I945" s="356"/>
    </row>
    <row r="946" ht="12.75" customHeight="1">
      <c r="I946" s="356"/>
    </row>
    <row r="947" ht="12.75" customHeight="1">
      <c r="I947" s="356"/>
    </row>
    <row r="948" ht="12.75" customHeight="1">
      <c r="I948" s="356"/>
    </row>
    <row r="949" ht="12.75" customHeight="1">
      <c r="I949" s="356"/>
    </row>
    <row r="950" ht="12.75" customHeight="1">
      <c r="I950" s="356"/>
    </row>
    <row r="951" ht="12.75" customHeight="1">
      <c r="I951" s="356"/>
    </row>
    <row r="952" ht="12.75" customHeight="1">
      <c r="I952" s="356"/>
    </row>
    <row r="953" ht="12.75" customHeight="1">
      <c r="I953" s="356"/>
    </row>
    <row r="954" ht="12.75" customHeight="1">
      <c r="I954" s="356"/>
    </row>
    <row r="955" ht="12.75" customHeight="1">
      <c r="I955" s="356"/>
    </row>
    <row r="956" ht="12.75" customHeight="1">
      <c r="I956" s="356"/>
    </row>
    <row r="957" ht="12.75" customHeight="1">
      <c r="I957" s="356"/>
    </row>
    <row r="958" ht="12.75" customHeight="1">
      <c r="I958" s="356"/>
    </row>
    <row r="959" ht="12.75" customHeight="1">
      <c r="I959" s="356"/>
    </row>
    <row r="960" ht="12.75" customHeight="1">
      <c r="I960" s="356"/>
    </row>
    <row r="961" ht="12.75" customHeight="1">
      <c r="I961" s="356"/>
    </row>
    <row r="962" ht="12.75" customHeight="1">
      <c r="I962" s="356"/>
    </row>
    <row r="963" ht="12.75" customHeight="1">
      <c r="I963" s="356"/>
    </row>
    <row r="964" ht="12.75" customHeight="1">
      <c r="I964" s="356"/>
    </row>
    <row r="965" ht="12.75" customHeight="1">
      <c r="I965" s="356"/>
    </row>
    <row r="966" ht="12.75" customHeight="1">
      <c r="I966" s="356"/>
    </row>
    <row r="967" ht="12.75" customHeight="1">
      <c r="I967" s="356"/>
    </row>
    <row r="968" ht="12.75" customHeight="1">
      <c r="I968" s="356"/>
    </row>
    <row r="969" ht="12.75" customHeight="1">
      <c r="I969" s="356"/>
    </row>
    <row r="970" ht="12.75" customHeight="1">
      <c r="I970" s="356"/>
    </row>
    <row r="971" ht="12.75" customHeight="1">
      <c r="I971" s="356"/>
    </row>
    <row r="972" ht="12.75" customHeight="1">
      <c r="I972" s="356"/>
    </row>
    <row r="973" ht="12.75" customHeight="1">
      <c r="I973" s="356"/>
    </row>
    <row r="974" ht="12.75" customHeight="1">
      <c r="I974" s="356"/>
    </row>
    <row r="975" ht="12.75" customHeight="1">
      <c r="I975" s="356"/>
    </row>
    <row r="976" ht="12.75" customHeight="1">
      <c r="I976" s="356"/>
    </row>
    <row r="977" ht="12.75" customHeight="1">
      <c r="I977" s="356"/>
    </row>
    <row r="978" ht="12.75" customHeight="1">
      <c r="I978" s="356"/>
    </row>
    <row r="979" ht="12.75" customHeight="1">
      <c r="I979" s="356"/>
    </row>
    <row r="980" ht="12.75" customHeight="1">
      <c r="I980" s="356"/>
    </row>
    <row r="981" ht="12.75" customHeight="1">
      <c r="I981" s="356"/>
    </row>
    <row r="982" ht="12.75" customHeight="1">
      <c r="I982" s="356"/>
    </row>
    <row r="983" ht="12.75" customHeight="1">
      <c r="I983" s="356"/>
    </row>
    <row r="984" ht="12.75" customHeight="1">
      <c r="I984" s="356"/>
    </row>
    <row r="985" ht="12.75" customHeight="1">
      <c r="I985" s="356"/>
    </row>
    <row r="986" ht="12.75" customHeight="1">
      <c r="I986" s="356"/>
    </row>
    <row r="987" ht="12.75" customHeight="1">
      <c r="I987" s="356"/>
    </row>
    <row r="988" ht="12.75" customHeight="1">
      <c r="I988" s="356"/>
    </row>
    <row r="989" ht="12.75" customHeight="1">
      <c r="I989" s="356"/>
    </row>
    <row r="990" ht="12.75" customHeight="1">
      <c r="I990" s="356"/>
    </row>
    <row r="991" ht="12.75" customHeight="1">
      <c r="I991" s="356"/>
    </row>
    <row r="992" ht="12.75" customHeight="1">
      <c r="I992" s="356"/>
    </row>
    <row r="993" ht="12.75" customHeight="1">
      <c r="I993" s="356"/>
    </row>
    <row r="994" ht="12.75" customHeight="1">
      <c r="I994" s="356"/>
    </row>
    <row r="995" ht="12.75" customHeight="1">
      <c r="I995" s="356"/>
    </row>
    <row r="996" ht="12.75" customHeight="1">
      <c r="I996" s="356"/>
    </row>
    <row r="997" ht="12.75" customHeight="1">
      <c r="I997" s="356"/>
    </row>
    <row r="998" ht="12.75" customHeight="1">
      <c r="I998" s="356"/>
    </row>
    <row r="999" ht="12.75" customHeight="1">
      <c r="I999" s="356"/>
    </row>
    <row r="1000" ht="12.75" customHeight="1">
      <c r="I1000" s="356"/>
    </row>
    <row r="1001" ht="12.75" customHeight="1">
      <c r="I1001" s="356"/>
    </row>
    <row r="1002" ht="12.75" customHeight="1">
      <c r="I1002" s="356"/>
    </row>
    <row r="1003" ht="12.75" customHeight="1">
      <c r="I1003" s="356"/>
    </row>
    <row r="1004" ht="12.75" customHeight="1">
      <c r="I1004" s="356"/>
    </row>
    <row r="1005" ht="12.75" customHeight="1">
      <c r="I1005" s="356"/>
    </row>
    <row r="1006" ht="12.75" customHeight="1">
      <c r="I1006" s="356"/>
    </row>
    <row r="1007" ht="12.75" customHeight="1">
      <c r="I1007" s="356"/>
    </row>
    <row r="1008" ht="12.75" customHeight="1">
      <c r="I1008" s="356"/>
    </row>
    <row r="1009" ht="12.75" customHeight="1">
      <c r="I1009" s="356"/>
    </row>
    <row r="1010" ht="12.75" customHeight="1">
      <c r="I1010" s="356"/>
    </row>
    <row r="1011" ht="12.75" customHeight="1">
      <c r="I1011" s="356"/>
    </row>
    <row r="1012" ht="12.75" customHeight="1">
      <c r="I1012" s="356"/>
    </row>
    <row r="1013" ht="12.75" customHeight="1">
      <c r="I1013" s="356"/>
    </row>
    <row r="1014" ht="12.75" customHeight="1">
      <c r="I1014" s="356"/>
    </row>
    <row r="1015" ht="12.75" customHeight="1">
      <c r="I1015" s="356"/>
    </row>
    <row r="1016" ht="12.75" customHeight="1">
      <c r="I1016" s="356"/>
    </row>
    <row r="1017" ht="12.75" customHeight="1">
      <c r="I1017" s="356"/>
    </row>
    <row r="1018" ht="12.75" customHeight="1">
      <c r="I1018" s="356"/>
    </row>
    <row r="1019" ht="12.75" customHeight="1">
      <c r="I1019" s="356"/>
    </row>
    <row r="1020" ht="12.75" customHeight="1">
      <c r="I1020" s="356"/>
    </row>
    <row r="1021" ht="12.75" customHeight="1">
      <c r="I1021" s="356"/>
    </row>
    <row r="1022" ht="12.75" customHeight="1">
      <c r="I1022" s="356"/>
    </row>
    <row r="1023" ht="12.75" customHeight="1">
      <c r="I1023" s="356"/>
    </row>
    <row r="1024" ht="12.75" customHeight="1">
      <c r="I1024" s="356"/>
    </row>
    <row r="1025" ht="12.75" customHeight="1">
      <c r="I1025" s="356"/>
    </row>
    <row r="1026" ht="12.75" customHeight="1">
      <c r="I1026" s="356"/>
    </row>
    <row r="1027" ht="12.75" customHeight="1">
      <c r="I1027" s="356"/>
    </row>
    <row r="1028" ht="12.75" customHeight="1">
      <c r="I1028" s="356"/>
    </row>
    <row r="1029" ht="12.75" customHeight="1">
      <c r="I1029" s="356"/>
    </row>
    <row r="1030" ht="12.75" customHeight="1">
      <c r="I1030" s="356"/>
    </row>
    <row r="1031" ht="12.75" customHeight="1">
      <c r="I1031" s="356"/>
    </row>
    <row r="1032" ht="12.75" customHeight="1">
      <c r="I1032" s="356"/>
    </row>
    <row r="1033" ht="12.75" customHeight="1">
      <c r="I1033" s="356"/>
    </row>
    <row r="1034" ht="12.75" customHeight="1">
      <c r="I1034" s="356"/>
    </row>
    <row r="1035" ht="12.75" customHeight="1">
      <c r="I1035" s="356"/>
    </row>
    <row r="1036" ht="12.75" customHeight="1">
      <c r="I1036" s="356"/>
    </row>
    <row r="1037" ht="12.75" customHeight="1">
      <c r="I1037" s="356"/>
    </row>
    <row r="1038" ht="12.75" customHeight="1">
      <c r="I1038" s="356"/>
    </row>
    <row r="1039" ht="12.75" customHeight="1">
      <c r="I1039" s="356"/>
    </row>
    <row r="1040" ht="12.75" customHeight="1">
      <c r="I1040" s="356"/>
    </row>
    <row r="1041" ht="12.75" customHeight="1">
      <c r="I1041" s="356"/>
    </row>
    <row r="1042" ht="12.75" customHeight="1">
      <c r="I1042" s="356"/>
    </row>
    <row r="1043" ht="12.75" customHeight="1">
      <c r="I1043" s="356"/>
    </row>
    <row r="1044" ht="12.75" customHeight="1">
      <c r="I1044" s="356"/>
    </row>
    <row r="1045" ht="12.75" customHeight="1">
      <c r="I1045" s="356"/>
    </row>
  </sheetData>
  <mergeCells count="2">
    <mergeCell ref="A48:K48"/>
    <mergeCell ref="G49:H49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31.75"/>
    <col customWidth="1" min="2" max="2" width="12.25"/>
    <col customWidth="1" min="3" max="3" width="10.5"/>
    <col customWidth="1" min="4" max="4" width="12.25"/>
    <col customWidth="1" min="5" max="5" width="11.38"/>
    <col customWidth="1" min="6" max="6" width="15.88"/>
    <col customWidth="1" min="7" max="7" width="56.0"/>
    <col customWidth="1" min="8" max="11" width="11.38"/>
    <col customWidth="1" min="12" max="22" width="4.63"/>
    <col customWidth="1" min="23" max="26" width="7.63"/>
  </cols>
  <sheetData>
    <row r="1">
      <c r="A1" s="148" t="s">
        <v>1867</v>
      </c>
    </row>
    <row r="2">
      <c r="A2" s="371" t="s">
        <v>88</v>
      </c>
      <c r="B2" s="224"/>
    </row>
    <row r="3">
      <c r="A3" s="372" t="s">
        <v>1868</v>
      </c>
      <c r="B3" s="373" t="s">
        <v>48</v>
      </c>
    </row>
    <row r="4">
      <c r="A4" s="372" t="s">
        <v>1869</v>
      </c>
      <c r="B4" s="374">
        <v>9.0</v>
      </c>
    </row>
    <row r="5">
      <c r="A5" s="372" t="s">
        <v>404</v>
      </c>
      <c r="B5" s="373" t="s">
        <v>52</v>
      </c>
    </row>
    <row r="6">
      <c r="A6" s="372" t="s">
        <v>136</v>
      </c>
      <c r="B6" s="373" t="s">
        <v>137</v>
      </c>
    </row>
    <row r="7">
      <c r="A7" s="372" t="s">
        <v>1870</v>
      </c>
      <c r="B7" s="373" t="s">
        <v>1871</v>
      </c>
    </row>
    <row r="8">
      <c r="A8" s="372" t="s">
        <v>1872</v>
      </c>
      <c r="B8" s="374" t="s">
        <v>170</v>
      </c>
    </row>
    <row r="9">
      <c r="A9" s="372" t="s">
        <v>1873</v>
      </c>
      <c r="B9" s="374">
        <v>32.0</v>
      </c>
    </row>
    <row r="10">
      <c r="A10" s="372" t="s">
        <v>1874</v>
      </c>
      <c r="B10" s="373"/>
    </row>
    <row r="11">
      <c r="A11" s="372" t="s">
        <v>1875</v>
      </c>
      <c r="B11" s="373"/>
    </row>
    <row r="13">
      <c r="A13" s="224" t="s">
        <v>1876</v>
      </c>
      <c r="B13" s="224"/>
      <c r="C13" s="224"/>
      <c r="D13" s="224"/>
      <c r="E13" s="224"/>
      <c r="F13" s="224"/>
      <c r="G13" s="224"/>
      <c r="H13" s="224"/>
      <c r="I13" s="224"/>
      <c r="J13" s="224"/>
      <c r="K13" s="224"/>
    </row>
    <row r="14">
      <c r="A14" s="375" t="s">
        <v>357</v>
      </c>
      <c r="B14" s="375" t="s">
        <v>9</v>
      </c>
      <c r="C14" s="375" t="s">
        <v>10</v>
      </c>
      <c r="D14" s="375" t="s">
        <v>11</v>
      </c>
      <c r="E14" s="375" t="s">
        <v>6</v>
      </c>
      <c r="F14" s="375" t="s">
        <v>7</v>
      </c>
      <c r="G14" s="375" t="s">
        <v>8</v>
      </c>
      <c r="H14" s="375" t="s">
        <v>358</v>
      </c>
      <c r="I14" s="375" t="s">
        <v>359</v>
      </c>
      <c r="J14" s="375" t="s">
        <v>360</v>
      </c>
      <c r="K14" s="375" t="s">
        <v>12</v>
      </c>
    </row>
    <row r="15">
      <c r="A15" s="376">
        <v>0.0</v>
      </c>
      <c r="B15" s="376">
        <v>0.0</v>
      </c>
      <c r="C15" s="376">
        <v>0.0</v>
      </c>
      <c r="D15" s="376">
        <v>0.0</v>
      </c>
      <c r="E15" s="376">
        <v>0.0</v>
      </c>
      <c r="F15" s="376">
        <v>0.0</v>
      </c>
      <c r="G15" s="376">
        <v>0.0</v>
      </c>
      <c r="H15" s="376">
        <v>0.0</v>
      </c>
      <c r="I15" s="376">
        <v>0.0</v>
      </c>
      <c r="J15" s="376">
        <v>0.0</v>
      </c>
      <c r="K15" s="376">
        <v>0.0</v>
      </c>
    </row>
    <row r="17">
      <c r="A17" s="377" t="s">
        <v>1877</v>
      </c>
      <c r="B17" s="224"/>
    </row>
    <row r="18">
      <c r="A18" s="372" t="str">
        <f>ECOGAINS_PBP_PROFILE($B$5,$B$6)</f>
        <v>Attempts / active day</v>
      </c>
      <c r="B18" s="378">
        <v>26.0</v>
      </c>
      <c r="C18" s="379" t="s">
        <v>1878</v>
      </c>
    </row>
    <row r="19">
      <c r="A19" s="372" t="s">
        <v>1879</v>
      </c>
      <c r="B19" s="378" t="s">
        <v>1880</v>
      </c>
      <c r="C19" s="379" t="s">
        <v>1878</v>
      </c>
    </row>
    <row r="20">
      <c r="A20" s="372" t="s">
        <v>1881</v>
      </c>
      <c r="B20" s="378" t="s">
        <v>1882</v>
      </c>
      <c r="C20" s="379" t="s">
        <v>1883</v>
      </c>
    </row>
    <row r="21" ht="15.75" customHeight="1">
      <c r="A21" s="372" t="s">
        <v>1884</v>
      </c>
      <c r="B21" s="378">
        <v>7.0</v>
      </c>
      <c r="C21" s="379" t="s">
        <v>1878</v>
      </c>
    </row>
    <row r="22" ht="15.75" customHeight="1">
      <c r="A22" s="372" t="s">
        <v>1885</v>
      </c>
      <c r="B22" s="378">
        <v>4.1</v>
      </c>
      <c r="C22" s="379" t="s">
        <v>1878</v>
      </c>
    </row>
    <row r="23" ht="15.75" customHeight="1">
      <c r="A23" s="372" t="s">
        <v>1886</v>
      </c>
      <c r="B23" s="378">
        <v>3.0</v>
      </c>
      <c r="C23" s="379" t="s">
        <v>1887</v>
      </c>
    </row>
    <row r="24" ht="15.75" customHeight="1">
      <c r="A24" s="372" t="s">
        <v>1888</v>
      </c>
      <c r="B24" s="378">
        <v>7.0</v>
      </c>
      <c r="C24" s="379" t="s">
        <v>1889</v>
      </c>
    </row>
    <row r="25" ht="15.75" customHeight="1">
      <c r="A25" s="372" t="s">
        <v>1890</v>
      </c>
      <c r="B25" s="378" t="s">
        <v>1891</v>
      </c>
      <c r="C25" s="379" t="s">
        <v>1892</v>
      </c>
    </row>
    <row r="26" ht="15.75" customHeight="1">
      <c r="A26" s="372" t="s">
        <v>1893</v>
      </c>
      <c r="B26" s="378" t="s">
        <v>1894</v>
      </c>
      <c r="C26" s="379" t="s">
        <v>1895</v>
      </c>
    </row>
    <row r="27" ht="15.75" customHeight="1"/>
    <row r="28" ht="15.75" customHeight="1">
      <c r="A28" s="224" t="s">
        <v>1896</v>
      </c>
      <c r="B28" s="224"/>
      <c r="C28" s="224"/>
      <c r="D28" s="224"/>
      <c r="E28" s="224"/>
      <c r="F28" s="224"/>
      <c r="G28" s="224"/>
      <c r="H28" s="224"/>
      <c r="I28" s="224"/>
      <c r="J28" s="224"/>
    </row>
    <row r="29" ht="15.75" customHeight="1">
      <c r="A29" s="375" t="str">
        <f>ECOGAINS_PBP_EVENTS($B$3,$B$4,$B$5,$B$6,$B$8)</f>
        <v>Event</v>
      </c>
      <c r="B29" s="375" t="s">
        <v>1897</v>
      </c>
      <c r="C29" s="375" t="s">
        <v>1898</v>
      </c>
      <c r="D29" s="375" t="s">
        <v>1899</v>
      </c>
      <c r="E29" s="375" t="s">
        <v>1900</v>
      </c>
      <c r="F29" s="375" t="s">
        <v>1901</v>
      </c>
      <c r="G29" s="375" t="s">
        <v>1902</v>
      </c>
      <c r="H29" s="375" t="s">
        <v>1903</v>
      </c>
      <c r="I29" s="380" t="s">
        <v>1904</v>
      </c>
      <c r="J29" s="375"/>
    </row>
    <row r="30" ht="15.75" customHeight="1">
      <c r="A30" s="372" t="s">
        <v>39</v>
      </c>
      <c r="B30" s="381" t="s">
        <v>1905</v>
      </c>
      <c r="C30" s="381" t="s">
        <v>1906</v>
      </c>
      <c r="D30" s="381" t="s">
        <v>1907</v>
      </c>
      <c r="E30" s="381" t="s">
        <v>413</v>
      </c>
      <c r="F30" s="381">
        <v>38.4</v>
      </c>
      <c r="G30" s="381" t="s">
        <v>1908</v>
      </c>
      <c r="H30" s="381" t="s">
        <v>1909</v>
      </c>
      <c r="I30" s="381" t="s">
        <v>1910</v>
      </c>
      <c r="J30" s="381"/>
    </row>
    <row r="31" ht="15.75" customHeight="1">
      <c r="A31" s="372" t="s">
        <v>49</v>
      </c>
      <c r="B31" s="381" t="s">
        <v>1911</v>
      </c>
      <c r="C31" s="381" t="s">
        <v>1906</v>
      </c>
      <c r="D31" s="381" t="s">
        <v>1907</v>
      </c>
      <c r="E31" s="381" t="s">
        <v>413</v>
      </c>
      <c r="F31" s="381">
        <v>14350.5</v>
      </c>
      <c r="G31" s="381" t="s">
        <v>1912</v>
      </c>
      <c r="H31" s="381" t="s">
        <v>1913</v>
      </c>
      <c r="I31" s="381" t="s">
        <v>1910</v>
      </c>
      <c r="J31" s="381"/>
    </row>
    <row r="32" ht="15.75" customHeight="1">
      <c r="A32" s="372" t="s">
        <v>283</v>
      </c>
      <c r="B32" s="381" t="s">
        <v>1914</v>
      </c>
      <c r="C32" s="381" t="s">
        <v>1915</v>
      </c>
      <c r="D32" s="381" t="s">
        <v>1916</v>
      </c>
      <c r="E32" s="381" t="s">
        <v>413</v>
      </c>
      <c r="F32" s="381">
        <v>0.0</v>
      </c>
      <c r="G32" s="381" t="s">
        <v>1910</v>
      </c>
      <c r="H32" s="381" t="s">
        <v>1910</v>
      </c>
      <c r="I32" s="381" t="s">
        <v>1917</v>
      </c>
      <c r="J32" s="381"/>
    </row>
    <row r="33" ht="15.75" customHeight="1">
      <c r="A33" s="372" t="s">
        <v>44</v>
      </c>
      <c r="B33" s="381" t="s">
        <v>1914</v>
      </c>
      <c r="C33" s="381" t="s">
        <v>1918</v>
      </c>
      <c r="D33" s="381" t="s">
        <v>1919</v>
      </c>
      <c r="E33" s="381" t="s">
        <v>413</v>
      </c>
      <c r="F33" s="381">
        <v>0.0</v>
      </c>
      <c r="G33" s="381" t="s">
        <v>1910</v>
      </c>
      <c r="H33" s="381" t="s">
        <v>1910</v>
      </c>
      <c r="I33" s="381" t="s">
        <v>1920</v>
      </c>
      <c r="J33" s="381"/>
    </row>
    <row r="34" ht="15.75" customHeight="1">
      <c r="A34" s="372" t="s">
        <v>367</v>
      </c>
      <c r="B34" s="381" t="s">
        <v>1921</v>
      </c>
      <c r="C34" s="381" t="s">
        <v>1918</v>
      </c>
      <c r="D34" s="381" t="s">
        <v>1919</v>
      </c>
      <c r="E34" s="381" t="s">
        <v>413</v>
      </c>
      <c r="F34" s="381">
        <v>0.0</v>
      </c>
      <c r="G34" s="381" t="s">
        <v>1910</v>
      </c>
      <c r="H34" s="381" t="s">
        <v>1910</v>
      </c>
      <c r="I34" s="381" t="s">
        <v>1910</v>
      </c>
      <c r="J34" s="381"/>
    </row>
    <row r="35" ht="15.75" customHeight="1">
      <c r="A35" s="372" t="s">
        <v>366</v>
      </c>
      <c r="B35" s="381" t="s">
        <v>1922</v>
      </c>
      <c r="C35" s="381" t="s">
        <v>1910</v>
      </c>
      <c r="D35" s="381" t="s">
        <v>1910</v>
      </c>
      <c r="E35" s="381" t="s">
        <v>1910</v>
      </c>
      <c r="F35" s="381" t="s">
        <v>1910</v>
      </c>
      <c r="G35" s="381" t="s">
        <v>1910</v>
      </c>
      <c r="H35" s="381" t="s">
        <v>1910</v>
      </c>
      <c r="I35" s="381" t="s">
        <v>1923</v>
      </c>
      <c r="J35" s="381"/>
    </row>
    <row r="36" ht="15.75" customHeight="1">
      <c r="A36" s="372" t="s">
        <v>44</v>
      </c>
      <c r="B36" s="381" t="s">
        <v>1922</v>
      </c>
      <c r="C36" s="381" t="s">
        <v>1910</v>
      </c>
      <c r="D36" s="381" t="s">
        <v>1910</v>
      </c>
      <c r="E36" s="381" t="s">
        <v>1910</v>
      </c>
      <c r="F36" s="381" t="s">
        <v>1910</v>
      </c>
      <c r="G36" s="381" t="s">
        <v>1910</v>
      </c>
      <c r="H36" s="381" t="s">
        <v>1910</v>
      </c>
      <c r="I36" s="381" t="s">
        <v>1924</v>
      </c>
      <c r="J36" s="38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hidden="1" customHeight="1">
      <c r="A43" s="382" t="s">
        <v>1925</v>
      </c>
      <c r="B43" s="382"/>
      <c r="C43" s="382"/>
      <c r="D43" s="382"/>
      <c r="E43" s="382"/>
      <c r="F43" s="382"/>
      <c r="G43" s="382"/>
      <c r="H43" s="382"/>
      <c r="I43" s="382"/>
      <c r="J43" s="382"/>
      <c r="K43" s="382"/>
    </row>
    <row r="44" ht="15.75" hidden="1" customHeight="1">
      <c r="A44" s="237" t="s">
        <v>1926</v>
      </c>
    </row>
    <row r="45" ht="15.75" hidden="1" customHeight="1">
      <c r="A45" s="237" t="s">
        <v>1927</v>
      </c>
    </row>
    <row r="46" ht="15.75" hidden="1" customHeight="1">
      <c r="A46" s="237" t="s">
        <v>1928</v>
      </c>
    </row>
    <row r="47" ht="15.75" hidden="1" customHeight="1">
      <c r="A47" s="264" t="s">
        <v>1929</v>
      </c>
    </row>
    <row r="48" ht="15.75" hidden="1" customHeight="1">
      <c r="A48" s="237" t="s">
        <v>1930</v>
      </c>
    </row>
    <row r="49" ht="15.75" hidden="1" customHeight="1">
      <c r="A49" s="237" t="s">
        <v>1931</v>
      </c>
    </row>
    <row r="50" ht="15.75" hidden="1" customHeight="1">
      <c r="A50" s="237" t="s">
        <v>1932</v>
      </c>
    </row>
    <row r="51" ht="15.75" hidden="1" customHeight="1">
      <c r="A51" s="264" t="s">
        <v>1933</v>
      </c>
    </row>
    <row r="52" ht="15.0" hidden="1" customHeight="1">
      <c r="A52" s="237" t="s">
        <v>1934</v>
      </c>
    </row>
    <row r="53" ht="15.75" customHeight="1"/>
    <row r="54" ht="15.75" customHeight="1">
      <c r="A54" s="377" t="s">
        <v>1935</v>
      </c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</row>
    <row r="55" ht="15.75" customHeight="1">
      <c r="A55" s="383" t="str">
        <f>ECOGAINS_PBP($B$3,$B$4,$B$5,$B$6,$B$7,$B$8,$B$9,$B$10,$B$11,$A$15:$K$15)</f>
        <v>Row</v>
      </c>
      <c r="B55" s="383" t="s">
        <v>408</v>
      </c>
      <c r="C55" s="383" t="s">
        <v>1936</v>
      </c>
      <c r="D55" s="383" t="s">
        <v>410</v>
      </c>
      <c r="E55" s="383" t="s">
        <v>1937</v>
      </c>
      <c r="F55" s="383" t="s">
        <v>1938</v>
      </c>
      <c r="G55" s="383" t="s">
        <v>1939</v>
      </c>
      <c r="H55" s="383" t="s">
        <v>1940</v>
      </c>
      <c r="I55" s="383" t="s">
        <v>1941</v>
      </c>
      <c r="J55" s="383" t="s">
        <v>1910</v>
      </c>
      <c r="K55" s="383" t="s">
        <v>1910</v>
      </c>
      <c r="L55" s="384" t="s">
        <v>357</v>
      </c>
      <c r="M55" s="384" t="s">
        <v>9</v>
      </c>
      <c r="N55" s="384" t="s">
        <v>10</v>
      </c>
      <c r="O55" s="384" t="s">
        <v>11</v>
      </c>
      <c r="P55" s="384" t="s">
        <v>6</v>
      </c>
      <c r="Q55" s="384" t="s">
        <v>7</v>
      </c>
      <c r="R55" s="384" t="s">
        <v>8</v>
      </c>
      <c r="S55" s="384" t="s">
        <v>358</v>
      </c>
      <c r="T55" s="384" t="s">
        <v>359</v>
      </c>
      <c r="U55" s="384" t="s">
        <v>360</v>
      </c>
      <c r="V55" s="384" t="s">
        <v>12</v>
      </c>
    </row>
    <row r="56" ht="15.75" customHeight="1">
      <c r="A56" s="385" t="s">
        <v>1942</v>
      </c>
      <c r="B56" s="385">
        <v>0.0</v>
      </c>
      <c r="C56" s="385">
        <v>208.0</v>
      </c>
      <c r="D56" s="385" t="s">
        <v>1943</v>
      </c>
      <c r="E56" s="385" t="s">
        <v>364</v>
      </c>
      <c r="F56" s="385" t="s">
        <v>364</v>
      </c>
      <c r="G56" s="386" t="s">
        <v>1944</v>
      </c>
      <c r="H56" s="385">
        <v>38.4</v>
      </c>
      <c r="I56" s="385">
        <v>14350.5</v>
      </c>
      <c r="J56" s="385" t="s">
        <v>364</v>
      </c>
      <c r="K56" s="385" t="s">
        <v>364</v>
      </c>
      <c r="L56" s="385">
        <v>0.0</v>
      </c>
      <c r="M56" s="385">
        <v>0.8</v>
      </c>
      <c r="N56" s="385">
        <v>0.2</v>
      </c>
      <c r="O56" s="385">
        <v>0.0</v>
      </c>
      <c r="P56" s="385">
        <v>0.0</v>
      </c>
      <c r="Q56" s="385">
        <v>0.0</v>
      </c>
      <c r="R56" s="385">
        <v>0.0</v>
      </c>
      <c r="S56" s="385">
        <v>0.0</v>
      </c>
      <c r="T56" s="385">
        <v>0.0</v>
      </c>
      <c r="U56" s="385">
        <v>0.0</v>
      </c>
      <c r="V56" s="385">
        <v>60.0</v>
      </c>
    </row>
    <row r="57" ht="15.75" customHeight="1">
      <c r="A57" s="385">
        <v>1.0</v>
      </c>
      <c r="B57" s="385">
        <v>1.0</v>
      </c>
      <c r="C57" s="385">
        <v>208.0</v>
      </c>
      <c r="D57" s="385" t="s">
        <v>1945</v>
      </c>
      <c r="E57" s="385">
        <v>1.0</v>
      </c>
      <c r="F57" s="385" t="s">
        <v>1910</v>
      </c>
      <c r="G57" s="386" t="s">
        <v>364</v>
      </c>
      <c r="H57" s="385">
        <v>38.4</v>
      </c>
      <c r="I57" s="385">
        <v>14631.9</v>
      </c>
      <c r="J57" s="385" t="s">
        <v>364</v>
      </c>
      <c r="K57" s="385" t="s">
        <v>364</v>
      </c>
      <c r="L57" s="385">
        <v>0.0</v>
      </c>
      <c r="M57" s="385">
        <v>0.8</v>
      </c>
      <c r="N57" s="385">
        <v>0.2</v>
      </c>
      <c r="O57" s="385">
        <v>0.0</v>
      </c>
      <c r="P57" s="385">
        <v>0.0</v>
      </c>
      <c r="Q57" s="385">
        <v>0.0</v>
      </c>
      <c r="R57" s="385">
        <v>0.0</v>
      </c>
      <c r="S57" s="385">
        <v>0.0</v>
      </c>
      <c r="T57" s="385">
        <v>0.0</v>
      </c>
      <c r="U57" s="385">
        <v>0.0</v>
      </c>
      <c r="V57" s="385">
        <v>60.0</v>
      </c>
    </row>
    <row r="58" ht="15.75" customHeight="1">
      <c r="A58" s="385">
        <v>2.0</v>
      </c>
      <c r="B58" s="385">
        <v>2.0</v>
      </c>
      <c r="C58" s="385">
        <v>209.0</v>
      </c>
      <c r="D58" s="385" t="s">
        <v>1946</v>
      </c>
      <c r="E58" s="385">
        <v>0.0</v>
      </c>
      <c r="F58" s="385" t="s">
        <v>1910</v>
      </c>
      <c r="G58" s="386" t="s">
        <v>364</v>
      </c>
      <c r="H58" s="385">
        <v>38.4</v>
      </c>
      <c r="I58" s="385">
        <v>14631.9</v>
      </c>
      <c r="J58" s="385" t="s">
        <v>364</v>
      </c>
      <c r="K58" s="385" t="s">
        <v>364</v>
      </c>
      <c r="L58" s="385">
        <v>0.0</v>
      </c>
      <c r="M58" s="385">
        <v>0.8</v>
      </c>
      <c r="N58" s="385">
        <v>0.2</v>
      </c>
      <c r="O58" s="385">
        <v>0.0</v>
      </c>
      <c r="P58" s="385">
        <v>0.0</v>
      </c>
      <c r="Q58" s="385">
        <v>0.0</v>
      </c>
      <c r="R58" s="385">
        <v>0.0</v>
      </c>
      <c r="S58" s="385">
        <v>0.0</v>
      </c>
      <c r="T58" s="385">
        <v>0.0</v>
      </c>
      <c r="U58" s="385">
        <v>0.0</v>
      </c>
      <c r="V58" s="385">
        <v>60.0</v>
      </c>
    </row>
    <row r="59" ht="15.75" customHeight="1">
      <c r="A59" s="385">
        <v>3.0</v>
      </c>
      <c r="B59" s="385">
        <v>3.0</v>
      </c>
      <c r="C59" s="385">
        <v>209.0</v>
      </c>
      <c r="D59" s="385" t="s">
        <v>1945</v>
      </c>
      <c r="E59" s="385">
        <v>1.0</v>
      </c>
      <c r="F59" s="385" t="s">
        <v>1910</v>
      </c>
      <c r="G59" s="386" t="s">
        <v>364</v>
      </c>
      <c r="H59" s="385">
        <v>38.5</v>
      </c>
      <c r="I59" s="385">
        <v>14913.3</v>
      </c>
      <c r="J59" s="385" t="s">
        <v>364</v>
      </c>
      <c r="K59" s="385" t="s">
        <v>364</v>
      </c>
      <c r="L59" s="385">
        <v>0.0</v>
      </c>
      <c r="M59" s="385">
        <v>0.8</v>
      </c>
      <c r="N59" s="385">
        <v>0.2</v>
      </c>
      <c r="O59" s="385">
        <v>0.0</v>
      </c>
      <c r="P59" s="385">
        <v>0.0</v>
      </c>
      <c r="Q59" s="385">
        <v>0.0</v>
      </c>
      <c r="R59" s="385">
        <v>0.0</v>
      </c>
      <c r="S59" s="385">
        <v>0.0</v>
      </c>
      <c r="T59" s="385">
        <v>0.0</v>
      </c>
      <c r="U59" s="385">
        <v>0.0</v>
      </c>
      <c r="V59" s="385">
        <v>60.0</v>
      </c>
    </row>
    <row r="60" ht="15.75" customHeight="1">
      <c r="A60" s="385">
        <v>4.0</v>
      </c>
      <c r="B60" s="385">
        <v>4.0</v>
      </c>
      <c r="C60" s="385">
        <v>210.0</v>
      </c>
      <c r="D60" s="385" t="s">
        <v>1945</v>
      </c>
      <c r="E60" s="385">
        <v>2.0</v>
      </c>
      <c r="F60" s="385" t="s">
        <v>1910</v>
      </c>
      <c r="G60" s="386" t="s">
        <v>1947</v>
      </c>
      <c r="H60" s="385">
        <v>38.5</v>
      </c>
      <c r="I60" s="385">
        <v>15194.6</v>
      </c>
      <c r="J60" s="385" t="s">
        <v>364</v>
      </c>
      <c r="K60" s="385" t="s">
        <v>364</v>
      </c>
      <c r="L60" s="385">
        <v>10.0</v>
      </c>
      <c r="M60" s="385">
        <v>0.8</v>
      </c>
      <c r="N60" s="385">
        <v>0.2</v>
      </c>
      <c r="O60" s="385">
        <v>0.0</v>
      </c>
      <c r="P60" s="385">
        <v>0.0</v>
      </c>
      <c r="Q60" s="385">
        <v>0.0</v>
      </c>
      <c r="R60" s="385">
        <v>0.0</v>
      </c>
      <c r="S60" s="385">
        <v>0.0</v>
      </c>
      <c r="T60" s="385">
        <v>0.0</v>
      </c>
      <c r="U60" s="385">
        <v>0.0</v>
      </c>
      <c r="V60" s="385">
        <v>60.0</v>
      </c>
    </row>
    <row r="61" ht="15.75" customHeight="1">
      <c r="A61" s="385">
        <v>5.0</v>
      </c>
      <c r="B61" s="385">
        <v>5.0</v>
      </c>
      <c r="C61" s="385">
        <v>211.0</v>
      </c>
      <c r="D61" s="385" t="s">
        <v>1945</v>
      </c>
      <c r="E61" s="385">
        <v>3.0</v>
      </c>
      <c r="F61" s="385" t="s">
        <v>1910</v>
      </c>
      <c r="G61" s="386" t="s">
        <v>364</v>
      </c>
      <c r="H61" s="385">
        <v>38.6</v>
      </c>
      <c r="I61" s="385">
        <v>15476.0</v>
      </c>
      <c r="J61" s="385" t="s">
        <v>364</v>
      </c>
      <c r="K61" s="385" t="s">
        <v>364</v>
      </c>
      <c r="L61" s="385">
        <v>10.0</v>
      </c>
      <c r="M61" s="385">
        <v>0.8</v>
      </c>
      <c r="N61" s="385">
        <v>0.2</v>
      </c>
      <c r="O61" s="385">
        <v>0.0</v>
      </c>
      <c r="P61" s="385">
        <v>0.0</v>
      </c>
      <c r="Q61" s="385">
        <v>0.0</v>
      </c>
      <c r="R61" s="385">
        <v>0.0</v>
      </c>
      <c r="S61" s="385">
        <v>0.0</v>
      </c>
      <c r="T61" s="385">
        <v>0.0</v>
      </c>
      <c r="U61" s="385">
        <v>0.0</v>
      </c>
      <c r="V61" s="385">
        <v>60.0</v>
      </c>
    </row>
    <row r="62" ht="15.75" customHeight="1">
      <c r="A62" s="385">
        <v>6.0</v>
      </c>
      <c r="B62" s="385">
        <v>6.0</v>
      </c>
      <c r="C62" s="385">
        <v>212.0</v>
      </c>
      <c r="D62" s="385" t="s">
        <v>1945</v>
      </c>
      <c r="E62" s="385">
        <v>4.0</v>
      </c>
      <c r="F62" s="385" t="s">
        <v>1910</v>
      </c>
      <c r="G62" s="386" t="s">
        <v>364</v>
      </c>
      <c r="H62" s="385">
        <v>38.6</v>
      </c>
      <c r="I62" s="385">
        <v>15757.4</v>
      </c>
      <c r="J62" s="385" t="s">
        <v>364</v>
      </c>
      <c r="K62" s="385" t="s">
        <v>364</v>
      </c>
      <c r="L62" s="385">
        <v>10.0</v>
      </c>
      <c r="M62" s="385">
        <v>0.8</v>
      </c>
      <c r="N62" s="385">
        <v>0.2</v>
      </c>
      <c r="O62" s="385">
        <v>0.0</v>
      </c>
      <c r="P62" s="385">
        <v>0.0</v>
      </c>
      <c r="Q62" s="385">
        <v>0.0</v>
      </c>
      <c r="R62" s="385">
        <v>0.0</v>
      </c>
      <c r="S62" s="385">
        <v>0.0</v>
      </c>
      <c r="T62" s="385">
        <v>0.0</v>
      </c>
      <c r="U62" s="385">
        <v>0.0</v>
      </c>
      <c r="V62" s="385">
        <v>60.0</v>
      </c>
    </row>
    <row r="63" ht="15.75" customHeight="1">
      <c r="A63" s="385">
        <v>7.0</v>
      </c>
      <c r="B63" s="385">
        <v>7.0</v>
      </c>
      <c r="C63" s="385">
        <v>213.0</v>
      </c>
      <c r="D63" s="385" t="s">
        <v>1945</v>
      </c>
      <c r="E63" s="385">
        <v>5.0</v>
      </c>
      <c r="F63" s="385" t="s">
        <v>1910</v>
      </c>
      <c r="G63" s="386" t="s">
        <v>364</v>
      </c>
      <c r="H63" s="385">
        <v>38.7</v>
      </c>
      <c r="I63" s="385">
        <v>16038.8</v>
      </c>
      <c r="J63" s="385" t="s">
        <v>364</v>
      </c>
      <c r="K63" s="385" t="s">
        <v>364</v>
      </c>
      <c r="L63" s="385">
        <v>10.0</v>
      </c>
      <c r="M63" s="385">
        <v>0.8</v>
      </c>
      <c r="N63" s="385">
        <v>0.2</v>
      </c>
      <c r="O63" s="385">
        <v>0.0</v>
      </c>
      <c r="P63" s="385">
        <v>0.0</v>
      </c>
      <c r="Q63" s="385">
        <v>0.0</v>
      </c>
      <c r="R63" s="385">
        <v>0.0</v>
      </c>
      <c r="S63" s="385">
        <v>0.0</v>
      </c>
      <c r="T63" s="385">
        <v>0.0</v>
      </c>
      <c r="U63" s="385">
        <v>0.0</v>
      </c>
      <c r="V63" s="385">
        <v>60.0</v>
      </c>
    </row>
    <row r="64" ht="15.75" customHeight="1">
      <c r="A64" s="385">
        <v>8.0</v>
      </c>
      <c r="B64" s="385">
        <v>8.0</v>
      </c>
      <c r="C64" s="385">
        <v>214.0</v>
      </c>
      <c r="D64" s="385" t="s">
        <v>1945</v>
      </c>
      <c r="E64" s="385">
        <v>6.0</v>
      </c>
      <c r="F64" s="385" t="s">
        <v>1910</v>
      </c>
      <c r="G64" s="386" t="s">
        <v>364</v>
      </c>
      <c r="H64" s="385">
        <v>38.7</v>
      </c>
      <c r="I64" s="385">
        <v>16320.2</v>
      </c>
      <c r="J64" s="385" t="s">
        <v>364</v>
      </c>
      <c r="K64" s="385" t="s">
        <v>364</v>
      </c>
      <c r="L64" s="385">
        <v>10.0</v>
      </c>
      <c r="M64" s="385">
        <v>0.8</v>
      </c>
      <c r="N64" s="385">
        <v>0.2</v>
      </c>
      <c r="O64" s="385">
        <v>0.0</v>
      </c>
      <c r="P64" s="385">
        <v>0.0</v>
      </c>
      <c r="Q64" s="385">
        <v>0.0</v>
      </c>
      <c r="R64" s="385">
        <v>0.0</v>
      </c>
      <c r="S64" s="385">
        <v>0.0</v>
      </c>
      <c r="T64" s="385">
        <v>0.0</v>
      </c>
      <c r="U64" s="385">
        <v>0.0</v>
      </c>
      <c r="V64" s="385">
        <v>60.0</v>
      </c>
    </row>
    <row r="65" ht="15.75" customHeight="1">
      <c r="A65" s="385">
        <v>9.0</v>
      </c>
      <c r="B65" s="385">
        <v>9.0</v>
      </c>
      <c r="C65" s="385">
        <v>215.0</v>
      </c>
      <c r="D65" s="385" t="s">
        <v>1945</v>
      </c>
      <c r="E65" s="385">
        <v>7.0</v>
      </c>
      <c r="F65" s="385" t="s">
        <v>1910</v>
      </c>
      <c r="G65" s="386" t="s">
        <v>364</v>
      </c>
      <c r="H65" s="385">
        <v>38.8</v>
      </c>
      <c r="I65" s="385">
        <v>16601.6</v>
      </c>
      <c r="J65" s="385" t="s">
        <v>364</v>
      </c>
      <c r="K65" s="385" t="s">
        <v>364</v>
      </c>
      <c r="L65" s="385">
        <v>10.0</v>
      </c>
      <c r="M65" s="385">
        <v>0.8</v>
      </c>
      <c r="N65" s="385">
        <v>0.2</v>
      </c>
      <c r="O65" s="385">
        <v>0.0</v>
      </c>
      <c r="P65" s="385">
        <v>0.0</v>
      </c>
      <c r="Q65" s="385">
        <v>0.0</v>
      </c>
      <c r="R65" s="385">
        <v>0.0</v>
      </c>
      <c r="S65" s="385">
        <v>0.0</v>
      </c>
      <c r="T65" s="385">
        <v>0.0</v>
      </c>
      <c r="U65" s="385">
        <v>0.0</v>
      </c>
      <c r="V65" s="385">
        <v>60.0</v>
      </c>
    </row>
    <row r="66" ht="15.75" customHeight="1">
      <c r="A66" s="385">
        <v>10.0</v>
      </c>
      <c r="B66" s="385">
        <v>10.0</v>
      </c>
      <c r="C66" s="385">
        <v>216.0</v>
      </c>
      <c r="D66" s="385" t="s">
        <v>1945</v>
      </c>
      <c r="E66" s="385">
        <v>8.0</v>
      </c>
      <c r="F66" s="385" t="s">
        <v>1910</v>
      </c>
      <c r="G66" s="386" t="s">
        <v>364</v>
      </c>
      <c r="H66" s="385">
        <v>38.8</v>
      </c>
      <c r="I66" s="385">
        <v>16882.9</v>
      </c>
      <c r="J66" s="385" t="s">
        <v>364</v>
      </c>
      <c r="K66" s="385" t="s">
        <v>364</v>
      </c>
      <c r="L66" s="385">
        <v>10.0</v>
      </c>
      <c r="M66" s="385">
        <v>0.8</v>
      </c>
      <c r="N66" s="385">
        <v>0.2</v>
      </c>
      <c r="O66" s="385">
        <v>0.0</v>
      </c>
      <c r="P66" s="385">
        <v>0.0</v>
      </c>
      <c r="Q66" s="385">
        <v>0.0</v>
      </c>
      <c r="R66" s="385">
        <v>0.0</v>
      </c>
      <c r="S66" s="385">
        <v>0.0</v>
      </c>
      <c r="T66" s="385">
        <v>0.0</v>
      </c>
      <c r="U66" s="385">
        <v>0.0</v>
      </c>
      <c r="V66" s="385">
        <v>60.0</v>
      </c>
    </row>
    <row r="67" ht="15.75" customHeight="1">
      <c r="A67" s="385">
        <v>11.0</v>
      </c>
      <c r="B67" s="385">
        <v>11.0</v>
      </c>
      <c r="C67" s="385">
        <v>217.0</v>
      </c>
      <c r="D67" s="385" t="s">
        <v>1946</v>
      </c>
      <c r="E67" s="385">
        <v>0.0</v>
      </c>
      <c r="F67" s="385" t="s">
        <v>1910</v>
      </c>
      <c r="G67" s="386" t="s">
        <v>364</v>
      </c>
      <c r="H67" s="385">
        <v>38.8</v>
      </c>
      <c r="I67" s="385">
        <v>16882.9</v>
      </c>
      <c r="J67" s="385" t="s">
        <v>364</v>
      </c>
      <c r="K67" s="385" t="s">
        <v>364</v>
      </c>
      <c r="L67" s="385">
        <v>10.0</v>
      </c>
      <c r="M67" s="385">
        <v>0.8</v>
      </c>
      <c r="N67" s="385">
        <v>0.2</v>
      </c>
      <c r="O67" s="385">
        <v>0.0</v>
      </c>
      <c r="P67" s="385">
        <v>0.0</v>
      </c>
      <c r="Q67" s="385">
        <v>0.0</v>
      </c>
      <c r="R67" s="385">
        <v>0.0</v>
      </c>
      <c r="S67" s="385">
        <v>0.0</v>
      </c>
      <c r="T67" s="385">
        <v>0.0</v>
      </c>
      <c r="U67" s="385">
        <v>0.0</v>
      </c>
      <c r="V67" s="385">
        <v>60.0</v>
      </c>
    </row>
    <row r="68" ht="15.75" customHeight="1">
      <c r="A68" s="385">
        <v>12.0</v>
      </c>
      <c r="B68" s="385">
        <v>12.0</v>
      </c>
      <c r="C68" s="385">
        <v>217.0</v>
      </c>
      <c r="D68" s="385" t="s">
        <v>1945</v>
      </c>
      <c r="E68" s="385">
        <v>1.0</v>
      </c>
      <c r="F68" s="385" t="s">
        <v>1910</v>
      </c>
      <c r="G68" s="386" t="s">
        <v>364</v>
      </c>
      <c r="H68" s="385">
        <v>38.9</v>
      </c>
      <c r="I68" s="385">
        <v>17164.3</v>
      </c>
      <c r="J68" s="385" t="s">
        <v>364</v>
      </c>
      <c r="K68" s="385" t="s">
        <v>364</v>
      </c>
      <c r="L68" s="385">
        <v>10.0</v>
      </c>
      <c r="M68" s="385">
        <v>0.8</v>
      </c>
      <c r="N68" s="385">
        <v>0.2</v>
      </c>
      <c r="O68" s="385">
        <v>0.0</v>
      </c>
      <c r="P68" s="385">
        <v>0.0</v>
      </c>
      <c r="Q68" s="385">
        <v>0.0</v>
      </c>
      <c r="R68" s="385">
        <v>0.0</v>
      </c>
      <c r="S68" s="385">
        <v>0.0</v>
      </c>
      <c r="T68" s="385">
        <v>0.0</v>
      </c>
      <c r="U68" s="385">
        <v>0.0</v>
      </c>
      <c r="V68" s="385">
        <v>60.0</v>
      </c>
    </row>
    <row r="69" ht="15.75" customHeight="1">
      <c r="A69" s="385">
        <v>13.0</v>
      </c>
      <c r="B69" s="385">
        <v>13.0</v>
      </c>
      <c r="C69" s="385">
        <v>218.0</v>
      </c>
      <c r="D69" s="385" t="s">
        <v>1945</v>
      </c>
      <c r="E69" s="385">
        <v>2.0</v>
      </c>
      <c r="F69" s="385" t="s">
        <v>1910</v>
      </c>
      <c r="G69" s="386" t="s">
        <v>364</v>
      </c>
      <c r="H69" s="385">
        <v>38.9</v>
      </c>
      <c r="I69" s="385">
        <v>17445.7</v>
      </c>
      <c r="J69" s="385" t="s">
        <v>364</v>
      </c>
      <c r="K69" s="385" t="s">
        <v>364</v>
      </c>
      <c r="L69" s="385">
        <v>10.0</v>
      </c>
      <c r="M69" s="385">
        <v>0.8</v>
      </c>
      <c r="N69" s="385">
        <v>0.2</v>
      </c>
      <c r="O69" s="385">
        <v>0.0</v>
      </c>
      <c r="P69" s="385">
        <v>0.0</v>
      </c>
      <c r="Q69" s="385">
        <v>0.0</v>
      </c>
      <c r="R69" s="385">
        <v>0.0</v>
      </c>
      <c r="S69" s="385">
        <v>0.0</v>
      </c>
      <c r="T69" s="385">
        <v>0.0</v>
      </c>
      <c r="U69" s="385">
        <v>0.0</v>
      </c>
      <c r="V69" s="385">
        <v>60.0</v>
      </c>
    </row>
    <row r="70" ht="15.75" customHeight="1">
      <c r="A70" s="385">
        <v>14.0</v>
      </c>
      <c r="B70" s="385">
        <v>14.0</v>
      </c>
      <c r="C70" s="385">
        <v>219.0</v>
      </c>
      <c r="D70" s="385" t="s">
        <v>1946</v>
      </c>
      <c r="E70" s="385">
        <v>0.0</v>
      </c>
      <c r="F70" s="385" t="s">
        <v>1910</v>
      </c>
      <c r="G70" s="386" t="s">
        <v>364</v>
      </c>
      <c r="H70" s="385">
        <v>38.9</v>
      </c>
      <c r="I70" s="385">
        <v>17445.7</v>
      </c>
      <c r="J70" s="385" t="s">
        <v>364</v>
      </c>
      <c r="K70" s="385" t="s">
        <v>364</v>
      </c>
      <c r="L70" s="385">
        <v>10.0</v>
      </c>
      <c r="M70" s="385">
        <v>0.8</v>
      </c>
      <c r="N70" s="385">
        <v>0.2</v>
      </c>
      <c r="O70" s="385">
        <v>0.0</v>
      </c>
      <c r="P70" s="385">
        <v>0.0</v>
      </c>
      <c r="Q70" s="385">
        <v>0.0</v>
      </c>
      <c r="R70" s="385">
        <v>0.0</v>
      </c>
      <c r="S70" s="385">
        <v>0.0</v>
      </c>
      <c r="T70" s="385">
        <v>0.0</v>
      </c>
      <c r="U70" s="385">
        <v>0.0</v>
      </c>
      <c r="V70" s="385">
        <v>60.0</v>
      </c>
    </row>
    <row r="71" ht="15.75" customHeight="1">
      <c r="A71" s="385">
        <v>15.0</v>
      </c>
      <c r="B71" s="385">
        <v>15.0</v>
      </c>
      <c r="C71" s="385">
        <v>219.0</v>
      </c>
      <c r="D71" s="385" t="s">
        <v>1946</v>
      </c>
      <c r="E71" s="385">
        <v>0.0</v>
      </c>
      <c r="F71" s="385" t="s">
        <v>1910</v>
      </c>
      <c r="G71" s="386" t="s">
        <v>364</v>
      </c>
      <c r="H71" s="385">
        <v>38.9</v>
      </c>
      <c r="I71" s="385">
        <v>17445.7</v>
      </c>
      <c r="J71" s="385" t="s">
        <v>364</v>
      </c>
      <c r="K71" s="385" t="s">
        <v>364</v>
      </c>
      <c r="L71" s="385">
        <v>10.0</v>
      </c>
      <c r="M71" s="385">
        <v>0.8</v>
      </c>
      <c r="N71" s="385">
        <v>0.2</v>
      </c>
      <c r="O71" s="385">
        <v>0.0</v>
      </c>
      <c r="P71" s="385">
        <v>0.0</v>
      </c>
      <c r="Q71" s="385">
        <v>0.0</v>
      </c>
      <c r="R71" s="385">
        <v>0.0</v>
      </c>
      <c r="S71" s="385">
        <v>0.0</v>
      </c>
      <c r="T71" s="385">
        <v>0.0</v>
      </c>
      <c r="U71" s="385">
        <v>0.0</v>
      </c>
      <c r="V71" s="385">
        <v>60.0</v>
      </c>
    </row>
    <row r="72" ht="15.75" customHeight="1">
      <c r="A72" s="385">
        <v>16.0</v>
      </c>
      <c r="B72" s="385">
        <v>16.0</v>
      </c>
      <c r="C72" s="385">
        <v>219.0</v>
      </c>
      <c r="D72" s="385" t="s">
        <v>1946</v>
      </c>
      <c r="E72" s="385">
        <v>0.0</v>
      </c>
      <c r="F72" s="385" t="s">
        <v>1910</v>
      </c>
      <c r="G72" s="386" t="s">
        <v>364</v>
      </c>
      <c r="H72" s="385">
        <v>38.9</v>
      </c>
      <c r="I72" s="385">
        <v>17445.7</v>
      </c>
      <c r="J72" s="385" t="s">
        <v>364</v>
      </c>
      <c r="K72" s="385" t="s">
        <v>364</v>
      </c>
      <c r="L72" s="385">
        <v>10.0</v>
      </c>
      <c r="M72" s="385">
        <v>0.8</v>
      </c>
      <c r="N72" s="385">
        <v>0.2</v>
      </c>
      <c r="O72" s="385">
        <v>0.0</v>
      </c>
      <c r="P72" s="385">
        <v>0.0</v>
      </c>
      <c r="Q72" s="385">
        <v>0.0</v>
      </c>
      <c r="R72" s="385">
        <v>0.0</v>
      </c>
      <c r="S72" s="385">
        <v>0.0</v>
      </c>
      <c r="T72" s="385">
        <v>0.0</v>
      </c>
      <c r="U72" s="385">
        <v>0.0</v>
      </c>
      <c r="V72" s="385">
        <v>60.0</v>
      </c>
    </row>
    <row r="73" ht="15.75" customHeight="1">
      <c r="A73" s="385">
        <v>17.0</v>
      </c>
      <c r="B73" s="385">
        <v>17.0</v>
      </c>
      <c r="C73" s="385">
        <v>219.0</v>
      </c>
      <c r="D73" s="385" t="s">
        <v>1946</v>
      </c>
      <c r="E73" s="385">
        <v>0.0</v>
      </c>
      <c r="F73" s="385" t="s">
        <v>1910</v>
      </c>
      <c r="G73" s="386" t="s">
        <v>364</v>
      </c>
      <c r="H73" s="385">
        <v>38.9</v>
      </c>
      <c r="I73" s="385">
        <v>17445.7</v>
      </c>
      <c r="J73" s="385" t="s">
        <v>364</v>
      </c>
      <c r="K73" s="385" t="s">
        <v>364</v>
      </c>
      <c r="L73" s="385">
        <v>10.0</v>
      </c>
      <c r="M73" s="385">
        <v>0.8</v>
      </c>
      <c r="N73" s="385">
        <v>0.2</v>
      </c>
      <c r="O73" s="385">
        <v>0.0</v>
      </c>
      <c r="P73" s="385">
        <v>0.0</v>
      </c>
      <c r="Q73" s="385">
        <v>0.0</v>
      </c>
      <c r="R73" s="385">
        <v>0.0</v>
      </c>
      <c r="S73" s="385">
        <v>0.0</v>
      </c>
      <c r="T73" s="385">
        <v>0.0</v>
      </c>
      <c r="U73" s="385">
        <v>0.0</v>
      </c>
      <c r="V73" s="385">
        <v>60.0</v>
      </c>
    </row>
    <row r="74" ht="15.75" customHeight="1">
      <c r="A74" s="385">
        <v>18.0</v>
      </c>
      <c r="B74" s="385">
        <v>18.0</v>
      </c>
      <c r="C74" s="385">
        <v>219.0</v>
      </c>
      <c r="D74" s="385" t="s">
        <v>1946</v>
      </c>
      <c r="E74" s="385">
        <v>0.0</v>
      </c>
      <c r="F74" s="385" t="s">
        <v>1910</v>
      </c>
      <c r="G74" s="386" t="s">
        <v>364</v>
      </c>
      <c r="H74" s="385">
        <v>38.9</v>
      </c>
      <c r="I74" s="385">
        <v>17445.7</v>
      </c>
      <c r="J74" s="385" t="s">
        <v>364</v>
      </c>
      <c r="K74" s="385" t="s">
        <v>364</v>
      </c>
      <c r="L74" s="385">
        <v>10.0</v>
      </c>
      <c r="M74" s="385">
        <v>0.8</v>
      </c>
      <c r="N74" s="385">
        <v>0.2</v>
      </c>
      <c r="O74" s="385">
        <v>0.0</v>
      </c>
      <c r="P74" s="385">
        <v>0.0</v>
      </c>
      <c r="Q74" s="385">
        <v>0.0</v>
      </c>
      <c r="R74" s="385">
        <v>0.0</v>
      </c>
      <c r="S74" s="385">
        <v>0.0</v>
      </c>
      <c r="T74" s="385">
        <v>0.0</v>
      </c>
      <c r="U74" s="385">
        <v>0.0</v>
      </c>
      <c r="V74" s="385">
        <v>60.0</v>
      </c>
    </row>
    <row r="75" ht="15.75" customHeight="1">
      <c r="A75" s="385">
        <v>19.0</v>
      </c>
      <c r="B75" s="385">
        <v>19.0</v>
      </c>
      <c r="C75" s="385">
        <v>219.0</v>
      </c>
      <c r="D75" s="385" t="s">
        <v>1946</v>
      </c>
      <c r="E75" s="385">
        <v>0.0</v>
      </c>
      <c r="F75" s="385" t="s">
        <v>1910</v>
      </c>
      <c r="G75" s="386" t="s">
        <v>364</v>
      </c>
      <c r="H75" s="385">
        <v>38.9</v>
      </c>
      <c r="I75" s="385">
        <v>17445.7</v>
      </c>
      <c r="J75" s="385" t="s">
        <v>364</v>
      </c>
      <c r="K75" s="385" t="s">
        <v>364</v>
      </c>
      <c r="L75" s="385">
        <v>10.0</v>
      </c>
      <c r="M75" s="385">
        <v>0.8</v>
      </c>
      <c r="N75" s="385">
        <v>0.2</v>
      </c>
      <c r="O75" s="385">
        <v>0.0</v>
      </c>
      <c r="P75" s="385">
        <v>0.0</v>
      </c>
      <c r="Q75" s="385">
        <v>0.0</v>
      </c>
      <c r="R75" s="385">
        <v>0.0</v>
      </c>
      <c r="S75" s="385">
        <v>0.0</v>
      </c>
      <c r="T75" s="385">
        <v>0.0</v>
      </c>
      <c r="U75" s="385">
        <v>0.0</v>
      </c>
      <c r="V75" s="385">
        <v>60.0</v>
      </c>
    </row>
    <row r="76" ht="15.75" customHeight="1">
      <c r="A76" s="385">
        <v>20.0</v>
      </c>
      <c r="B76" s="385">
        <v>20.0</v>
      </c>
      <c r="C76" s="385">
        <v>219.0</v>
      </c>
      <c r="D76" s="385" t="s">
        <v>1946</v>
      </c>
      <c r="E76" s="385">
        <v>0.0</v>
      </c>
      <c r="F76" s="385" t="s">
        <v>1910</v>
      </c>
      <c r="G76" s="386" t="s">
        <v>364</v>
      </c>
      <c r="H76" s="385">
        <v>38.9</v>
      </c>
      <c r="I76" s="385">
        <v>17445.7</v>
      </c>
      <c r="J76" s="385" t="s">
        <v>364</v>
      </c>
      <c r="K76" s="385" t="s">
        <v>364</v>
      </c>
      <c r="L76" s="385">
        <v>10.0</v>
      </c>
      <c r="M76" s="385">
        <v>0.8</v>
      </c>
      <c r="N76" s="385">
        <v>0.2</v>
      </c>
      <c r="O76" s="385">
        <v>0.0</v>
      </c>
      <c r="P76" s="385">
        <v>0.0</v>
      </c>
      <c r="Q76" s="385">
        <v>0.0</v>
      </c>
      <c r="R76" s="385">
        <v>0.0</v>
      </c>
      <c r="S76" s="385">
        <v>0.0</v>
      </c>
      <c r="T76" s="385">
        <v>0.0</v>
      </c>
      <c r="U76" s="385">
        <v>0.0</v>
      </c>
      <c r="V76" s="385">
        <v>60.0</v>
      </c>
    </row>
    <row r="77" ht="15.75" customHeight="1">
      <c r="A77" s="385">
        <v>21.0</v>
      </c>
      <c r="B77" s="385">
        <v>21.0</v>
      </c>
      <c r="C77" s="385">
        <v>219.0</v>
      </c>
      <c r="D77" s="385" t="s">
        <v>1945</v>
      </c>
      <c r="E77" s="385">
        <v>1.0</v>
      </c>
      <c r="F77" s="385" t="s">
        <v>1910</v>
      </c>
      <c r="G77" s="386" t="s">
        <v>364</v>
      </c>
      <c r="H77" s="385">
        <v>38.9</v>
      </c>
      <c r="I77" s="385">
        <v>17727.1</v>
      </c>
      <c r="J77" s="385" t="s">
        <v>364</v>
      </c>
      <c r="K77" s="385" t="s">
        <v>364</v>
      </c>
      <c r="L77" s="385">
        <v>10.0</v>
      </c>
      <c r="M77" s="385">
        <v>0.8</v>
      </c>
      <c r="N77" s="385">
        <v>0.2</v>
      </c>
      <c r="O77" s="385">
        <v>0.0</v>
      </c>
      <c r="P77" s="385">
        <v>0.0</v>
      </c>
      <c r="Q77" s="385">
        <v>0.0</v>
      </c>
      <c r="R77" s="385">
        <v>0.0</v>
      </c>
      <c r="S77" s="385">
        <v>0.0</v>
      </c>
      <c r="T77" s="385">
        <v>0.0</v>
      </c>
      <c r="U77" s="385">
        <v>0.0</v>
      </c>
      <c r="V77" s="385">
        <v>60.0</v>
      </c>
    </row>
    <row r="78" ht="15.75" customHeight="1">
      <c r="A78" s="385">
        <v>22.0</v>
      </c>
      <c r="B78" s="385">
        <v>22.0</v>
      </c>
      <c r="C78" s="385">
        <v>220.0</v>
      </c>
      <c r="D78" s="385" t="s">
        <v>1945</v>
      </c>
      <c r="E78" s="385">
        <v>2.0</v>
      </c>
      <c r="F78" s="385" t="s">
        <v>1910</v>
      </c>
      <c r="G78" s="386" t="s">
        <v>364</v>
      </c>
      <c r="H78" s="385">
        <v>39.0</v>
      </c>
      <c r="I78" s="385">
        <v>18008.5</v>
      </c>
      <c r="J78" s="385" t="s">
        <v>364</v>
      </c>
      <c r="K78" s="385" t="s">
        <v>364</v>
      </c>
      <c r="L78" s="385">
        <v>10.0</v>
      </c>
      <c r="M78" s="385">
        <v>0.8</v>
      </c>
      <c r="N78" s="385">
        <v>0.2</v>
      </c>
      <c r="O78" s="385">
        <v>0.0</v>
      </c>
      <c r="P78" s="385">
        <v>0.0</v>
      </c>
      <c r="Q78" s="385">
        <v>0.0</v>
      </c>
      <c r="R78" s="385">
        <v>0.0</v>
      </c>
      <c r="S78" s="385">
        <v>0.0</v>
      </c>
      <c r="T78" s="385">
        <v>0.0</v>
      </c>
      <c r="U78" s="385">
        <v>0.0</v>
      </c>
      <c r="V78" s="385">
        <v>60.0</v>
      </c>
    </row>
    <row r="79" ht="15.75" customHeight="1">
      <c r="A79" s="385">
        <v>23.0</v>
      </c>
      <c r="B79" s="385">
        <v>23.0</v>
      </c>
      <c r="C79" s="385">
        <v>221.0</v>
      </c>
      <c r="D79" s="385" t="s">
        <v>1945</v>
      </c>
      <c r="E79" s="385">
        <v>3.0</v>
      </c>
      <c r="F79" s="385" t="s">
        <v>1910</v>
      </c>
      <c r="G79" s="386" t="s">
        <v>364</v>
      </c>
      <c r="H79" s="385">
        <v>39.0</v>
      </c>
      <c r="I79" s="385">
        <v>18289.9</v>
      </c>
      <c r="J79" s="385" t="s">
        <v>364</v>
      </c>
      <c r="K79" s="385" t="s">
        <v>364</v>
      </c>
      <c r="L79" s="385">
        <v>10.0</v>
      </c>
      <c r="M79" s="385">
        <v>0.8</v>
      </c>
      <c r="N79" s="385">
        <v>0.2</v>
      </c>
      <c r="O79" s="385">
        <v>0.0</v>
      </c>
      <c r="P79" s="385">
        <v>0.0</v>
      </c>
      <c r="Q79" s="385">
        <v>0.0</v>
      </c>
      <c r="R79" s="385">
        <v>0.0</v>
      </c>
      <c r="S79" s="385">
        <v>0.0</v>
      </c>
      <c r="T79" s="385">
        <v>0.0</v>
      </c>
      <c r="U79" s="385">
        <v>0.0</v>
      </c>
      <c r="V79" s="385">
        <v>60.0</v>
      </c>
    </row>
    <row r="80" ht="15.75" customHeight="1">
      <c r="A80" s="385">
        <v>24.0</v>
      </c>
      <c r="B80" s="385">
        <v>24.0</v>
      </c>
      <c r="C80" s="385">
        <v>222.0</v>
      </c>
      <c r="D80" s="385" t="s">
        <v>1945</v>
      </c>
      <c r="E80" s="385">
        <v>4.0</v>
      </c>
      <c r="F80" s="385" t="s">
        <v>1910</v>
      </c>
      <c r="G80" s="386" t="s">
        <v>1948</v>
      </c>
      <c r="H80" s="385">
        <v>39.1</v>
      </c>
      <c r="I80" s="385">
        <v>18571.2</v>
      </c>
      <c r="J80" s="385" t="s">
        <v>364</v>
      </c>
      <c r="K80" s="385" t="s">
        <v>364</v>
      </c>
      <c r="L80" s="385">
        <v>45.0</v>
      </c>
      <c r="M80" s="385">
        <v>0.8</v>
      </c>
      <c r="N80" s="385">
        <v>1.2</v>
      </c>
      <c r="O80" s="385">
        <v>0.0</v>
      </c>
      <c r="P80" s="385">
        <v>0.0</v>
      </c>
      <c r="Q80" s="385">
        <v>0.0</v>
      </c>
      <c r="R80" s="385">
        <v>0.0</v>
      </c>
      <c r="S80" s="385">
        <v>0.0</v>
      </c>
      <c r="T80" s="385">
        <v>0.0</v>
      </c>
      <c r="U80" s="385">
        <v>0.0</v>
      </c>
      <c r="V80" s="385">
        <v>60.0</v>
      </c>
    </row>
    <row r="81" ht="15.75" customHeight="1">
      <c r="A81" s="385">
        <v>25.0</v>
      </c>
      <c r="B81" s="385">
        <v>25.0</v>
      </c>
      <c r="C81" s="385">
        <v>223.0</v>
      </c>
      <c r="D81" s="385" t="s">
        <v>1945</v>
      </c>
      <c r="E81" s="385">
        <v>5.0</v>
      </c>
      <c r="F81" s="385" t="s">
        <v>1910</v>
      </c>
      <c r="G81" s="386" t="s">
        <v>364</v>
      </c>
      <c r="H81" s="385">
        <v>39.1</v>
      </c>
      <c r="I81" s="385">
        <v>18852.6</v>
      </c>
      <c r="J81" s="385" t="s">
        <v>364</v>
      </c>
      <c r="K81" s="385" t="s">
        <v>364</v>
      </c>
      <c r="L81" s="385">
        <v>45.0</v>
      </c>
      <c r="M81" s="385">
        <v>0.8</v>
      </c>
      <c r="N81" s="385">
        <v>1.2</v>
      </c>
      <c r="O81" s="385">
        <v>0.0</v>
      </c>
      <c r="P81" s="385">
        <v>0.0</v>
      </c>
      <c r="Q81" s="385">
        <v>0.0</v>
      </c>
      <c r="R81" s="385">
        <v>0.0</v>
      </c>
      <c r="S81" s="385">
        <v>0.0</v>
      </c>
      <c r="T81" s="385">
        <v>0.0</v>
      </c>
      <c r="U81" s="385">
        <v>0.0</v>
      </c>
      <c r="V81" s="385">
        <v>60.0</v>
      </c>
    </row>
    <row r="82" ht="15.75" customHeight="1">
      <c r="A82" s="385">
        <v>26.0</v>
      </c>
      <c r="B82" s="385">
        <v>26.0</v>
      </c>
      <c r="C82" s="385">
        <v>224.0</v>
      </c>
      <c r="D82" s="385" t="s">
        <v>1945</v>
      </c>
      <c r="E82" s="385">
        <v>6.0</v>
      </c>
      <c r="F82" s="385" t="s">
        <v>1910</v>
      </c>
      <c r="G82" s="386" t="s">
        <v>364</v>
      </c>
      <c r="H82" s="385">
        <v>39.2</v>
      </c>
      <c r="I82" s="385">
        <v>19134.0</v>
      </c>
      <c r="J82" s="385" t="s">
        <v>364</v>
      </c>
      <c r="K82" s="385" t="s">
        <v>364</v>
      </c>
      <c r="L82" s="385">
        <v>45.0</v>
      </c>
      <c r="M82" s="385">
        <v>0.8</v>
      </c>
      <c r="N82" s="385">
        <v>1.2</v>
      </c>
      <c r="O82" s="385">
        <v>0.0</v>
      </c>
      <c r="P82" s="385">
        <v>0.0</v>
      </c>
      <c r="Q82" s="385">
        <v>0.0</v>
      </c>
      <c r="R82" s="385">
        <v>0.0</v>
      </c>
      <c r="S82" s="385">
        <v>0.0</v>
      </c>
      <c r="T82" s="385">
        <v>0.0</v>
      </c>
      <c r="U82" s="385">
        <v>0.0</v>
      </c>
      <c r="V82" s="385">
        <v>60.0</v>
      </c>
    </row>
    <row r="83" ht="15.75" customHeight="1">
      <c r="A83" s="385" t="s">
        <v>1949</v>
      </c>
      <c r="B83" s="385" t="s">
        <v>1910</v>
      </c>
      <c r="C83" s="385" t="s">
        <v>1910</v>
      </c>
      <c r="D83" s="385" t="s">
        <v>1950</v>
      </c>
      <c r="E83" s="385" t="s">
        <v>364</v>
      </c>
      <c r="F83" s="385" t="s">
        <v>364</v>
      </c>
      <c r="G83" s="386" t="s">
        <v>1951</v>
      </c>
      <c r="H83" s="385">
        <v>39.2</v>
      </c>
      <c r="I83" s="385">
        <v>19134.0</v>
      </c>
      <c r="J83" s="385" t="s">
        <v>364</v>
      </c>
      <c r="K83" s="385" t="s">
        <v>364</v>
      </c>
      <c r="L83" s="385">
        <v>45.0</v>
      </c>
      <c r="M83" s="385">
        <v>2.8</v>
      </c>
      <c r="N83" s="385">
        <v>1.2</v>
      </c>
      <c r="O83" s="385">
        <v>0.0</v>
      </c>
      <c r="P83" s="385">
        <v>1.0</v>
      </c>
      <c r="Q83" s="385">
        <v>1.0</v>
      </c>
      <c r="R83" s="385">
        <v>1.0</v>
      </c>
      <c r="S83" s="385">
        <v>0.0</v>
      </c>
      <c r="T83" s="385">
        <v>0.0</v>
      </c>
      <c r="U83" s="385">
        <v>0.0</v>
      </c>
      <c r="V83" s="385">
        <v>60.0</v>
      </c>
    </row>
    <row r="84" ht="15.75" customHeight="1">
      <c r="A84" s="155" t="s">
        <v>364</v>
      </c>
      <c r="B84" s="155" t="s">
        <v>364</v>
      </c>
      <c r="C84" s="155" t="s">
        <v>364</v>
      </c>
      <c r="D84" s="155" t="s">
        <v>364</v>
      </c>
      <c r="E84" s="155" t="s">
        <v>364</v>
      </c>
      <c r="F84" s="155" t="s">
        <v>364</v>
      </c>
      <c r="G84" s="155" t="s">
        <v>364</v>
      </c>
      <c r="H84" s="155" t="s">
        <v>364</v>
      </c>
      <c r="I84" s="155" t="s">
        <v>364</v>
      </c>
      <c r="J84" s="155" t="s">
        <v>364</v>
      </c>
      <c r="K84" s="155" t="s">
        <v>364</v>
      </c>
      <c r="L84" s="155" t="s">
        <v>364</v>
      </c>
      <c r="M84" s="155" t="s">
        <v>364</v>
      </c>
      <c r="N84" s="155" t="s">
        <v>364</v>
      </c>
      <c r="O84" s="155" t="s">
        <v>364</v>
      </c>
      <c r="P84" s="155" t="s">
        <v>364</v>
      </c>
      <c r="Q84" s="155" t="s">
        <v>364</v>
      </c>
      <c r="R84" s="155" t="s">
        <v>364</v>
      </c>
      <c r="S84" s="155" t="s">
        <v>364</v>
      </c>
      <c r="T84" s="155" t="s">
        <v>364</v>
      </c>
      <c r="U84" s="155" t="s">
        <v>364</v>
      </c>
      <c r="V84" s="155" t="s">
        <v>364</v>
      </c>
    </row>
    <row r="85" ht="15.75" customHeight="1">
      <c r="A85" s="377" t="s">
        <v>1952</v>
      </c>
      <c r="B85" s="375" t="s">
        <v>356</v>
      </c>
      <c r="C85" s="375" t="s">
        <v>357</v>
      </c>
      <c r="D85" s="375" t="s">
        <v>9</v>
      </c>
      <c r="E85" s="375" t="s">
        <v>10</v>
      </c>
      <c r="F85" s="375" t="s">
        <v>11</v>
      </c>
      <c r="G85" s="375" t="s">
        <v>6</v>
      </c>
      <c r="H85" s="375" t="s">
        <v>7</v>
      </c>
      <c r="I85" s="375" t="s">
        <v>8</v>
      </c>
      <c r="J85" s="375" t="s">
        <v>358</v>
      </c>
      <c r="K85" s="375" t="s">
        <v>359</v>
      </c>
      <c r="L85" s="375" t="s">
        <v>360</v>
      </c>
      <c r="M85" s="375" t="s">
        <v>12</v>
      </c>
      <c r="N85" s="155" t="s">
        <v>364</v>
      </c>
      <c r="O85" s="155" t="s">
        <v>364</v>
      </c>
      <c r="P85" s="155" t="s">
        <v>364</v>
      </c>
      <c r="Q85" s="155" t="s">
        <v>364</v>
      </c>
      <c r="R85" s="155" t="s">
        <v>364</v>
      </c>
      <c r="S85" s="155" t="s">
        <v>364</v>
      </c>
      <c r="T85" s="155" t="s">
        <v>364</v>
      </c>
      <c r="U85" s="155" t="s">
        <v>364</v>
      </c>
      <c r="V85" s="155" t="s">
        <v>364</v>
      </c>
    </row>
    <row r="86" ht="15.75" customHeight="1">
      <c r="A86" s="155" t="s">
        <v>364</v>
      </c>
      <c r="B86" s="355" t="s">
        <v>366</v>
      </c>
      <c r="C86" s="355">
        <v>0.0</v>
      </c>
      <c r="D86" s="355">
        <v>0.8</v>
      </c>
      <c r="E86" s="355">
        <v>0.2</v>
      </c>
      <c r="F86" s="355">
        <v>0.0</v>
      </c>
      <c r="G86" s="355">
        <v>0.0</v>
      </c>
      <c r="H86" s="355">
        <v>0.0</v>
      </c>
      <c r="I86" s="355">
        <v>0.0</v>
      </c>
      <c r="J86" s="355">
        <v>0.0</v>
      </c>
      <c r="K86" s="355">
        <v>0.0</v>
      </c>
      <c r="L86" s="355">
        <v>0.0</v>
      </c>
      <c r="M86" s="355">
        <v>0.0</v>
      </c>
      <c r="N86" s="155" t="s">
        <v>364</v>
      </c>
      <c r="O86" s="155" t="s">
        <v>364</v>
      </c>
      <c r="P86" s="155" t="s">
        <v>364</v>
      </c>
      <c r="Q86" s="155" t="s">
        <v>364</v>
      </c>
      <c r="R86" s="155" t="s">
        <v>364</v>
      </c>
      <c r="S86" s="155" t="s">
        <v>364</v>
      </c>
      <c r="T86" s="155" t="s">
        <v>364</v>
      </c>
      <c r="U86" s="155" t="s">
        <v>364</v>
      </c>
      <c r="V86" s="155" t="s">
        <v>364</v>
      </c>
    </row>
    <row r="87" ht="15.75" customHeight="1">
      <c r="A87" s="155" t="s">
        <v>364</v>
      </c>
      <c r="B87" s="355" t="s">
        <v>44</v>
      </c>
      <c r="C87" s="355">
        <v>0.0</v>
      </c>
      <c r="D87" s="355">
        <v>1.0</v>
      </c>
      <c r="E87" s="355">
        <v>0.0</v>
      </c>
      <c r="F87" s="355">
        <v>0.0</v>
      </c>
      <c r="G87" s="355">
        <v>1.0</v>
      </c>
      <c r="H87" s="355">
        <v>1.0</v>
      </c>
      <c r="I87" s="355">
        <v>1.0</v>
      </c>
      <c r="J87" s="355">
        <v>0.0</v>
      </c>
      <c r="K87" s="355">
        <v>0.0</v>
      </c>
      <c r="L87" s="355">
        <v>0.0</v>
      </c>
      <c r="M87" s="355">
        <v>60.0</v>
      </c>
      <c r="N87" s="155" t="s">
        <v>364</v>
      </c>
      <c r="O87" s="155" t="s">
        <v>364</v>
      </c>
      <c r="P87" s="155" t="s">
        <v>364</v>
      </c>
      <c r="Q87" s="155" t="s">
        <v>364</v>
      </c>
      <c r="R87" s="155" t="s">
        <v>364</v>
      </c>
      <c r="S87" s="155" t="s">
        <v>364</v>
      </c>
      <c r="T87" s="155" t="s">
        <v>364</v>
      </c>
      <c r="U87" s="155" t="s">
        <v>364</v>
      </c>
      <c r="V87" s="155" t="s">
        <v>364</v>
      </c>
    </row>
    <row r="88" ht="15.75" customHeight="1">
      <c r="A88" s="155" t="s">
        <v>364</v>
      </c>
      <c r="B88" s="355" t="s">
        <v>370</v>
      </c>
      <c r="C88" s="355">
        <v>10.0</v>
      </c>
      <c r="D88" s="355">
        <v>0.0</v>
      </c>
      <c r="E88" s="355">
        <v>0.0</v>
      </c>
      <c r="F88" s="355">
        <v>0.0</v>
      </c>
      <c r="G88" s="355">
        <v>0.0</v>
      </c>
      <c r="H88" s="355">
        <v>0.0</v>
      </c>
      <c r="I88" s="355">
        <v>0.0</v>
      </c>
      <c r="J88" s="355">
        <v>0.0</v>
      </c>
      <c r="K88" s="355">
        <v>0.0</v>
      </c>
      <c r="L88" s="355">
        <v>0.0</v>
      </c>
      <c r="M88" s="355">
        <v>0.0</v>
      </c>
      <c r="N88" s="155" t="s">
        <v>364</v>
      </c>
      <c r="O88" s="155" t="s">
        <v>364</v>
      </c>
      <c r="P88" s="155" t="s">
        <v>364</v>
      </c>
      <c r="Q88" s="155" t="s">
        <v>364</v>
      </c>
      <c r="R88" s="155" t="s">
        <v>364</v>
      </c>
      <c r="S88" s="155" t="s">
        <v>364</v>
      </c>
      <c r="T88" s="155" t="s">
        <v>364</v>
      </c>
      <c r="U88" s="155" t="s">
        <v>364</v>
      </c>
      <c r="V88" s="155" t="s">
        <v>364</v>
      </c>
    </row>
    <row r="89" ht="15.75" customHeight="1">
      <c r="A89" s="155" t="s">
        <v>364</v>
      </c>
      <c r="B89" s="355" t="s">
        <v>49</v>
      </c>
      <c r="C89" s="355">
        <v>35.0</v>
      </c>
      <c r="D89" s="355">
        <v>0.0</v>
      </c>
      <c r="E89" s="355">
        <v>1.0</v>
      </c>
      <c r="F89" s="355">
        <v>0.0</v>
      </c>
      <c r="G89" s="355">
        <v>0.0</v>
      </c>
      <c r="H89" s="355">
        <v>0.0</v>
      </c>
      <c r="I89" s="355">
        <v>0.0</v>
      </c>
      <c r="J89" s="355">
        <v>0.0</v>
      </c>
      <c r="K89" s="355">
        <v>0.0</v>
      </c>
      <c r="L89" s="355">
        <v>0.0</v>
      </c>
      <c r="M89" s="355">
        <v>0.0</v>
      </c>
      <c r="N89" s="155" t="s">
        <v>364</v>
      </c>
      <c r="O89" s="155" t="s">
        <v>364</v>
      </c>
      <c r="P89" s="155" t="s">
        <v>364</v>
      </c>
      <c r="Q89" s="155" t="s">
        <v>364</v>
      </c>
      <c r="R89" s="155" t="s">
        <v>364</v>
      </c>
      <c r="S89" s="155" t="s">
        <v>364</v>
      </c>
      <c r="T89" s="155" t="s">
        <v>364</v>
      </c>
      <c r="U89" s="155" t="s">
        <v>364</v>
      </c>
      <c r="V89" s="155" t="s">
        <v>364</v>
      </c>
    </row>
    <row r="90" ht="15.75" customHeight="1">
      <c r="A90" s="155" t="s">
        <v>364</v>
      </c>
      <c r="B90" s="355" t="s">
        <v>283</v>
      </c>
      <c r="C90" s="355">
        <v>0.0</v>
      </c>
      <c r="D90" s="355">
        <v>1.0</v>
      </c>
      <c r="E90" s="355">
        <v>0.0</v>
      </c>
      <c r="F90" s="355">
        <v>0.0</v>
      </c>
      <c r="G90" s="355">
        <v>0.0</v>
      </c>
      <c r="H90" s="355">
        <v>0.0</v>
      </c>
      <c r="I90" s="355">
        <v>0.0</v>
      </c>
      <c r="J90" s="355">
        <v>0.0</v>
      </c>
      <c r="K90" s="355">
        <v>0.0</v>
      </c>
      <c r="L90" s="355">
        <v>0.0</v>
      </c>
      <c r="M90" s="355">
        <v>0.0</v>
      </c>
      <c r="N90" s="155" t="s">
        <v>364</v>
      </c>
      <c r="O90" s="155" t="s">
        <v>364</v>
      </c>
      <c r="P90" s="155" t="s">
        <v>364</v>
      </c>
      <c r="Q90" s="155" t="s">
        <v>364</v>
      </c>
      <c r="R90" s="155" t="s">
        <v>364</v>
      </c>
      <c r="S90" s="155" t="s">
        <v>364</v>
      </c>
      <c r="T90" s="155" t="s">
        <v>364</v>
      </c>
      <c r="U90" s="155" t="s">
        <v>364</v>
      </c>
      <c r="V90" s="155" t="s">
        <v>364</v>
      </c>
    </row>
    <row r="91" ht="15.75" customHeight="1">
      <c r="A91" s="155" t="s">
        <v>364</v>
      </c>
      <c r="B91" s="155" t="s">
        <v>395</v>
      </c>
      <c r="C91" s="155">
        <v>45.0</v>
      </c>
      <c r="D91" s="155">
        <v>2.8</v>
      </c>
      <c r="E91" s="155">
        <v>1.2</v>
      </c>
      <c r="F91" s="155">
        <v>0.0</v>
      </c>
      <c r="G91" s="155">
        <v>1.0</v>
      </c>
      <c r="H91" s="155">
        <v>1.0</v>
      </c>
      <c r="I91" s="155">
        <v>1.0</v>
      </c>
      <c r="J91" s="155">
        <v>0.0</v>
      </c>
      <c r="K91" s="155">
        <v>0.0</v>
      </c>
      <c r="L91" s="155">
        <v>0.0</v>
      </c>
      <c r="M91" s="155">
        <v>60.0</v>
      </c>
      <c r="N91" s="155" t="s">
        <v>364</v>
      </c>
      <c r="O91" s="155" t="s">
        <v>364</v>
      </c>
      <c r="P91" s="155" t="s">
        <v>364</v>
      </c>
      <c r="Q91" s="155" t="s">
        <v>364</v>
      </c>
      <c r="R91" s="155" t="s">
        <v>364</v>
      </c>
      <c r="S91" s="155" t="s">
        <v>364</v>
      </c>
      <c r="T91" s="155" t="s">
        <v>364</v>
      </c>
      <c r="U91" s="155" t="s">
        <v>364</v>
      </c>
      <c r="V91" s="155" t="s">
        <v>364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387" t="s">
        <v>1953</v>
      </c>
      <c r="B1" s="387" t="s">
        <v>1954</v>
      </c>
      <c r="C1" s="387" t="s">
        <v>1955</v>
      </c>
      <c r="D1" s="387" t="s">
        <v>1956</v>
      </c>
      <c r="E1" s="387" t="s">
        <v>1957</v>
      </c>
      <c r="F1" s="387" t="s">
        <v>1958</v>
      </c>
      <c r="G1" s="387" t="s">
        <v>1959</v>
      </c>
      <c r="H1" s="387" t="s">
        <v>1960</v>
      </c>
      <c r="I1" s="387" t="s">
        <v>1961</v>
      </c>
      <c r="J1" s="387" t="s">
        <v>1962</v>
      </c>
      <c r="K1" s="387" t="s">
        <v>1963</v>
      </c>
      <c r="L1" s="387" t="s">
        <v>1964</v>
      </c>
      <c r="M1" s="387" t="s">
        <v>1965</v>
      </c>
      <c r="N1" s="388" t="s">
        <v>1966</v>
      </c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</row>
    <row r="2">
      <c r="A2" s="389" t="s">
        <v>1967</v>
      </c>
      <c r="B2" s="389" t="s">
        <v>137</v>
      </c>
      <c r="C2" s="389" t="s">
        <v>8</v>
      </c>
      <c r="D2" s="389" t="s">
        <v>591</v>
      </c>
      <c r="E2" s="390" t="s">
        <v>369</v>
      </c>
      <c r="F2" s="391">
        <v>46575.0</v>
      </c>
      <c r="G2" s="391">
        <v>33759.0</v>
      </c>
      <c r="H2" s="391">
        <v>72.48</v>
      </c>
      <c r="I2" s="391">
        <v>68.87</v>
      </c>
      <c r="J2" s="391">
        <v>67.11</v>
      </c>
      <c r="K2" s="391">
        <v>52160.0</v>
      </c>
      <c r="L2" s="391">
        <v>75732.0</v>
      </c>
      <c r="M2" s="391">
        <v>1.1199</v>
      </c>
      <c r="N2" s="38">
        <v>1.5451</v>
      </c>
    </row>
    <row r="3">
      <c r="A3" s="389" t="s">
        <v>1967</v>
      </c>
      <c r="B3" s="389" t="s">
        <v>137</v>
      </c>
      <c r="C3" s="389" t="s">
        <v>8</v>
      </c>
      <c r="D3" s="389" t="s">
        <v>591</v>
      </c>
      <c r="E3" s="390" t="s">
        <v>37</v>
      </c>
      <c r="F3" s="391">
        <v>46575.0</v>
      </c>
      <c r="G3" s="391">
        <v>9941.0</v>
      </c>
      <c r="H3" s="391">
        <v>21.34</v>
      </c>
      <c r="I3" s="391">
        <v>16.11</v>
      </c>
      <c r="J3" s="391">
        <v>16.65</v>
      </c>
      <c r="K3" s="391">
        <v>12200.0</v>
      </c>
      <c r="L3" s="391">
        <v>75732.0</v>
      </c>
      <c r="M3" s="391">
        <v>0.2619</v>
      </c>
      <c r="N3" s="38">
        <v>1.2272</v>
      </c>
    </row>
    <row r="4">
      <c r="A4" s="389" t="s">
        <v>1967</v>
      </c>
      <c r="B4" s="389" t="s">
        <v>137</v>
      </c>
      <c r="C4" s="389" t="s">
        <v>8</v>
      </c>
      <c r="D4" s="389" t="s">
        <v>591</v>
      </c>
      <c r="E4" s="390" t="s">
        <v>44</v>
      </c>
      <c r="F4" s="391">
        <v>46575.0</v>
      </c>
      <c r="G4" s="391">
        <v>3958.0</v>
      </c>
      <c r="H4" s="391">
        <v>8.5</v>
      </c>
      <c r="I4" s="391">
        <v>5.77</v>
      </c>
      <c r="J4" s="391">
        <v>6.16</v>
      </c>
      <c r="K4" s="391">
        <v>4373.0</v>
      </c>
      <c r="L4" s="391">
        <v>75732.0</v>
      </c>
      <c r="M4" s="391">
        <v>0.0939</v>
      </c>
      <c r="N4" s="38">
        <v>1.1049</v>
      </c>
    </row>
    <row r="5">
      <c r="A5" s="389" t="s">
        <v>1967</v>
      </c>
      <c r="B5" s="389" t="s">
        <v>137</v>
      </c>
      <c r="C5" s="389" t="s">
        <v>8</v>
      </c>
      <c r="D5" s="389" t="s">
        <v>591</v>
      </c>
      <c r="E5" s="390" t="s">
        <v>371</v>
      </c>
      <c r="F5" s="391">
        <v>46575.0</v>
      </c>
      <c r="G5" s="391">
        <v>2470.0</v>
      </c>
      <c r="H5" s="391">
        <v>5.3</v>
      </c>
      <c r="I5" s="391">
        <v>3.99</v>
      </c>
      <c r="J5" s="391">
        <v>4.06</v>
      </c>
      <c r="K5" s="391">
        <v>3023.0</v>
      </c>
      <c r="L5" s="391">
        <v>75732.0</v>
      </c>
      <c r="M5" s="391">
        <v>0.0649</v>
      </c>
      <c r="N5" s="38">
        <v>1.2239</v>
      </c>
    </row>
    <row r="6">
      <c r="A6" s="389" t="s">
        <v>1967</v>
      </c>
      <c r="B6" s="389" t="s">
        <v>137</v>
      </c>
      <c r="C6" s="389" t="s">
        <v>8</v>
      </c>
      <c r="D6" s="389" t="s">
        <v>591</v>
      </c>
      <c r="E6" s="390" t="s">
        <v>39</v>
      </c>
      <c r="F6" s="391">
        <v>46575.0</v>
      </c>
      <c r="G6" s="391">
        <v>1738.0</v>
      </c>
      <c r="H6" s="391">
        <v>3.73</v>
      </c>
      <c r="I6" s="391">
        <v>2.45</v>
      </c>
      <c r="J6" s="391">
        <v>2.73</v>
      </c>
      <c r="K6" s="391">
        <v>1853.0</v>
      </c>
      <c r="L6" s="391">
        <v>75732.0</v>
      </c>
      <c r="M6" s="391">
        <v>0.0398</v>
      </c>
      <c r="N6" s="38">
        <v>1.0662</v>
      </c>
    </row>
    <row r="7">
      <c r="A7" s="389" t="s">
        <v>1967</v>
      </c>
      <c r="B7" s="389" t="s">
        <v>137</v>
      </c>
      <c r="C7" s="389" t="s">
        <v>8</v>
      </c>
      <c r="D7" s="389" t="s">
        <v>591</v>
      </c>
      <c r="E7" s="390" t="s">
        <v>45</v>
      </c>
      <c r="F7" s="391">
        <v>46575.0</v>
      </c>
      <c r="G7" s="391">
        <v>957.0</v>
      </c>
      <c r="H7" s="391">
        <v>2.05</v>
      </c>
      <c r="I7" s="391">
        <v>1.3</v>
      </c>
      <c r="J7" s="391">
        <v>1.69</v>
      </c>
      <c r="K7" s="391">
        <v>981.0</v>
      </c>
      <c r="L7" s="391">
        <v>75732.0</v>
      </c>
      <c r="M7" s="391">
        <v>0.0211</v>
      </c>
      <c r="N7" s="38">
        <v>1.0251</v>
      </c>
    </row>
    <row r="8">
      <c r="A8" s="389" t="s">
        <v>1967</v>
      </c>
      <c r="B8" s="389" t="s">
        <v>137</v>
      </c>
      <c r="C8" s="389" t="s">
        <v>8</v>
      </c>
      <c r="D8" s="389" t="s">
        <v>591</v>
      </c>
      <c r="E8" s="390" t="s">
        <v>370</v>
      </c>
      <c r="F8" s="391">
        <v>46575.0</v>
      </c>
      <c r="G8" s="391">
        <v>428.0</v>
      </c>
      <c r="H8" s="391">
        <v>0.92</v>
      </c>
      <c r="I8" s="391">
        <v>0.61</v>
      </c>
      <c r="J8" s="391">
        <v>0.71</v>
      </c>
      <c r="K8" s="391">
        <v>462.0</v>
      </c>
      <c r="L8" s="391">
        <v>75732.0</v>
      </c>
      <c r="M8" s="391">
        <v>0.0099</v>
      </c>
      <c r="N8" s="38">
        <v>1.0794</v>
      </c>
    </row>
    <row r="9">
      <c r="A9" s="389" t="s">
        <v>1967</v>
      </c>
      <c r="B9" s="389" t="s">
        <v>137</v>
      </c>
      <c r="C9" s="389" t="s">
        <v>8</v>
      </c>
      <c r="D9" s="389" t="s">
        <v>591</v>
      </c>
      <c r="E9" s="390" t="s">
        <v>38</v>
      </c>
      <c r="F9" s="391">
        <v>46575.0</v>
      </c>
      <c r="G9" s="391">
        <v>304.0</v>
      </c>
      <c r="H9" s="391">
        <v>0.65</v>
      </c>
      <c r="I9" s="391">
        <v>0.42</v>
      </c>
      <c r="J9" s="391">
        <v>0.47</v>
      </c>
      <c r="K9" s="391">
        <v>316.0</v>
      </c>
      <c r="L9" s="391">
        <v>75732.0</v>
      </c>
      <c r="M9" s="391">
        <v>0.0068</v>
      </c>
      <c r="N9" s="38">
        <v>1.0395</v>
      </c>
    </row>
    <row r="10">
      <c r="A10" s="389" t="s">
        <v>1967</v>
      </c>
      <c r="B10" s="389" t="s">
        <v>137</v>
      </c>
      <c r="C10" s="389" t="s">
        <v>8</v>
      </c>
      <c r="D10" s="389" t="s">
        <v>591</v>
      </c>
      <c r="E10" s="390" t="s">
        <v>365</v>
      </c>
      <c r="F10" s="391">
        <v>46575.0</v>
      </c>
      <c r="G10" s="391">
        <v>153.0</v>
      </c>
      <c r="H10" s="391">
        <v>0.33</v>
      </c>
      <c r="I10" s="391">
        <v>0.29</v>
      </c>
      <c r="J10" s="391">
        <v>0.24</v>
      </c>
      <c r="K10" s="391">
        <v>217.0</v>
      </c>
      <c r="L10" s="391">
        <v>75732.0</v>
      </c>
      <c r="M10" s="391">
        <v>0.0047</v>
      </c>
      <c r="N10" s="38">
        <v>1.4183</v>
      </c>
    </row>
    <row r="11">
      <c r="A11" s="389" t="s">
        <v>1967</v>
      </c>
      <c r="B11" s="389" t="s">
        <v>137</v>
      </c>
      <c r="C11" s="389" t="s">
        <v>8</v>
      </c>
      <c r="D11" s="389" t="s">
        <v>591</v>
      </c>
      <c r="E11" s="390" t="s">
        <v>108</v>
      </c>
      <c r="F11" s="391">
        <v>46575.0</v>
      </c>
      <c r="G11" s="391">
        <v>87.0</v>
      </c>
      <c r="H11" s="391">
        <v>0.19</v>
      </c>
      <c r="I11" s="391">
        <v>0.13</v>
      </c>
      <c r="J11" s="391">
        <v>0.11</v>
      </c>
      <c r="K11" s="391">
        <v>97.0</v>
      </c>
      <c r="L11" s="391">
        <v>75732.0</v>
      </c>
      <c r="M11" s="391">
        <v>0.0021</v>
      </c>
      <c r="N11" s="38">
        <v>1.1149</v>
      </c>
    </row>
    <row r="12">
      <c r="A12" s="389" t="s">
        <v>1967</v>
      </c>
      <c r="B12" s="389" t="s">
        <v>137</v>
      </c>
      <c r="C12" s="389" t="s">
        <v>8</v>
      </c>
      <c r="D12" s="389" t="s">
        <v>591</v>
      </c>
      <c r="E12" s="390" t="s">
        <v>368</v>
      </c>
      <c r="F12" s="391">
        <v>46575.0</v>
      </c>
      <c r="G12" s="391">
        <v>22.0</v>
      </c>
      <c r="H12" s="391">
        <v>0.05</v>
      </c>
      <c r="I12" s="391">
        <v>0.03</v>
      </c>
      <c r="J12" s="391">
        <v>0.02</v>
      </c>
      <c r="K12" s="391">
        <v>24.0</v>
      </c>
      <c r="L12" s="391">
        <v>75732.0</v>
      </c>
      <c r="M12" s="391">
        <v>5.0E-4</v>
      </c>
      <c r="N12" s="38">
        <v>1.0909</v>
      </c>
    </row>
    <row r="13">
      <c r="A13" s="389" t="s">
        <v>1967</v>
      </c>
      <c r="B13" s="389" t="s">
        <v>137</v>
      </c>
      <c r="C13" s="389" t="s">
        <v>8</v>
      </c>
      <c r="D13" s="389" t="s">
        <v>591</v>
      </c>
      <c r="E13" s="390" t="s">
        <v>163</v>
      </c>
      <c r="F13" s="391">
        <v>46575.0</v>
      </c>
      <c r="G13" s="391">
        <v>7.0</v>
      </c>
      <c r="H13" s="391">
        <v>0.02</v>
      </c>
      <c r="I13" s="391">
        <v>0.01</v>
      </c>
      <c r="J13" s="391">
        <v>0.01</v>
      </c>
      <c r="K13" s="391">
        <v>7.0</v>
      </c>
      <c r="L13" s="391">
        <v>75732.0</v>
      </c>
      <c r="M13" s="391">
        <v>2.0E-4</v>
      </c>
      <c r="N13" s="38">
        <v>1.0</v>
      </c>
    </row>
    <row r="14">
      <c r="A14" s="389" t="s">
        <v>1967</v>
      </c>
      <c r="B14" s="389" t="s">
        <v>137</v>
      </c>
      <c r="C14" s="389" t="s">
        <v>8</v>
      </c>
      <c r="D14" s="389" t="s">
        <v>591</v>
      </c>
      <c r="E14" s="390" t="s">
        <v>30</v>
      </c>
      <c r="F14" s="391">
        <v>46575.0</v>
      </c>
      <c r="G14" s="391">
        <v>5.0</v>
      </c>
      <c r="H14" s="391">
        <v>0.01</v>
      </c>
      <c r="I14" s="391">
        <v>0.01</v>
      </c>
      <c r="J14" s="391">
        <v>0.01</v>
      </c>
      <c r="K14" s="391">
        <v>5.0</v>
      </c>
      <c r="L14" s="391">
        <v>75732.0</v>
      </c>
      <c r="M14" s="391">
        <v>1.0E-4</v>
      </c>
      <c r="N14" s="38">
        <v>1.0</v>
      </c>
    </row>
    <row r="15">
      <c r="A15" s="389" t="s">
        <v>1967</v>
      </c>
      <c r="B15" s="389" t="s">
        <v>137</v>
      </c>
      <c r="C15" s="389" t="s">
        <v>8</v>
      </c>
      <c r="D15" s="389" t="s">
        <v>591</v>
      </c>
      <c r="E15" s="390" t="s">
        <v>27</v>
      </c>
      <c r="F15" s="391">
        <v>46575.0</v>
      </c>
      <c r="G15" s="391">
        <v>3.0</v>
      </c>
      <c r="H15" s="391">
        <v>0.01</v>
      </c>
      <c r="I15" s="391">
        <v>0.01</v>
      </c>
      <c r="J15" s="391">
        <v>0.01</v>
      </c>
      <c r="K15" s="391">
        <v>4.0</v>
      </c>
      <c r="L15" s="391">
        <v>75732.0</v>
      </c>
      <c r="M15" s="391">
        <v>1.0E-4</v>
      </c>
      <c r="N15" s="38">
        <v>1.3333</v>
      </c>
    </row>
    <row r="16">
      <c r="A16" s="389" t="s">
        <v>1967</v>
      </c>
      <c r="B16" s="389" t="s">
        <v>137</v>
      </c>
      <c r="C16" s="389" t="s">
        <v>8</v>
      </c>
      <c r="D16" s="389" t="s">
        <v>591</v>
      </c>
      <c r="E16" s="390" t="s">
        <v>372</v>
      </c>
      <c r="F16" s="391">
        <v>46575.0</v>
      </c>
      <c r="G16" s="391">
        <v>3.0</v>
      </c>
      <c r="H16" s="391">
        <v>0.01</v>
      </c>
      <c r="I16" s="391">
        <v>0.01</v>
      </c>
      <c r="J16" s="391">
        <v>0.01</v>
      </c>
      <c r="K16" s="391">
        <v>6.0</v>
      </c>
      <c r="L16" s="391">
        <v>75732.0</v>
      </c>
      <c r="M16" s="391">
        <v>1.0E-4</v>
      </c>
      <c r="N16" s="38">
        <v>2.0</v>
      </c>
    </row>
    <row r="17">
      <c r="A17" s="389" t="s">
        <v>1967</v>
      </c>
      <c r="B17" s="389" t="s">
        <v>137</v>
      </c>
      <c r="C17" s="389" t="s">
        <v>8</v>
      </c>
      <c r="D17" s="389" t="s">
        <v>591</v>
      </c>
      <c r="E17" s="390" t="s">
        <v>367</v>
      </c>
      <c r="F17" s="391">
        <v>46575.0</v>
      </c>
      <c r="G17" s="391">
        <v>1.0</v>
      </c>
      <c r="H17" s="391">
        <v>0.0</v>
      </c>
      <c r="I17" s="391">
        <v>0.0</v>
      </c>
      <c r="J17" s="391">
        <v>0.0</v>
      </c>
      <c r="K17" s="391">
        <v>1.0</v>
      </c>
      <c r="L17" s="391">
        <v>75732.0</v>
      </c>
      <c r="M17" s="391">
        <v>0.0</v>
      </c>
      <c r="N17" s="38">
        <v>1.0</v>
      </c>
    </row>
    <row r="18">
      <c r="A18" s="389" t="s">
        <v>1967</v>
      </c>
      <c r="B18" s="389" t="s">
        <v>137</v>
      </c>
      <c r="C18" s="389" t="s">
        <v>8</v>
      </c>
      <c r="D18" s="389" t="s">
        <v>591</v>
      </c>
      <c r="E18" s="390" t="s">
        <v>284</v>
      </c>
      <c r="F18" s="391">
        <v>46575.0</v>
      </c>
      <c r="G18" s="391">
        <v>1.0</v>
      </c>
      <c r="H18" s="391">
        <v>0.0</v>
      </c>
      <c r="I18" s="391">
        <v>0.0</v>
      </c>
      <c r="J18" s="391">
        <v>0.0</v>
      </c>
      <c r="K18" s="391">
        <v>2.0</v>
      </c>
      <c r="L18" s="391">
        <v>75732.0</v>
      </c>
      <c r="M18" s="391">
        <v>0.0</v>
      </c>
      <c r="N18" s="38">
        <v>2.0</v>
      </c>
    </row>
    <row r="19">
      <c r="A19" s="389" t="s">
        <v>1967</v>
      </c>
      <c r="B19" s="389" t="s">
        <v>137</v>
      </c>
      <c r="C19" s="389" t="s">
        <v>8</v>
      </c>
      <c r="D19" s="389" t="s">
        <v>591</v>
      </c>
      <c r="E19" s="390" t="s">
        <v>363</v>
      </c>
      <c r="F19" s="391">
        <v>46575.0</v>
      </c>
      <c r="G19" s="391">
        <v>1.0</v>
      </c>
      <c r="H19" s="391">
        <v>0.0</v>
      </c>
      <c r="I19" s="391">
        <v>0.0</v>
      </c>
      <c r="J19" s="391">
        <v>0.0</v>
      </c>
      <c r="K19" s="391">
        <v>1.0</v>
      </c>
      <c r="L19" s="391">
        <v>75732.0</v>
      </c>
      <c r="M19" s="391">
        <v>0.0</v>
      </c>
      <c r="N19" s="38">
        <v>1.0</v>
      </c>
    </row>
    <row r="20">
      <c r="A20" s="389" t="s">
        <v>1967</v>
      </c>
      <c r="B20" s="389" t="s">
        <v>137</v>
      </c>
      <c r="C20" s="389" t="s">
        <v>7</v>
      </c>
      <c r="D20" s="389" t="s">
        <v>591</v>
      </c>
      <c r="E20" s="390" t="s">
        <v>369</v>
      </c>
      <c r="F20" s="391">
        <v>69424.0</v>
      </c>
      <c r="G20" s="391">
        <v>33840.0</v>
      </c>
      <c r="H20" s="391">
        <v>48.74</v>
      </c>
      <c r="I20" s="391">
        <v>39.24</v>
      </c>
      <c r="J20" s="391">
        <v>37.69</v>
      </c>
      <c r="K20" s="391">
        <v>51477.0</v>
      </c>
      <c r="L20" s="391">
        <v>131187.0</v>
      </c>
      <c r="M20" s="391">
        <v>0.7415</v>
      </c>
      <c r="N20" s="38">
        <v>1.5212</v>
      </c>
    </row>
    <row r="21">
      <c r="A21" s="389" t="s">
        <v>1967</v>
      </c>
      <c r="B21" s="389" t="s">
        <v>137</v>
      </c>
      <c r="C21" s="389" t="s">
        <v>7</v>
      </c>
      <c r="D21" s="389" t="s">
        <v>591</v>
      </c>
      <c r="E21" s="390" t="s">
        <v>371</v>
      </c>
      <c r="F21" s="391">
        <v>69424.0</v>
      </c>
      <c r="G21" s="391">
        <v>23305.0</v>
      </c>
      <c r="H21" s="391">
        <v>33.57</v>
      </c>
      <c r="I21" s="391">
        <v>27.22</v>
      </c>
      <c r="J21" s="391">
        <v>23.82</v>
      </c>
      <c r="K21" s="391">
        <v>35708.0</v>
      </c>
      <c r="L21" s="391">
        <v>131187.0</v>
      </c>
      <c r="M21" s="391">
        <v>0.5143</v>
      </c>
      <c r="N21" s="38">
        <v>1.5322</v>
      </c>
    </row>
    <row r="22">
      <c r="A22" s="389" t="s">
        <v>1967</v>
      </c>
      <c r="B22" s="389" t="s">
        <v>137</v>
      </c>
      <c r="C22" s="389" t="s">
        <v>7</v>
      </c>
      <c r="D22" s="389" t="s">
        <v>591</v>
      </c>
      <c r="E22" s="390" t="s">
        <v>368</v>
      </c>
      <c r="F22" s="391">
        <v>69424.0</v>
      </c>
      <c r="G22" s="391">
        <v>16317.0</v>
      </c>
      <c r="H22" s="391">
        <v>23.5</v>
      </c>
      <c r="I22" s="391">
        <v>15.07</v>
      </c>
      <c r="J22" s="391">
        <v>17.37</v>
      </c>
      <c r="K22" s="391">
        <v>19770.0</v>
      </c>
      <c r="L22" s="391">
        <v>131187.0</v>
      </c>
      <c r="M22" s="391">
        <v>0.2848</v>
      </c>
      <c r="N22" s="38">
        <v>1.2116</v>
      </c>
    </row>
    <row r="23">
      <c r="A23" s="389" t="s">
        <v>1967</v>
      </c>
      <c r="B23" s="389" t="s">
        <v>137</v>
      </c>
      <c r="C23" s="389" t="s">
        <v>7</v>
      </c>
      <c r="D23" s="389" t="s">
        <v>591</v>
      </c>
      <c r="E23" s="390" t="s">
        <v>37</v>
      </c>
      <c r="F23" s="391">
        <v>69424.0</v>
      </c>
      <c r="G23" s="391">
        <v>4804.0</v>
      </c>
      <c r="H23" s="391">
        <v>6.92</v>
      </c>
      <c r="I23" s="391">
        <v>4.19</v>
      </c>
      <c r="J23" s="391">
        <v>4.55</v>
      </c>
      <c r="K23" s="391">
        <v>5492.0</v>
      </c>
      <c r="L23" s="391">
        <v>131187.0</v>
      </c>
      <c r="M23" s="391">
        <v>0.0791</v>
      </c>
      <c r="N23" s="38">
        <v>1.1432</v>
      </c>
    </row>
    <row r="24">
      <c r="A24" s="389" t="s">
        <v>1967</v>
      </c>
      <c r="B24" s="389" t="s">
        <v>137</v>
      </c>
      <c r="C24" s="389" t="s">
        <v>7</v>
      </c>
      <c r="D24" s="389" t="s">
        <v>591</v>
      </c>
      <c r="E24" s="390" t="s">
        <v>39</v>
      </c>
      <c r="F24" s="391">
        <v>69424.0</v>
      </c>
      <c r="G24" s="391">
        <v>4589.0</v>
      </c>
      <c r="H24" s="391">
        <v>6.61</v>
      </c>
      <c r="I24" s="391">
        <v>3.78</v>
      </c>
      <c r="J24" s="391">
        <v>4.72</v>
      </c>
      <c r="K24" s="391">
        <v>4963.0</v>
      </c>
      <c r="L24" s="391">
        <v>131187.0</v>
      </c>
      <c r="M24" s="391">
        <v>0.0715</v>
      </c>
      <c r="N24" s="38">
        <v>1.0815</v>
      </c>
    </row>
    <row r="25">
      <c r="A25" s="389" t="s">
        <v>1967</v>
      </c>
      <c r="B25" s="389" t="s">
        <v>137</v>
      </c>
      <c r="C25" s="389" t="s">
        <v>7</v>
      </c>
      <c r="D25" s="389" t="s">
        <v>591</v>
      </c>
      <c r="E25" s="390" t="s">
        <v>163</v>
      </c>
      <c r="F25" s="391">
        <v>69424.0</v>
      </c>
      <c r="G25" s="391">
        <v>4719.0</v>
      </c>
      <c r="H25" s="391">
        <v>6.8</v>
      </c>
      <c r="I25" s="391">
        <v>3.72</v>
      </c>
      <c r="J25" s="391">
        <v>4.48</v>
      </c>
      <c r="K25" s="391">
        <v>4874.0</v>
      </c>
      <c r="L25" s="391">
        <v>131187.0</v>
      </c>
      <c r="M25" s="391">
        <v>0.0702</v>
      </c>
      <c r="N25" s="38">
        <v>1.0328</v>
      </c>
    </row>
    <row r="26">
      <c r="A26" s="389" t="s">
        <v>1967</v>
      </c>
      <c r="B26" s="389" t="s">
        <v>137</v>
      </c>
      <c r="C26" s="389" t="s">
        <v>7</v>
      </c>
      <c r="D26" s="389" t="s">
        <v>591</v>
      </c>
      <c r="E26" s="390" t="s">
        <v>44</v>
      </c>
      <c r="F26" s="391">
        <v>69424.0</v>
      </c>
      <c r="G26" s="391">
        <v>3958.0</v>
      </c>
      <c r="H26" s="391">
        <v>5.7</v>
      </c>
      <c r="I26" s="391">
        <v>3.33</v>
      </c>
      <c r="J26" s="391">
        <v>3.64</v>
      </c>
      <c r="K26" s="391">
        <v>4373.0</v>
      </c>
      <c r="L26" s="391">
        <v>131187.0</v>
      </c>
      <c r="M26" s="391">
        <v>0.063</v>
      </c>
      <c r="N26" s="38">
        <v>1.1049</v>
      </c>
    </row>
    <row r="27">
      <c r="A27" s="389" t="s">
        <v>1967</v>
      </c>
      <c r="B27" s="389" t="s">
        <v>137</v>
      </c>
      <c r="C27" s="389" t="s">
        <v>7</v>
      </c>
      <c r="D27" s="389" t="s">
        <v>591</v>
      </c>
      <c r="E27" s="390" t="s">
        <v>370</v>
      </c>
      <c r="F27" s="391">
        <v>69424.0</v>
      </c>
      <c r="G27" s="391">
        <v>1654.0</v>
      </c>
      <c r="H27" s="391">
        <v>2.38</v>
      </c>
      <c r="I27" s="391">
        <v>1.53</v>
      </c>
      <c r="J27" s="391">
        <v>1.6</v>
      </c>
      <c r="K27" s="391">
        <v>2013.0</v>
      </c>
      <c r="L27" s="391">
        <v>131187.0</v>
      </c>
      <c r="M27" s="391">
        <v>0.029</v>
      </c>
      <c r="N27" s="38">
        <v>1.217</v>
      </c>
    </row>
    <row r="28">
      <c r="A28" s="389" t="s">
        <v>1967</v>
      </c>
      <c r="B28" s="389" t="s">
        <v>137</v>
      </c>
      <c r="C28" s="389" t="s">
        <v>7</v>
      </c>
      <c r="D28" s="389" t="s">
        <v>591</v>
      </c>
      <c r="E28" s="390" t="s">
        <v>30</v>
      </c>
      <c r="F28" s="391">
        <v>69424.0</v>
      </c>
      <c r="G28" s="391">
        <v>1077.0</v>
      </c>
      <c r="H28" s="391">
        <v>1.55</v>
      </c>
      <c r="I28" s="391">
        <v>0.84</v>
      </c>
      <c r="J28" s="391">
        <v>0.93</v>
      </c>
      <c r="K28" s="391">
        <v>1100.0</v>
      </c>
      <c r="L28" s="391">
        <v>131187.0</v>
      </c>
      <c r="M28" s="391">
        <v>0.0158</v>
      </c>
      <c r="N28" s="38">
        <v>1.0214</v>
      </c>
    </row>
    <row r="29">
      <c r="A29" s="389" t="s">
        <v>1967</v>
      </c>
      <c r="B29" s="389" t="s">
        <v>137</v>
      </c>
      <c r="C29" s="389" t="s">
        <v>7</v>
      </c>
      <c r="D29" s="389" t="s">
        <v>591</v>
      </c>
      <c r="E29" s="390" t="s">
        <v>45</v>
      </c>
      <c r="F29" s="391">
        <v>69424.0</v>
      </c>
      <c r="G29" s="391">
        <v>568.0</v>
      </c>
      <c r="H29" s="391">
        <v>0.82</v>
      </c>
      <c r="I29" s="391">
        <v>0.44</v>
      </c>
      <c r="J29" s="391">
        <v>0.59</v>
      </c>
      <c r="K29" s="391">
        <v>579.0</v>
      </c>
      <c r="L29" s="391">
        <v>131187.0</v>
      </c>
      <c r="M29" s="391">
        <v>0.0083</v>
      </c>
      <c r="N29" s="38">
        <v>1.0194</v>
      </c>
    </row>
    <row r="30">
      <c r="A30" s="389" t="s">
        <v>1967</v>
      </c>
      <c r="B30" s="389" t="s">
        <v>137</v>
      </c>
      <c r="C30" s="389" t="s">
        <v>7</v>
      </c>
      <c r="D30" s="389" t="s">
        <v>591</v>
      </c>
      <c r="E30" s="390" t="s">
        <v>38</v>
      </c>
      <c r="F30" s="391">
        <v>69424.0</v>
      </c>
      <c r="G30" s="391">
        <v>332.0</v>
      </c>
      <c r="H30" s="391">
        <v>0.48</v>
      </c>
      <c r="I30" s="391">
        <v>0.26</v>
      </c>
      <c r="J30" s="391">
        <v>0.29</v>
      </c>
      <c r="K30" s="391">
        <v>341.0</v>
      </c>
      <c r="L30" s="391">
        <v>131187.0</v>
      </c>
      <c r="M30" s="391">
        <v>0.0049</v>
      </c>
      <c r="N30" s="38">
        <v>1.0271</v>
      </c>
    </row>
    <row r="31">
      <c r="A31" s="389" t="s">
        <v>1967</v>
      </c>
      <c r="B31" s="389" t="s">
        <v>137</v>
      </c>
      <c r="C31" s="389" t="s">
        <v>7</v>
      </c>
      <c r="D31" s="389" t="s">
        <v>591</v>
      </c>
      <c r="E31" s="390" t="s">
        <v>365</v>
      </c>
      <c r="F31" s="391">
        <v>69424.0</v>
      </c>
      <c r="G31" s="391">
        <v>187.0</v>
      </c>
      <c r="H31" s="391">
        <v>0.27</v>
      </c>
      <c r="I31" s="391">
        <v>0.19</v>
      </c>
      <c r="J31" s="391">
        <v>0.17</v>
      </c>
      <c r="K31" s="391">
        <v>251.0</v>
      </c>
      <c r="L31" s="391">
        <v>131187.0</v>
      </c>
      <c r="M31" s="391">
        <v>0.0036</v>
      </c>
      <c r="N31" s="38">
        <v>1.3422</v>
      </c>
    </row>
    <row r="32">
      <c r="A32" s="389" t="s">
        <v>1967</v>
      </c>
      <c r="B32" s="389" t="s">
        <v>137</v>
      </c>
      <c r="C32" s="389" t="s">
        <v>7</v>
      </c>
      <c r="D32" s="389" t="s">
        <v>591</v>
      </c>
      <c r="E32" s="390" t="s">
        <v>367</v>
      </c>
      <c r="F32" s="391">
        <v>69424.0</v>
      </c>
      <c r="G32" s="391">
        <v>134.0</v>
      </c>
      <c r="H32" s="391">
        <v>0.19</v>
      </c>
      <c r="I32" s="391">
        <v>0.12</v>
      </c>
      <c r="J32" s="391">
        <v>0.1</v>
      </c>
      <c r="K32" s="391">
        <v>152.0</v>
      </c>
      <c r="L32" s="391">
        <v>131187.0</v>
      </c>
      <c r="M32" s="391">
        <v>0.0022</v>
      </c>
      <c r="N32" s="38">
        <v>1.1343</v>
      </c>
    </row>
    <row r="33">
      <c r="A33" s="389" t="s">
        <v>1967</v>
      </c>
      <c r="B33" s="389" t="s">
        <v>137</v>
      </c>
      <c r="C33" s="389" t="s">
        <v>7</v>
      </c>
      <c r="D33" s="389" t="s">
        <v>591</v>
      </c>
      <c r="E33" s="390" t="s">
        <v>108</v>
      </c>
      <c r="F33" s="391">
        <v>69424.0</v>
      </c>
      <c r="G33" s="391">
        <v>69.0</v>
      </c>
      <c r="H33" s="391">
        <v>0.1</v>
      </c>
      <c r="I33" s="391">
        <v>0.06</v>
      </c>
      <c r="J33" s="391">
        <v>0.05</v>
      </c>
      <c r="K33" s="391">
        <v>77.0</v>
      </c>
      <c r="L33" s="391">
        <v>131187.0</v>
      </c>
      <c r="M33" s="391">
        <v>0.0011</v>
      </c>
      <c r="N33" s="38">
        <v>1.1159</v>
      </c>
    </row>
    <row r="34">
      <c r="A34" s="389" t="s">
        <v>1967</v>
      </c>
      <c r="B34" s="389" t="s">
        <v>137</v>
      </c>
      <c r="C34" s="389" t="s">
        <v>7</v>
      </c>
      <c r="D34" s="389" t="s">
        <v>591</v>
      </c>
      <c r="E34" s="390" t="s">
        <v>283</v>
      </c>
      <c r="F34" s="391">
        <v>69424.0</v>
      </c>
      <c r="G34" s="391">
        <v>4.0</v>
      </c>
      <c r="H34" s="391">
        <v>0.01</v>
      </c>
      <c r="I34" s="391">
        <v>0.01</v>
      </c>
      <c r="J34" s="391">
        <v>0.01</v>
      </c>
      <c r="K34" s="391">
        <v>7.0</v>
      </c>
      <c r="L34" s="391">
        <v>131187.0</v>
      </c>
      <c r="M34" s="391">
        <v>1.0E-4</v>
      </c>
      <c r="N34" s="38">
        <v>1.75</v>
      </c>
    </row>
    <row r="35">
      <c r="A35" s="389" t="s">
        <v>1967</v>
      </c>
      <c r="B35" s="389" t="s">
        <v>137</v>
      </c>
      <c r="C35" s="389" t="s">
        <v>7</v>
      </c>
      <c r="D35" s="389" t="s">
        <v>591</v>
      </c>
      <c r="E35" s="390" t="s">
        <v>27</v>
      </c>
      <c r="F35" s="391">
        <v>69424.0</v>
      </c>
      <c r="G35" s="391">
        <v>6.0</v>
      </c>
      <c r="H35" s="391">
        <v>0.01</v>
      </c>
      <c r="I35" s="391">
        <v>0.01</v>
      </c>
      <c r="J35" s="391">
        <v>0.01</v>
      </c>
      <c r="K35" s="391">
        <v>7.0</v>
      </c>
      <c r="L35" s="391">
        <v>131187.0</v>
      </c>
      <c r="M35" s="391">
        <v>1.0E-4</v>
      </c>
      <c r="N35" s="38">
        <v>1.1667</v>
      </c>
    </row>
    <row r="36">
      <c r="A36" s="389" t="s">
        <v>1967</v>
      </c>
      <c r="B36" s="389" t="s">
        <v>137</v>
      </c>
      <c r="C36" s="389" t="s">
        <v>7</v>
      </c>
      <c r="D36" s="389" t="s">
        <v>591</v>
      </c>
      <c r="E36" s="390" t="s">
        <v>372</v>
      </c>
      <c r="F36" s="391">
        <v>69424.0</v>
      </c>
      <c r="G36" s="391">
        <v>1.0</v>
      </c>
      <c r="H36" s="391">
        <v>0.0</v>
      </c>
      <c r="I36" s="391">
        <v>0.0</v>
      </c>
      <c r="J36" s="391">
        <v>0.0</v>
      </c>
      <c r="K36" s="391">
        <v>2.0</v>
      </c>
      <c r="L36" s="391">
        <v>131187.0</v>
      </c>
      <c r="M36" s="391">
        <v>0.0</v>
      </c>
      <c r="N36" s="38">
        <v>2.0</v>
      </c>
    </row>
    <row r="37">
      <c r="A37" s="389" t="s">
        <v>1967</v>
      </c>
      <c r="B37" s="389" t="s">
        <v>137</v>
      </c>
      <c r="C37" s="389" t="s">
        <v>7</v>
      </c>
      <c r="D37" s="389" t="s">
        <v>591</v>
      </c>
      <c r="E37" s="390" t="s">
        <v>363</v>
      </c>
      <c r="F37" s="391">
        <v>69424.0</v>
      </c>
      <c r="G37" s="391">
        <v>1.0</v>
      </c>
      <c r="H37" s="391">
        <v>0.0</v>
      </c>
      <c r="I37" s="391">
        <v>0.0</v>
      </c>
      <c r="J37" s="391">
        <v>0.0</v>
      </c>
      <c r="K37" s="391">
        <v>1.0</v>
      </c>
      <c r="L37" s="391">
        <v>131187.0</v>
      </c>
      <c r="M37" s="391">
        <v>0.0</v>
      </c>
      <c r="N37" s="38">
        <v>1.0</v>
      </c>
    </row>
    <row r="38">
      <c r="A38" s="389" t="s">
        <v>1967</v>
      </c>
      <c r="B38" s="389" t="s">
        <v>137</v>
      </c>
      <c r="C38" s="389" t="s">
        <v>11</v>
      </c>
      <c r="D38" s="389" t="s">
        <v>591</v>
      </c>
      <c r="E38" s="390" t="s">
        <v>37</v>
      </c>
      <c r="F38" s="391">
        <v>30695.0</v>
      </c>
      <c r="G38" s="391">
        <v>17176.0</v>
      </c>
      <c r="H38" s="391">
        <v>55.96</v>
      </c>
      <c r="I38" s="391">
        <v>47.29</v>
      </c>
      <c r="J38" s="391">
        <v>50.43</v>
      </c>
      <c r="K38" s="391">
        <v>22806.0</v>
      </c>
      <c r="L38" s="391">
        <v>48225.0</v>
      </c>
      <c r="M38" s="391">
        <v>0.743</v>
      </c>
      <c r="N38" s="38">
        <v>1.3278</v>
      </c>
    </row>
    <row r="39">
      <c r="A39" s="389" t="s">
        <v>1967</v>
      </c>
      <c r="B39" s="389" t="s">
        <v>137</v>
      </c>
      <c r="C39" s="389" t="s">
        <v>11</v>
      </c>
      <c r="D39" s="389" t="s">
        <v>591</v>
      </c>
      <c r="E39" s="390" t="s">
        <v>366</v>
      </c>
      <c r="F39" s="391">
        <v>30695.0</v>
      </c>
      <c r="G39" s="391">
        <v>8307.0</v>
      </c>
      <c r="H39" s="391">
        <v>27.06</v>
      </c>
      <c r="I39" s="391">
        <v>20.61</v>
      </c>
      <c r="J39" s="391">
        <v>21.74</v>
      </c>
      <c r="K39" s="391">
        <v>9938.0</v>
      </c>
      <c r="L39" s="391">
        <v>48225.0</v>
      </c>
      <c r="M39" s="391">
        <v>0.3238</v>
      </c>
      <c r="N39" s="38">
        <v>1.1963</v>
      </c>
    </row>
    <row r="40">
      <c r="A40" s="389" t="s">
        <v>1967</v>
      </c>
      <c r="B40" s="389" t="s">
        <v>137</v>
      </c>
      <c r="C40" s="389" t="s">
        <v>11</v>
      </c>
      <c r="D40" s="389" t="s">
        <v>591</v>
      </c>
      <c r="E40" s="390" t="s">
        <v>363</v>
      </c>
      <c r="F40" s="391">
        <v>30695.0</v>
      </c>
      <c r="G40" s="391">
        <v>5600.0</v>
      </c>
      <c r="H40" s="391">
        <v>18.24</v>
      </c>
      <c r="I40" s="391">
        <v>19.82</v>
      </c>
      <c r="J40" s="391">
        <v>14.97</v>
      </c>
      <c r="K40" s="391">
        <v>9557.0</v>
      </c>
      <c r="L40" s="391">
        <v>48225.0</v>
      </c>
      <c r="M40" s="391">
        <v>0.3114</v>
      </c>
      <c r="N40" s="38">
        <v>1.7066</v>
      </c>
    </row>
    <row r="41">
      <c r="A41" s="389" t="s">
        <v>1967</v>
      </c>
      <c r="B41" s="389" t="s">
        <v>137</v>
      </c>
      <c r="C41" s="389" t="s">
        <v>11</v>
      </c>
      <c r="D41" s="389" t="s">
        <v>591</v>
      </c>
      <c r="E41" s="390" t="s">
        <v>35</v>
      </c>
      <c r="F41" s="391">
        <v>30695.0</v>
      </c>
      <c r="G41" s="391">
        <v>1292.0</v>
      </c>
      <c r="H41" s="391">
        <v>4.21</v>
      </c>
      <c r="I41" s="391">
        <v>3.46</v>
      </c>
      <c r="J41" s="391">
        <v>3.27</v>
      </c>
      <c r="K41" s="391">
        <v>1667.0</v>
      </c>
      <c r="L41" s="391">
        <v>48225.0</v>
      </c>
      <c r="M41" s="391">
        <v>0.0543</v>
      </c>
      <c r="N41" s="38">
        <v>1.2902</v>
      </c>
    </row>
    <row r="42">
      <c r="A42" s="389" t="s">
        <v>1967</v>
      </c>
      <c r="B42" s="389" t="s">
        <v>137</v>
      </c>
      <c r="C42" s="389" t="s">
        <v>11</v>
      </c>
      <c r="D42" s="389" t="s">
        <v>591</v>
      </c>
      <c r="E42" s="390" t="s">
        <v>45</v>
      </c>
      <c r="F42" s="391">
        <v>30695.0</v>
      </c>
      <c r="G42" s="391">
        <v>913.0</v>
      </c>
      <c r="H42" s="391">
        <v>2.97</v>
      </c>
      <c r="I42" s="391">
        <v>2.01</v>
      </c>
      <c r="J42" s="391">
        <v>2.43</v>
      </c>
      <c r="K42" s="391">
        <v>971.0</v>
      </c>
      <c r="L42" s="391">
        <v>48225.0</v>
      </c>
      <c r="M42" s="391">
        <v>0.0316</v>
      </c>
      <c r="N42" s="38">
        <v>1.0635</v>
      </c>
    </row>
    <row r="43">
      <c r="A43" s="389" t="s">
        <v>1967</v>
      </c>
      <c r="B43" s="389" t="s">
        <v>137</v>
      </c>
      <c r="C43" s="389" t="s">
        <v>11</v>
      </c>
      <c r="D43" s="389" t="s">
        <v>591</v>
      </c>
      <c r="E43" s="390" t="s">
        <v>369</v>
      </c>
      <c r="F43" s="391">
        <v>30695.0</v>
      </c>
      <c r="G43" s="391">
        <v>660.0</v>
      </c>
      <c r="H43" s="391">
        <v>2.15</v>
      </c>
      <c r="I43" s="391">
        <v>1.61</v>
      </c>
      <c r="J43" s="391">
        <v>1.39</v>
      </c>
      <c r="K43" s="391">
        <v>778.0</v>
      </c>
      <c r="L43" s="391">
        <v>48225.0</v>
      </c>
      <c r="M43" s="391">
        <v>0.0253</v>
      </c>
      <c r="N43" s="38">
        <v>1.1788</v>
      </c>
    </row>
    <row r="44">
      <c r="A44" s="389" t="s">
        <v>1967</v>
      </c>
      <c r="B44" s="389" t="s">
        <v>137</v>
      </c>
      <c r="C44" s="389" t="s">
        <v>11</v>
      </c>
      <c r="D44" s="389" t="s">
        <v>591</v>
      </c>
      <c r="E44" s="390" t="s">
        <v>370</v>
      </c>
      <c r="F44" s="391">
        <v>30695.0</v>
      </c>
      <c r="G44" s="391">
        <v>427.0</v>
      </c>
      <c r="H44" s="391">
        <v>1.39</v>
      </c>
      <c r="I44" s="391">
        <v>0.96</v>
      </c>
      <c r="J44" s="391">
        <v>1.17</v>
      </c>
      <c r="K44" s="391">
        <v>464.0</v>
      </c>
      <c r="L44" s="391">
        <v>48225.0</v>
      </c>
      <c r="M44" s="391">
        <v>0.0151</v>
      </c>
      <c r="N44" s="38">
        <v>1.0867</v>
      </c>
    </row>
    <row r="45">
      <c r="A45" s="389" t="s">
        <v>1967</v>
      </c>
      <c r="B45" s="389" t="s">
        <v>137</v>
      </c>
      <c r="C45" s="389" t="s">
        <v>11</v>
      </c>
      <c r="D45" s="389" t="s">
        <v>591</v>
      </c>
      <c r="E45" s="390" t="s">
        <v>284</v>
      </c>
      <c r="F45" s="391">
        <v>30695.0</v>
      </c>
      <c r="G45" s="391">
        <v>395.0</v>
      </c>
      <c r="H45" s="391">
        <v>1.29</v>
      </c>
      <c r="I45" s="391">
        <v>0.88</v>
      </c>
      <c r="J45" s="391">
        <v>0.96</v>
      </c>
      <c r="K45" s="391">
        <v>423.0</v>
      </c>
      <c r="L45" s="391">
        <v>48225.0</v>
      </c>
      <c r="M45" s="391">
        <v>0.0138</v>
      </c>
      <c r="N45" s="38">
        <v>1.0709</v>
      </c>
    </row>
    <row r="46">
      <c r="A46" s="389" t="s">
        <v>1967</v>
      </c>
      <c r="B46" s="389" t="s">
        <v>137</v>
      </c>
      <c r="C46" s="389" t="s">
        <v>11</v>
      </c>
      <c r="D46" s="389" t="s">
        <v>591</v>
      </c>
      <c r="E46" s="390" t="s">
        <v>282</v>
      </c>
      <c r="F46" s="391">
        <v>30695.0</v>
      </c>
      <c r="G46" s="391">
        <v>364.0</v>
      </c>
      <c r="H46" s="391">
        <v>1.19</v>
      </c>
      <c r="I46" s="391">
        <v>0.83</v>
      </c>
      <c r="J46" s="391">
        <v>0.99</v>
      </c>
      <c r="K46" s="391">
        <v>399.0</v>
      </c>
      <c r="L46" s="391">
        <v>48225.0</v>
      </c>
      <c r="M46" s="391">
        <v>0.013</v>
      </c>
      <c r="N46" s="38">
        <v>1.0962</v>
      </c>
    </row>
    <row r="47">
      <c r="A47" s="389" t="s">
        <v>1967</v>
      </c>
      <c r="B47" s="389" t="s">
        <v>137</v>
      </c>
      <c r="C47" s="389" t="s">
        <v>11</v>
      </c>
      <c r="D47" s="389" t="s">
        <v>591</v>
      </c>
      <c r="E47" s="390" t="s">
        <v>283</v>
      </c>
      <c r="F47" s="391">
        <v>30695.0</v>
      </c>
      <c r="G47" s="391">
        <v>329.0</v>
      </c>
      <c r="H47" s="391">
        <v>1.07</v>
      </c>
      <c r="I47" s="391">
        <v>0.73</v>
      </c>
      <c r="J47" s="391">
        <v>0.87</v>
      </c>
      <c r="K47" s="391">
        <v>351.0</v>
      </c>
      <c r="L47" s="391">
        <v>48225.0</v>
      </c>
      <c r="M47" s="391">
        <v>0.0114</v>
      </c>
      <c r="N47" s="38">
        <v>1.0669</v>
      </c>
    </row>
    <row r="48">
      <c r="A48" s="389" t="s">
        <v>1967</v>
      </c>
      <c r="B48" s="389" t="s">
        <v>137</v>
      </c>
      <c r="C48" s="389" t="s">
        <v>11</v>
      </c>
      <c r="D48" s="389" t="s">
        <v>591</v>
      </c>
      <c r="E48" s="390" t="s">
        <v>365</v>
      </c>
      <c r="F48" s="391">
        <v>30695.0</v>
      </c>
      <c r="G48" s="391">
        <v>208.0</v>
      </c>
      <c r="H48" s="391">
        <v>0.68</v>
      </c>
      <c r="I48" s="391">
        <v>0.48</v>
      </c>
      <c r="J48" s="391">
        <v>0.57</v>
      </c>
      <c r="K48" s="391">
        <v>230.0</v>
      </c>
      <c r="L48" s="391">
        <v>48225.0</v>
      </c>
      <c r="M48" s="391">
        <v>0.0075</v>
      </c>
      <c r="N48" s="38">
        <v>1.1058</v>
      </c>
    </row>
    <row r="49">
      <c r="A49" s="389" t="s">
        <v>1967</v>
      </c>
      <c r="B49" s="389" t="s">
        <v>137</v>
      </c>
      <c r="C49" s="389" t="s">
        <v>11</v>
      </c>
      <c r="D49" s="389" t="s">
        <v>591</v>
      </c>
      <c r="E49" s="390" t="s">
        <v>108</v>
      </c>
      <c r="F49" s="391">
        <v>30695.0</v>
      </c>
      <c r="G49" s="391">
        <v>196.0</v>
      </c>
      <c r="H49" s="391">
        <v>0.64</v>
      </c>
      <c r="I49" s="391">
        <v>0.47</v>
      </c>
      <c r="J49" s="391">
        <v>0.41</v>
      </c>
      <c r="K49" s="391">
        <v>226.0</v>
      </c>
      <c r="L49" s="391">
        <v>48225.0</v>
      </c>
      <c r="M49" s="391">
        <v>0.0074</v>
      </c>
      <c r="N49" s="38">
        <v>1.1531</v>
      </c>
    </row>
    <row r="50">
      <c r="A50" s="389" t="s">
        <v>1967</v>
      </c>
      <c r="B50" s="389" t="s">
        <v>137</v>
      </c>
      <c r="C50" s="389" t="s">
        <v>11</v>
      </c>
      <c r="D50" s="389" t="s">
        <v>591</v>
      </c>
      <c r="E50" s="390" t="s">
        <v>39</v>
      </c>
      <c r="F50" s="391">
        <v>30695.0</v>
      </c>
      <c r="G50" s="391">
        <v>191.0</v>
      </c>
      <c r="H50" s="391">
        <v>0.62</v>
      </c>
      <c r="I50" s="391">
        <v>0.43</v>
      </c>
      <c r="J50" s="391">
        <v>0.35</v>
      </c>
      <c r="K50" s="391">
        <v>207.0</v>
      </c>
      <c r="L50" s="391">
        <v>48225.0</v>
      </c>
      <c r="M50" s="391">
        <v>0.0067</v>
      </c>
      <c r="N50" s="38">
        <v>1.0838</v>
      </c>
    </row>
    <row r="51">
      <c r="A51" s="389" t="s">
        <v>1967</v>
      </c>
      <c r="B51" s="389" t="s">
        <v>137</v>
      </c>
      <c r="C51" s="389" t="s">
        <v>11</v>
      </c>
      <c r="D51" s="389" t="s">
        <v>591</v>
      </c>
      <c r="E51" s="390" t="s">
        <v>27</v>
      </c>
      <c r="F51" s="391">
        <v>30695.0</v>
      </c>
      <c r="G51" s="391">
        <v>90.0</v>
      </c>
      <c r="H51" s="391">
        <v>0.29</v>
      </c>
      <c r="I51" s="391">
        <v>0.2</v>
      </c>
      <c r="J51" s="391">
        <v>0.25</v>
      </c>
      <c r="K51" s="391">
        <v>96.0</v>
      </c>
      <c r="L51" s="391">
        <v>48225.0</v>
      </c>
      <c r="M51" s="391">
        <v>0.0031</v>
      </c>
      <c r="N51" s="38">
        <v>1.0667</v>
      </c>
    </row>
    <row r="52">
      <c r="A52" s="389" t="s">
        <v>1967</v>
      </c>
      <c r="B52" s="389" t="s">
        <v>137</v>
      </c>
      <c r="C52" s="389" t="s">
        <v>11</v>
      </c>
      <c r="D52" s="389" t="s">
        <v>591</v>
      </c>
      <c r="E52" s="390" t="s">
        <v>38</v>
      </c>
      <c r="F52" s="391">
        <v>30695.0</v>
      </c>
      <c r="G52" s="391">
        <v>72.0</v>
      </c>
      <c r="H52" s="391">
        <v>0.23</v>
      </c>
      <c r="I52" s="391">
        <v>0.16</v>
      </c>
      <c r="J52" s="391">
        <v>0.17</v>
      </c>
      <c r="K52" s="391">
        <v>75.0</v>
      </c>
      <c r="L52" s="391">
        <v>48225.0</v>
      </c>
      <c r="M52" s="391">
        <v>0.0024</v>
      </c>
      <c r="N52" s="38">
        <v>1.0417</v>
      </c>
    </row>
    <row r="53">
      <c r="A53" s="389" t="s">
        <v>1967</v>
      </c>
      <c r="B53" s="389" t="s">
        <v>137</v>
      </c>
      <c r="C53" s="389" t="s">
        <v>11</v>
      </c>
      <c r="D53" s="389" t="s">
        <v>591</v>
      </c>
      <c r="E53" s="390" t="s">
        <v>368</v>
      </c>
      <c r="F53" s="391">
        <v>30695.0</v>
      </c>
      <c r="G53" s="391">
        <v>22.0</v>
      </c>
      <c r="H53" s="391">
        <v>0.07</v>
      </c>
      <c r="I53" s="391">
        <v>0.05</v>
      </c>
      <c r="J53" s="391">
        <v>0.03</v>
      </c>
      <c r="K53" s="391">
        <v>24.0</v>
      </c>
      <c r="L53" s="391">
        <v>48225.0</v>
      </c>
      <c r="M53" s="391">
        <v>8.0E-4</v>
      </c>
      <c r="N53" s="38">
        <v>1.0909</v>
      </c>
    </row>
    <row r="54">
      <c r="A54" s="389" t="s">
        <v>1967</v>
      </c>
      <c r="B54" s="389" t="s">
        <v>137</v>
      </c>
      <c r="C54" s="389" t="s">
        <v>11</v>
      </c>
      <c r="D54" s="389" t="s">
        <v>591</v>
      </c>
      <c r="E54" s="390" t="s">
        <v>163</v>
      </c>
      <c r="F54" s="391">
        <v>30695.0</v>
      </c>
      <c r="G54" s="391">
        <v>7.0</v>
      </c>
      <c r="H54" s="391">
        <v>0.02</v>
      </c>
      <c r="I54" s="391">
        <v>0.01</v>
      </c>
      <c r="J54" s="391">
        <v>0.02</v>
      </c>
      <c r="K54" s="391">
        <v>7.0</v>
      </c>
      <c r="L54" s="391">
        <v>48225.0</v>
      </c>
      <c r="M54" s="391">
        <v>2.0E-4</v>
      </c>
      <c r="N54" s="38">
        <v>1.0</v>
      </c>
    </row>
    <row r="55">
      <c r="A55" s="389" t="s">
        <v>1967</v>
      </c>
      <c r="B55" s="389" t="s">
        <v>137</v>
      </c>
      <c r="C55" s="389" t="s">
        <v>11</v>
      </c>
      <c r="D55" s="389" t="s">
        <v>591</v>
      </c>
      <c r="E55" s="390" t="s">
        <v>367</v>
      </c>
      <c r="F55" s="391">
        <v>30695.0</v>
      </c>
      <c r="G55" s="391">
        <v>3.0</v>
      </c>
      <c r="H55" s="391">
        <v>0.01</v>
      </c>
      <c r="I55" s="391">
        <v>0.01</v>
      </c>
      <c r="J55" s="391">
        <v>0.01</v>
      </c>
      <c r="K55" s="391">
        <v>3.0</v>
      </c>
      <c r="L55" s="391">
        <v>48225.0</v>
      </c>
      <c r="M55" s="391">
        <v>1.0E-4</v>
      </c>
      <c r="N55" s="38">
        <v>1.0</v>
      </c>
    </row>
    <row r="56">
      <c r="A56" s="389" t="s">
        <v>1967</v>
      </c>
      <c r="B56" s="389" t="s">
        <v>137</v>
      </c>
      <c r="C56" s="389" t="s">
        <v>11</v>
      </c>
      <c r="D56" s="389" t="s">
        <v>591</v>
      </c>
      <c r="E56" s="390" t="s">
        <v>371</v>
      </c>
      <c r="F56" s="391">
        <v>30695.0</v>
      </c>
      <c r="G56" s="391">
        <v>1.0</v>
      </c>
      <c r="H56" s="391">
        <v>0.0</v>
      </c>
      <c r="I56" s="391">
        <v>0.0</v>
      </c>
      <c r="J56" s="391">
        <v>0.0</v>
      </c>
      <c r="K56" s="391">
        <v>1.0</v>
      </c>
      <c r="L56" s="391">
        <v>48225.0</v>
      </c>
      <c r="M56" s="391">
        <v>0.0</v>
      </c>
      <c r="N56" s="38">
        <v>1.0</v>
      </c>
    </row>
    <row r="57">
      <c r="A57" s="389" t="s">
        <v>1967</v>
      </c>
      <c r="B57" s="389" t="s">
        <v>137</v>
      </c>
      <c r="C57" s="389" t="s">
        <v>11</v>
      </c>
      <c r="D57" s="389" t="s">
        <v>591</v>
      </c>
      <c r="E57" s="390" t="s">
        <v>372</v>
      </c>
      <c r="F57" s="391">
        <v>30695.0</v>
      </c>
      <c r="G57" s="391">
        <v>1.0</v>
      </c>
      <c r="H57" s="391">
        <v>0.0</v>
      </c>
      <c r="I57" s="391">
        <v>0.0</v>
      </c>
      <c r="J57" s="391">
        <v>0.0</v>
      </c>
      <c r="K57" s="391">
        <v>2.0</v>
      </c>
      <c r="L57" s="391">
        <v>48225.0</v>
      </c>
      <c r="M57" s="391">
        <v>1.0E-4</v>
      </c>
      <c r="N57" s="38">
        <v>2.0</v>
      </c>
    </row>
    <row r="58">
      <c r="A58" s="389" t="s">
        <v>1967</v>
      </c>
      <c r="B58" s="389" t="s">
        <v>137</v>
      </c>
      <c r="C58" s="389" t="s">
        <v>357</v>
      </c>
      <c r="D58" s="389" t="s">
        <v>357</v>
      </c>
      <c r="E58" s="390" t="s">
        <v>366</v>
      </c>
      <c r="F58" s="391">
        <v>131356.0</v>
      </c>
      <c r="G58" s="391">
        <v>114694.0</v>
      </c>
      <c r="H58" s="391">
        <v>87.32</v>
      </c>
      <c r="I58" s="391">
        <v>68.86</v>
      </c>
      <c r="J58" s="391">
        <v>68.42</v>
      </c>
      <c r="K58" s="391">
        <v>1.2465245E7</v>
      </c>
      <c r="L58" s="391">
        <v>1.8101689E7</v>
      </c>
      <c r="M58" s="391">
        <v>94.8967</v>
      </c>
      <c r="N58" s="38">
        <v>108.6826</v>
      </c>
    </row>
    <row r="59">
      <c r="A59" s="389" t="s">
        <v>1967</v>
      </c>
      <c r="B59" s="389" t="s">
        <v>137</v>
      </c>
      <c r="C59" s="389" t="s">
        <v>357</v>
      </c>
      <c r="D59" s="389" t="s">
        <v>357</v>
      </c>
      <c r="E59" s="390" t="s">
        <v>37</v>
      </c>
      <c r="F59" s="391">
        <v>131356.0</v>
      </c>
      <c r="G59" s="391">
        <v>19480.0</v>
      </c>
      <c r="H59" s="391">
        <v>14.83</v>
      </c>
      <c r="I59" s="391">
        <v>8.87</v>
      </c>
      <c r="J59" s="391">
        <v>6.95</v>
      </c>
      <c r="K59" s="391">
        <v>1605770.0</v>
      </c>
      <c r="L59" s="391">
        <v>1.8101689E7</v>
      </c>
      <c r="M59" s="391">
        <v>12.2246</v>
      </c>
      <c r="N59" s="38">
        <v>82.4317</v>
      </c>
    </row>
    <row r="60">
      <c r="A60" s="389" t="s">
        <v>1967</v>
      </c>
      <c r="B60" s="389" t="s">
        <v>137</v>
      </c>
      <c r="C60" s="389" t="s">
        <v>357</v>
      </c>
      <c r="D60" s="389" t="s">
        <v>357</v>
      </c>
      <c r="E60" s="390" t="s">
        <v>363</v>
      </c>
      <c r="F60" s="391">
        <v>131356.0</v>
      </c>
      <c r="G60" s="391">
        <v>18512.0</v>
      </c>
      <c r="H60" s="391">
        <v>14.09</v>
      </c>
      <c r="I60" s="391">
        <v>5.0</v>
      </c>
      <c r="J60" s="391">
        <v>4.57</v>
      </c>
      <c r="K60" s="391">
        <v>905340.0</v>
      </c>
      <c r="L60" s="391">
        <v>1.8101689E7</v>
      </c>
      <c r="M60" s="391">
        <v>6.8923</v>
      </c>
      <c r="N60" s="38">
        <v>48.9056</v>
      </c>
    </row>
    <row r="61">
      <c r="A61" s="389" t="s">
        <v>1967</v>
      </c>
      <c r="B61" s="389" t="s">
        <v>137</v>
      </c>
      <c r="C61" s="389" t="s">
        <v>357</v>
      </c>
      <c r="D61" s="389" t="s">
        <v>357</v>
      </c>
      <c r="E61" s="390" t="s">
        <v>35</v>
      </c>
      <c r="F61" s="391">
        <v>131356.0</v>
      </c>
      <c r="G61" s="391">
        <v>12129.0</v>
      </c>
      <c r="H61" s="391">
        <v>9.23</v>
      </c>
      <c r="I61" s="391">
        <v>4.96</v>
      </c>
      <c r="J61" s="391">
        <v>4.01</v>
      </c>
      <c r="K61" s="391">
        <v>897460.0</v>
      </c>
      <c r="L61" s="391">
        <v>1.8101689E7</v>
      </c>
      <c r="M61" s="391">
        <v>6.8323</v>
      </c>
      <c r="N61" s="38">
        <v>73.9929</v>
      </c>
    </row>
    <row r="62">
      <c r="A62" s="389" t="s">
        <v>1967</v>
      </c>
      <c r="B62" s="389" t="s">
        <v>137</v>
      </c>
      <c r="C62" s="389" t="s">
        <v>357</v>
      </c>
      <c r="D62" s="389" t="s">
        <v>357</v>
      </c>
      <c r="E62" s="390" t="s">
        <v>371</v>
      </c>
      <c r="F62" s="391">
        <v>131356.0</v>
      </c>
      <c r="G62" s="391">
        <v>29342.0</v>
      </c>
      <c r="H62" s="391">
        <v>22.34</v>
      </c>
      <c r="I62" s="391">
        <v>3.64</v>
      </c>
      <c r="J62" s="391">
        <v>7.02</v>
      </c>
      <c r="K62" s="391">
        <v>658570.0</v>
      </c>
      <c r="L62" s="391">
        <v>1.8101689E7</v>
      </c>
      <c r="M62" s="391">
        <v>5.0136</v>
      </c>
      <c r="N62" s="38">
        <v>22.4446</v>
      </c>
    </row>
    <row r="63">
      <c r="A63" s="389" t="s">
        <v>1967</v>
      </c>
      <c r="B63" s="389" t="s">
        <v>137</v>
      </c>
      <c r="C63" s="389" t="s">
        <v>357</v>
      </c>
      <c r="D63" s="389" t="s">
        <v>357</v>
      </c>
      <c r="E63" s="390" t="s">
        <v>369</v>
      </c>
      <c r="F63" s="391">
        <v>131356.0</v>
      </c>
      <c r="G63" s="391">
        <v>15490.0</v>
      </c>
      <c r="H63" s="391">
        <v>11.79</v>
      </c>
      <c r="I63" s="391">
        <v>2.42</v>
      </c>
      <c r="J63" s="391">
        <v>2.36</v>
      </c>
      <c r="K63" s="391">
        <v>438269.0</v>
      </c>
      <c r="L63" s="391">
        <v>1.8101689E7</v>
      </c>
      <c r="M63" s="391">
        <v>3.3365</v>
      </c>
      <c r="N63" s="38">
        <v>28.2937</v>
      </c>
    </row>
    <row r="64">
      <c r="A64" s="389" t="s">
        <v>1967</v>
      </c>
      <c r="B64" s="389" t="s">
        <v>137</v>
      </c>
      <c r="C64" s="389" t="s">
        <v>357</v>
      </c>
      <c r="D64" s="389" t="s">
        <v>357</v>
      </c>
      <c r="E64" s="390" t="s">
        <v>45</v>
      </c>
      <c r="F64" s="391">
        <v>131356.0</v>
      </c>
      <c r="G64" s="391">
        <v>3388.0</v>
      </c>
      <c r="H64" s="391">
        <v>2.58</v>
      </c>
      <c r="I64" s="391">
        <v>1.09</v>
      </c>
      <c r="J64" s="391">
        <v>1.23</v>
      </c>
      <c r="K64" s="391">
        <v>196500.0</v>
      </c>
      <c r="L64" s="391">
        <v>1.8101689E7</v>
      </c>
      <c r="M64" s="391">
        <v>1.4959</v>
      </c>
      <c r="N64" s="38">
        <v>57.9988</v>
      </c>
    </row>
    <row r="65">
      <c r="A65" s="389" t="s">
        <v>1967</v>
      </c>
      <c r="B65" s="389" t="s">
        <v>137</v>
      </c>
      <c r="C65" s="389" t="s">
        <v>357</v>
      </c>
      <c r="D65" s="389" t="s">
        <v>357</v>
      </c>
      <c r="E65" s="390" t="s">
        <v>284</v>
      </c>
      <c r="F65" s="391">
        <v>131356.0</v>
      </c>
      <c r="G65" s="391">
        <v>1693.0</v>
      </c>
      <c r="H65" s="391">
        <v>1.29</v>
      </c>
      <c r="I65" s="391">
        <v>1.03</v>
      </c>
      <c r="J65" s="391">
        <v>0.68</v>
      </c>
      <c r="K65" s="391">
        <v>186975.0</v>
      </c>
      <c r="L65" s="391">
        <v>1.8101689E7</v>
      </c>
      <c r="M65" s="391">
        <v>1.4234</v>
      </c>
      <c r="N65" s="38">
        <v>110.44</v>
      </c>
    </row>
    <row r="66">
      <c r="A66" s="389" t="s">
        <v>1967</v>
      </c>
      <c r="B66" s="389" t="s">
        <v>137</v>
      </c>
      <c r="C66" s="389" t="s">
        <v>357</v>
      </c>
      <c r="D66" s="389" t="s">
        <v>357</v>
      </c>
      <c r="E66" s="390" t="s">
        <v>282</v>
      </c>
      <c r="F66" s="391">
        <v>131356.0</v>
      </c>
      <c r="G66" s="391">
        <v>1605.0</v>
      </c>
      <c r="H66" s="391">
        <v>1.22</v>
      </c>
      <c r="I66" s="391">
        <v>0.96</v>
      </c>
      <c r="J66" s="391">
        <v>0.69</v>
      </c>
      <c r="K66" s="391">
        <v>173050.0</v>
      </c>
      <c r="L66" s="391">
        <v>1.8101689E7</v>
      </c>
      <c r="M66" s="391">
        <v>1.3174</v>
      </c>
      <c r="N66" s="38">
        <v>107.8193</v>
      </c>
    </row>
    <row r="67">
      <c r="A67" s="389" t="s">
        <v>1967</v>
      </c>
      <c r="B67" s="389" t="s">
        <v>137</v>
      </c>
      <c r="C67" s="389" t="s">
        <v>357</v>
      </c>
      <c r="D67" s="389" t="s">
        <v>357</v>
      </c>
      <c r="E67" s="390" t="s">
        <v>283</v>
      </c>
      <c r="F67" s="391">
        <v>131356.0</v>
      </c>
      <c r="G67" s="391">
        <v>1514.0</v>
      </c>
      <c r="H67" s="391">
        <v>1.15</v>
      </c>
      <c r="I67" s="391">
        <v>0.88</v>
      </c>
      <c r="J67" s="391">
        <v>0.64</v>
      </c>
      <c r="K67" s="391">
        <v>159200.0</v>
      </c>
      <c r="L67" s="391">
        <v>1.8101689E7</v>
      </c>
      <c r="M67" s="391">
        <v>1.212</v>
      </c>
      <c r="N67" s="38">
        <v>105.1519</v>
      </c>
    </row>
    <row r="68">
      <c r="A68" s="389" t="s">
        <v>1967</v>
      </c>
      <c r="B68" s="389" t="s">
        <v>137</v>
      </c>
      <c r="C68" s="389" t="s">
        <v>357</v>
      </c>
      <c r="D68" s="389" t="s">
        <v>357</v>
      </c>
      <c r="E68" s="390" t="s">
        <v>370</v>
      </c>
      <c r="F68" s="391">
        <v>131356.0</v>
      </c>
      <c r="G68" s="391">
        <v>3905.0</v>
      </c>
      <c r="H68" s="391">
        <v>2.97</v>
      </c>
      <c r="I68" s="391">
        <v>0.52</v>
      </c>
      <c r="J68" s="391">
        <v>1.06</v>
      </c>
      <c r="K68" s="391">
        <v>94400.0</v>
      </c>
      <c r="L68" s="391">
        <v>1.8101689E7</v>
      </c>
      <c r="M68" s="391">
        <v>0.7187</v>
      </c>
      <c r="N68" s="38">
        <v>24.1741</v>
      </c>
    </row>
    <row r="69">
      <c r="A69" s="389" t="s">
        <v>1967</v>
      </c>
      <c r="B69" s="389" t="s">
        <v>137</v>
      </c>
      <c r="C69" s="389" t="s">
        <v>357</v>
      </c>
      <c r="D69" s="389" t="s">
        <v>357</v>
      </c>
      <c r="E69" s="390" t="s">
        <v>39</v>
      </c>
      <c r="F69" s="391">
        <v>131356.0</v>
      </c>
      <c r="G69" s="391">
        <v>4848.0</v>
      </c>
      <c r="H69" s="391">
        <v>3.69</v>
      </c>
      <c r="I69" s="391">
        <v>0.37</v>
      </c>
      <c r="J69" s="391">
        <v>0.82</v>
      </c>
      <c r="K69" s="391">
        <v>66730.0</v>
      </c>
      <c r="L69" s="391">
        <v>1.8101689E7</v>
      </c>
      <c r="M69" s="391">
        <v>0.508</v>
      </c>
      <c r="N69" s="38">
        <v>13.7644</v>
      </c>
    </row>
    <row r="70">
      <c r="A70" s="389" t="s">
        <v>1967</v>
      </c>
      <c r="B70" s="389" t="s">
        <v>137</v>
      </c>
      <c r="C70" s="389" t="s">
        <v>357</v>
      </c>
      <c r="D70" s="389" t="s">
        <v>357</v>
      </c>
      <c r="E70" s="390" t="s">
        <v>38</v>
      </c>
      <c r="F70" s="391">
        <v>131356.0</v>
      </c>
      <c r="G70" s="391">
        <v>367.0</v>
      </c>
      <c r="H70" s="391">
        <v>0.28</v>
      </c>
      <c r="I70" s="391">
        <v>0.36</v>
      </c>
      <c r="J70" s="391">
        <v>0.15</v>
      </c>
      <c r="K70" s="391">
        <v>64575.0</v>
      </c>
      <c r="L70" s="391">
        <v>1.8101689E7</v>
      </c>
      <c r="M70" s="391">
        <v>0.4916</v>
      </c>
      <c r="N70" s="38">
        <v>175.9537</v>
      </c>
    </row>
    <row r="71">
      <c r="A71" s="389" t="s">
        <v>1967</v>
      </c>
      <c r="B71" s="389" t="s">
        <v>137</v>
      </c>
      <c r="C71" s="389" t="s">
        <v>357</v>
      </c>
      <c r="D71" s="389" t="s">
        <v>357</v>
      </c>
      <c r="E71" s="390" t="s">
        <v>365</v>
      </c>
      <c r="F71" s="391">
        <v>131356.0</v>
      </c>
      <c r="G71" s="391">
        <v>1096.0</v>
      </c>
      <c r="H71" s="391">
        <v>0.83</v>
      </c>
      <c r="I71" s="391">
        <v>0.27</v>
      </c>
      <c r="J71" s="391">
        <v>0.35</v>
      </c>
      <c r="K71" s="391">
        <v>48700.0</v>
      </c>
      <c r="L71" s="391">
        <v>1.8101689E7</v>
      </c>
      <c r="M71" s="391">
        <v>0.3707</v>
      </c>
      <c r="N71" s="38">
        <v>44.4343</v>
      </c>
    </row>
    <row r="72">
      <c r="A72" s="389" t="s">
        <v>1967</v>
      </c>
      <c r="B72" s="389" t="s">
        <v>137</v>
      </c>
      <c r="C72" s="389" t="s">
        <v>357</v>
      </c>
      <c r="D72" s="389" t="s">
        <v>357</v>
      </c>
      <c r="E72" s="390" t="s">
        <v>368</v>
      </c>
      <c r="F72" s="391">
        <v>131356.0</v>
      </c>
      <c r="G72" s="391">
        <v>1604.0</v>
      </c>
      <c r="H72" s="391">
        <v>1.22</v>
      </c>
      <c r="I72" s="391">
        <v>0.27</v>
      </c>
      <c r="J72" s="391">
        <v>0.46</v>
      </c>
      <c r="K72" s="391">
        <v>49100.0</v>
      </c>
      <c r="L72" s="391">
        <v>1.8101689E7</v>
      </c>
      <c r="M72" s="391">
        <v>0.3738</v>
      </c>
      <c r="N72" s="38">
        <v>30.611</v>
      </c>
    </row>
    <row r="73">
      <c r="A73" s="389" t="s">
        <v>1967</v>
      </c>
      <c r="B73" s="389" t="s">
        <v>137</v>
      </c>
      <c r="C73" s="389" t="s">
        <v>357</v>
      </c>
      <c r="D73" s="389" t="s">
        <v>357</v>
      </c>
      <c r="E73" s="390" t="s">
        <v>27</v>
      </c>
      <c r="F73" s="391">
        <v>131356.0</v>
      </c>
      <c r="G73" s="391">
        <v>383.0</v>
      </c>
      <c r="H73" s="391">
        <v>0.29</v>
      </c>
      <c r="I73" s="391">
        <v>0.22</v>
      </c>
      <c r="J73" s="391">
        <v>0.16</v>
      </c>
      <c r="K73" s="391">
        <v>40220.0</v>
      </c>
      <c r="L73" s="391">
        <v>1.8101689E7</v>
      </c>
      <c r="M73" s="391">
        <v>0.3062</v>
      </c>
      <c r="N73" s="38">
        <v>105.0131</v>
      </c>
    </row>
    <row r="74">
      <c r="A74" s="389" t="s">
        <v>1967</v>
      </c>
      <c r="B74" s="389" t="s">
        <v>137</v>
      </c>
      <c r="C74" s="389" t="s">
        <v>357</v>
      </c>
      <c r="D74" s="389" t="s">
        <v>357</v>
      </c>
      <c r="E74" s="390" t="s">
        <v>367</v>
      </c>
      <c r="F74" s="391">
        <v>131356.0</v>
      </c>
      <c r="G74" s="391">
        <v>1170.0</v>
      </c>
      <c r="H74" s="391">
        <v>0.89</v>
      </c>
      <c r="I74" s="391">
        <v>0.1</v>
      </c>
      <c r="J74" s="391">
        <v>0.21</v>
      </c>
      <c r="K74" s="391">
        <v>18835.0</v>
      </c>
      <c r="L74" s="391">
        <v>1.8101689E7</v>
      </c>
      <c r="M74" s="391">
        <v>0.1434</v>
      </c>
      <c r="N74" s="38">
        <v>16.0983</v>
      </c>
    </row>
    <row r="75">
      <c r="A75" s="389" t="s">
        <v>1967</v>
      </c>
      <c r="B75" s="389" t="s">
        <v>137</v>
      </c>
      <c r="C75" s="389" t="s">
        <v>357</v>
      </c>
      <c r="D75" s="389" t="s">
        <v>357</v>
      </c>
      <c r="E75" s="390" t="s">
        <v>108</v>
      </c>
      <c r="F75" s="391">
        <v>131356.0</v>
      </c>
      <c r="G75" s="391">
        <v>185.0</v>
      </c>
      <c r="H75" s="391">
        <v>0.14</v>
      </c>
      <c r="I75" s="391">
        <v>0.08</v>
      </c>
      <c r="J75" s="391">
        <v>0.05</v>
      </c>
      <c r="K75" s="391">
        <v>14125.0</v>
      </c>
      <c r="L75" s="391">
        <v>1.8101689E7</v>
      </c>
      <c r="M75" s="391">
        <v>0.1075</v>
      </c>
      <c r="N75" s="38">
        <v>76.3514</v>
      </c>
    </row>
    <row r="76">
      <c r="A76" s="389" t="s">
        <v>1967</v>
      </c>
      <c r="B76" s="389" t="s">
        <v>137</v>
      </c>
      <c r="C76" s="389" t="s">
        <v>357</v>
      </c>
      <c r="D76" s="389" t="s">
        <v>357</v>
      </c>
      <c r="E76" s="390" t="s">
        <v>163</v>
      </c>
      <c r="F76" s="391">
        <v>131356.0</v>
      </c>
      <c r="G76" s="391">
        <v>384.0</v>
      </c>
      <c r="H76" s="391">
        <v>0.29</v>
      </c>
      <c r="I76" s="391">
        <v>0.06</v>
      </c>
      <c r="J76" s="391">
        <v>0.1</v>
      </c>
      <c r="K76" s="391">
        <v>10350.0</v>
      </c>
      <c r="L76" s="391">
        <v>1.8101689E7</v>
      </c>
      <c r="M76" s="391">
        <v>0.0788</v>
      </c>
      <c r="N76" s="38">
        <v>26.9531</v>
      </c>
    </row>
    <row r="77">
      <c r="A77" s="389" t="s">
        <v>1967</v>
      </c>
      <c r="B77" s="389" t="s">
        <v>137</v>
      </c>
      <c r="C77" s="389" t="s">
        <v>357</v>
      </c>
      <c r="D77" s="389" t="s">
        <v>357</v>
      </c>
      <c r="E77" s="390" t="s">
        <v>30</v>
      </c>
      <c r="F77" s="391">
        <v>131356.0</v>
      </c>
      <c r="G77" s="391">
        <v>306.0</v>
      </c>
      <c r="H77" s="391">
        <v>0.23</v>
      </c>
      <c r="I77" s="391">
        <v>0.05</v>
      </c>
      <c r="J77" s="391">
        <v>0.07</v>
      </c>
      <c r="K77" s="391">
        <v>8275.0</v>
      </c>
      <c r="L77" s="391">
        <v>1.8101689E7</v>
      </c>
      <c r="M77" s="391">
        <v>0.063</v>
      </c>
      <c r="N77" s="38">
        <v>27.0425</v>
      </c>
    </row>
    <row r="78">
      <c r="A78" s="389" t="s">
        <v>1967</v>
      </c>
      <c r="B78" s="389" t="s">
        <v>137</v>
      </c>
      <c r="C78" s="389" t="s">
        <v>6</v>
      </c>
      <c r="D78" s="389" t="s">
        <v>591</v>
      </c>
      <c r="E78" s="390" t="s">
        <v>369</v>
      </c>
      <c r="F78" s="391">
        <v>59159.0</v>
      </c>
      <c r="G78" s="391">
        <v>34223.0</v>
      </c>
      <c r="H78" s="391">
        <v>57.85</v>
      </c>
      <c r="I78" s="391">
        <v>46.49</v>
      </c>
      <c r="J78" s="391">
        <v>48.81</v>
      </c>
      <c r="K78" s="391">
        <v>51838.0</v>
      </c>
      <c r="L78" s="391">
        <v>111504.0</v>
      </c>
      <c r="M78" s="391">
        <v>0.8762</v>
      </c>
      <c r="N78" s="38">
        <v>1.5147</v>
      </c>
    </row>
    <row r="79">
      <c r="A79" s="389" t="s">
        <v>1967</v>
      </c>
      <c r="B79" s="389" t="s">
        <v>137</v>
      </c>
      <c r="C79" s="389" t="s">
        <v>6</v>
      </c>
      <c r="D79" s="389" t="s">
        <v>591</v>
      </c>
      <c r="E79" s="390" t="s">
        <v>371</v>
      </c>
      <c r="F79" s="391">
        <v>59159.0</v>
      </c>
      <c r="G79" s="391">
        <v>19072.0</v>
      </c>
      <c r="H79" s="391">
        <v>32.24</v>
      </c>
      <c r="I79" s="391">
        <v>31.02</v>
      </c>
      <c r="J79" s="391">
        <v>24.48</v>
      </c>
      <c r="K79" s="391">
        <v>34583.0</v>
      </c>
      <c r="L79" s="391">
        <v>111504.0</v>
      </c>
      <c r="M79" s="391">
        <v>0.5846</v>
      </c>
      <c r="N79" s="38">
        <v>1.8133</v>
      </c>
    </row>
    <row r="80">
      <c r="A80" s="389" t="s">
        <v>1967</v>
      </c>
      <c r="B80" s="389" t="s">
        <v>137</v>
      </c>
      <c r="C80" s="389" t="s">
        <v>6</v>
      </c>
      <c r="D80" s="389" t="s">
        <v>591</v>
      </c>
      <c r="E80" s="390" t="s">
        <v>39</v>
      </c>
      <c r="F80" s="391">
        <v>59159.0</v>
      </c>
      <c r="G80" s="391">
        <v>12098.0</v>
      </c>
      <c r="H80" s="391">
        <v>20.45</v>
      </c>
      <c r="I80" s="391">
        <v>12.27</v>
      </c>
      <c r="J80" s="391">
        <v>15.15</v>
      </c>
      <c r="K80" s="391">
        <v>13677.0</v>
      </c>
      <c r="L80" s="391">
        <v>111504.0</v>
      </c>
      <c r="M80" s="391">
        <v>0.2312</v>
      </c>
      <c r="N80" s="38">
        <v>1.1305</v>
      </c>
    </row>
    <row r="81">
      <c r="A81" s="389" t="s">
        <v>1967</v>
      </c>
      <c r="B81" s="389" t="s">
        <v>137</v>
      </c>
      <c r="C81" s="389" t="s">
        <v>6</v>
      </c>
      <c r="D81" s="389" t="s">
        <v>591</v>
      </c>
      <c r="E81" s="390" t="s">
        <v>44</v>
      </c>
      <c r="F81" s="391">
        <v>59159.0</v>
      </c>
      <c r="G81" s="391">
        <v>3958.0</v>
      </c>
      <c r="H81" s="391">
        <v>6.69</v>
      </c>
      <c r="I81" s="391">
        <v>3.92</v>
      </c>
      <c r="J81" s="391">
        <v>4.43</v>
      </c>
      <c r="K81" s="391">
        <v>4373.0</v>
      </c>
      <c r="L81" s="391">
        <v>111504.0</v>
      </c>
      <c r="M81" s="391">
        <v>0.0739</v>
      </c>
      <c r="N81" s="38">
        <v>1.1049</v>
      </c>
    </row>
    <row r="82">
      <c r="A82" s="389" t="s">
        <v>1967</v>
      </c>
      <c r="B82" s="389" t="s">
        <v>137</v>
      </c>
      <c r="C82" s="389" t="s">
        <v>6</v>
      </c>
      <c r="D82" s="389" t="s">
        <v>591</v>
      </c>
      <c r="E82" s="390" t="s">
        <v>37</v>
      </c>
      <c r="F82" s="391">
        <v>59159.0</v>
      </c>
      <c r="G82" s="391">
        <v>2691.0</v>
      </c>
      <c r="H82" s="391">
        <v>4.55</v>
      </c>
      <c r="I82" s="391">
        <v>2.65</v>
      </c>
      <c r="J82" s="391">
        <v>3.01</v>
      </c>
      <c r="K82" s="391">
        <v>2960.0</v>
      </c>
      <c r="L82" s="391">
        <v>111504.0</v>
      </c>
      <c r="M82" s="391">
        <v>0.05</v>
      </c>
      <c r="N82" s="38">
        <v>1.1</v>
      </c>
    </row>
    <row r="83">
      <c r="A83" s="389" t="s">
        <v>1967</v>
      </c>
      <c r="B83" s="389" t="s">
        <v>137</v>
      </c>
      <c r="C83" s="389" t="s">
        <v>6</v>
      </c>
      <c r="D83" s="389" t="s">
        <v>591</v>
      </c>
      <c r="E83" s="390" t="s">
        <v>370</v>
      </c>
      <c r="F83" s="391">
        <v>59159.0</v>
      </c>
      <c r="G83" s="391">
        <v>1623.0</v>
      </c>
      <c r="H83" s="391">
        <v>2.74</v>
      </c>
      <c r="I83" s="391">
        <v>1.76</v>
      </c>
      <c r="J83" s="391">
        <v>1.9</v>
      </c>
      <c r="K83" s="391">
        <v>1966.0</v>
      </c>
      <c r="L83" s="391">
        <v>111504.0</v>
      </c>
      <c r="M83" s="391">
        <v>0.0332</v>
      </c>
      <c r="N83" s="38">
        <v>1.2113</v>
      </c>
    </row>
    <row r="84">
      <c r="A84" s="389" t="s">
        <v>1967</v>
      </c>
      <c r="B84" s="389" t="s">
        <v>137</v>
      </c>
      <c r="C84" s="389" t="s">
        <v>6</v>
      </c>
      <c r="D84" s="389" t="s">
        <v>591</v>
      </c>
      <c r="E84" s="390" t="s">
        <v>368</v>
      </c>
      <c r="F84" s="391">
        <v>59159.0</v>
      </c>
      <c r="G84" s="391">
        <v>654.0</v>
      </c>
      <c r="H84" s="391">
        <v>1.11</v>
      </c>
      <c r="I84" s="391">
        <v>0.67</v>
      </c>
      <c r="J84" s="391">
        <v>0.84</v>
      </c>
      <c r="K84" s="391">
        <v>750.0</v>
      </c>
      <c r="L84" s="391">
        <v>111504.0</v>
      </c>
      <c r="M84" s="391">
        <v>0.0127</v>
      </c>
      <c r="N84" s="38">
        <v>1.1468</v>
      </c>
    </row>
    <row r="85">
      <c r="A85" s="389" t="s">
        <v>1967</v>
      </c>
      <c r="B85" s="389" t="s">
        <v>137</v>
      </c>
      <c r="C85" s="389" t="s">
        <v>6</v>
      </c>
      <c r="D85" s="389" t="s">
        <v>591</v>
      </c>
      <c r="E85" s="390" t="s">
        <v>38</v>
      </c>
      <c r="F85" s="391">
        <v>59159.0</v>
      </c>
      <c r="G85" s="391">
        <v>361.0</v>
      </c>
      <c r="H85" s="391">
        <v>0.61</v>
      </c>
      <c r="I85" s="391">
        <v>0.34</v>
      </c>
      <c r="J85" s="391">
        <v>0.38</v>
      </c>
      <c r="K85" s="391">
        <v>375.0</v>
      </c>
      <c r="L85" s="391">
        <v>111504.0</v>
      </c>
      <c r="M85" s="391">
        <v>0.0063</v>
      </c>
      <c r="N85" s="38">
        <v>1.0388</v>
      </c>
    </row>
    <row r="86">
      <c r="A86" s="389" t="s">
        <v>1967</v>
      </c>
      <c r="B86" s="389" t="s">
        <v>137</v>
      </c>
      <c r="C86" s="389" t="s">
        <v>6</v>
      </c>
      <c r="D86" s="389" t="s">
        <v>591</v>
      </c>
      <c r="E86" s="390" t="s">
        <v>367</v>
      </c>
      <c r="F86" s="391">
        <v>59159.0</v>
      </c>
      <c r="G86" s="391">
        <v>223.0</v>
      </c>
      <c r="H86" s="391">
        <v>0.38</v>
      </c>
      <c r="I86" s="391">
        <v>0.24</v>
      </c>
      <c r="J86" s="391">
        <v>0.22</v>
      </c>
      <c r="K86" s="391">
        <v>263.0</v>
      </c>
      <c r="L86" s="391">
        <v>111504.0</v>
      </c>
      <c r="M86" s="391">
        <v>0.0044</v>
      </c>
      <c r="N86" s="38">
        <v>1.1794</v>
      </c>
    </row>
    <row r="87">
      <c r="A87" s="389" t="s">
        <v>1967</v>
      </c>
      <c r="B87" s="389" t="s">
        <v>137</v>
      </c>
      <c r="C87" s="389" t="s">
        <v>6</v>
      </c>
      <c r="D87" s="389" t="s">
        <v>591</v>
      </c>
      <c r="E87" s="390" t="s">
        <v>45</v>
      </c>
      <c r="F87" s="391">
        <v>59159.0</v>
      </c>
      <c r="G87" s="391">
        <v>220.0</v>
      </c>
      <c r="H87" s="391">
        <v>0.37</v>
      </c>
      <c r="I87" s="391">
        <v>0.2</v>
      </c>
      <c r="J87" s="391">
        <v>0.27</v>
      </c>
      <c r="K87" s="391">
        <v>225.0</v>
      </c>
      <c r="L87" s="391">
        <v>111504.0</v>
      </c>
      <c r="M87" s="391">
        <v>0.0038</v>
      </c>
      <c r="N87" s="38">
        <v>1.0227</v>
      </c>
    </row>
    <row r="88">
      <c r="A88" s="389" t="s">
        <v>1967</v>
      </c>
      <c r="B88" s="389" t="s">
        <v>137</v>
      </c>
      <c r="C88" s="389" t="s">
        <v>6</v>
      </c>
      <c r="D88" s="389" t="s">
        <v>591</v>
      </c>
      <c r="E88" s="390" t="s">
        <v>365</v>
      </c>
      <c r="F88" s="391">
        <v>59159.0</v>
      </c>
      <c r="G88" s="391">
        <v>165.0</v>
      </c>
      <c r="H88" s="391">
        <v>0.28</v>
      </c>
      <c r="I88" s="391">
        <v>0.16</v>
      </c>
      <c r="J88" s="391">
        <v>0.18</v>
      </c>
      <c r="K88" s="391">
        <v>174.0</v>
      </c>
      <c r="L88" s="391">
        <v>111504.0</v>
      </c>
      <c r="M88" s="391">
        <v>0.0029</v>
      </c>
      <c r="N88" s="38">
        <v>1.0545</v>
      </c>
    </row>
    <row r="89">
      <c r="A89" s="389" t="s">
        <v>1967</v>
      </c>
      <c r="B89" s="389" t="s">
        <v>137</v>
      </c>
      <c r="C89" s="389" t="s">
        <v>6</v>
      </c>
      <c r="D89" s="389" t="s">
        <v>591</v>
      </c>
      <c r="E89" s="390" t="s">
        <v>163</v>
      </c>
      <c r="F89" s="391">
        <v>59159.0</v>
      </c>
      <c r="G89" s="391">
        <v>127.0</v>
      </c>
      <c r="H89" s="391">
        <v>0.21</v>
      </c>
      <c r="I89" s="391">
        <v>0.12</v>
      </c>
      <c r="J89" s="391">
        <v>0.15</v>
      </c>
      <c r="K89" s="391">
        <v>134.0</v>
      </c>
      <c r="L89" s="391">
        <v>111504.0</v>
      </c>
      <c r="M89" s="391">
        <v>0.0023</v>
      </c>
      <c r="N89" s="38">
        <v>1.0551</v>
      </c>
    </row>
    <row r="90">
      <c r="A90" s="389" t="s">
        <v>1967</v>
      </c>
      <c r="B90" s="389" t="s">
        <v>137</v>
      </c>
      <c r="C90" s="389" t="s">
        <v>6</v>
      </c>
      <c r="D90" s="389" t="s">
        <v>591</v>
      </c>
      <c r="E90" s="390" t="s">
        <v>30</v>
      </c>
      <c r="F90" s="391">
        <v>59159.0</v>
      </c>
      <c r="G90" s="391">
        <v>96.0</v>
      </c>
      <c r="H90" s="391">
        <v>0.16</v>
      </c>
      <c r="I90" s="391">
        <v>0.09</v>
      </c>
      <c r="J90" s="391">
        <v>0.1</v>
      </c>
      <c r="K90" s="391">
        <v>96.0</v>
      </c>
      <c r="L90" s="391">
        <v>111504.0</v>
      </c>
      <c r="M90" s="391">
        <v>0.0016</v>
      </c>
      <c r="N90" s="38">
        <v>1.0</v>
      </c>
    </row>
    <row r="91">
      <c r="A91" s="389" t="s">
        <v>1967</v>
      </c>
      <c r="B91" s="389" t="s">
        <v>137</v>
      </c>
      <c r="C91" s="389" t="s">
        <v>6</v>
      </c>
      <c r="D91" s="389" t="s">
        <v>591</v>
      </c>
      <c r="E91" s="390" t="s">
        <v>108</v>
      </c>
      <c r="F91" s="391">
        <v>59159.0</v>
      </c>
      <c r="G91" s="391">
        <v>62.0</v>
      </c>
      <c r="H91" s="391">
        <v>0.1</v>
      </c>
      <c r="I91" s="391">
        <v>0.06</v>
      </c>
      <c r="J91" s="391">
        <v>0.05</v>
      </c>
      <c r="K91" s="391">
        <v>72.0</v>
      </c>
      <c r="L91" s="391">
        <v>111504.0</v>
      </c>
      <c r="M91" s="391">
        <v>0.0012</v>
      </c>
      <c r="N91" s="38">
        <v>1.1613</v>
      </c>
    </row>
    <row r="92">
      <c r="A92" s="389" t="s">
        <v>1967</v>
      </c>
      <c r="B92" s="389" t="s">
        <v>137</v>
      </c>
      <c r="C92" s="389" t="s">
        <v>6</v>
      </c>
      <c r="D92" s="389" t="s">
        <v>591</v>
      </c>
      <c r="E92" s="390" t="s">
        <v>27</v>
      </c>
      <c r="F92" s="391">
        <v>59159.0</v>
      </c>
      <c r="G92" s="391">
        <v>13.0</v>
      </c>
      <c r="H92" s="391">
        <v>0.02</v>
      </c>
      <c r="I92" s="391">
        <v>0.01</v>
      </c>
      <c r="J92" s="391">
        <v>0.02</v>
      </c>
      <c r="K92" s="391">
        <v>15.0</v>
      </c>
      <c r="L92" s="391">
        <v>111504.0</v>
      </c>
      <c r="M92" s="391">
        <v>3.0E-4</v>
      </c>
      <c r="N92" s="38">
        <v>1.1538</v>
      </c>
    </row>
    <row r="93">
      <c r="A93" s="389" t="s">
        <v>1967</v>
      </c>
      <c r="B93" s="389" t="s">
        <v>137</v>
      </c>
      <c r="C93" s="389" t="s">
        <v>6</v>
      </c>
      <c r="D93" s="389" t="s">
        <v>591</v>
      </c>
      <c r="E93" s="390" t="s">
        <v>284</v>
      </c>
      <c r="F93" s="391">
        <v>59159.0</v>
      </c>
      <c r="G93" s="391">
        <v>1.0</v>
      </c>
      <c r="H93" s="391">
        <v>0.0</v>
      </c>
      <c r="I93" s="391">
        <v>0.0</v>
      </c>
      <c r="J93" s="391">
        <v>0.0</v>
      </c>
      <c r="K93" s="391">
        <v>2.0</v>
      </c>
      <c r="L93" s="391">
        <v>111504.0</v>
      </c>
      <c r="M93" s="391">
        <v>0.0</v>
      </c>
      <c r="N93" s="38">
        <v>2.0</v>
      </c>
    </row>
    <row r="94">
      <c r="A94" s="389" t="s">
        <v>1967</v>
      </c>
      <c r="B94" s="389" t="s">
        <v>137</v>
      </c>
      <c r="C94" s="389" t="s">
        <v>6</v>
      </c>
      <c r="D94" s="389" t="s">
        <v>591</v>
      </c>
      <c r="E94" s="390" t="s">
        <v>283</v>
      </c>
      <c r="F94" s="391">
        <v>59159.0</v>
      </c>
      <c r="G94" s="391">
        <v>1.0</v>
      </c>
      <c r="H94" s="391">
        <v>0.0</v>
      </c>
      <c r="I94" s="391">
        <v>0.0</v>
      </c>
      <c r="J94" s="391">
        <v>0.0</v>
      </c>
      <c r="K94" s="391">
        <v>1.0</v>
      </c>
      <c r="L94" s="391">
        <v>111504.0</v>
      </c>
      <c r="M94" s="391">
        <v>0.0</v>
      </c>
      <c r="N94" s="38">
        <v>1.0</v>
      </c>
    </row>
    <row r="95">
      <c r="A95" s="389" t="s">
        <v>1967</v>
      </c>
      <c r="B95" s="389" t="s">
        <v>137</v>
      </c>
      <c r="C95" s="389" t="s">
        <v>10</v>
      </c>
      <c r="D95" s="389" t="s">
        <v>591</v>
      </c>
      <c r="E95" s="390" t="s">
        <v>366</v>
      </c>
      <c r="F95" s="391">
        <v>64414.0</v>
      </c>
      <c r="G95" s="391">
        <v>41615.0</v>
      </c>
      <c r="H95" s="391">
        <v>64.61</v>
      </c>
      <c r="I95" s="391">
        <v>55.49</v>
      </c>
      <c r="J95" s="391">
        <v>52.52</v>
      </c>
      <c r="K95" s="391">
        <v>85321.0</v>
      </c>
      <c r="L95" s="391">
        <v>153764.0</v>
      </c>
      <c r="M95" s="391">
        <v>1.3246</v>
      </c>
      <c r="N95" s="38">
        <v>2.0502</v>
      </c>
    </row>
    <row r="96">
      <c r="A96" s="389" t="s">
        <v>1967</v>
      </c>
      <c r="B96" s="389" t="s">
        <v>137</v>
      </c>
      <c r="C96" s="389" t="s">
        <v>10</v>
      </c>
      <c r="D96" s="389" t="s">
        <v>591</v>
      </c>
      <c r="E96" s="390" t="s">
        <v>363</v>
      </c>
      <c r="F96" s="391">
        <v>64414.0</v>
      </c>
      <c r="G96" s="391">
        <v>10018.0</v>
      </c>
      <c r="H96" s="391">
        <v>15.55</v>
      </c>
      <c r="I96" s="391">
        <v>13.6</v>
      </c>
      <c r="J96" s="391">
        <v>9.61</v>
      </c>
      <c r="K96" s="391">
        <v>20918.0</v>
      </c>
      <c r="L96" s="391">
        <v>153764.0</v>
      </c>
      <c r="M96" s="391">
        <v>0.3247</v>
      </c>
      <c r="N96" s="38">
        <v>2.088</v>
      </c>
    </row>
    <row r="97">
      <c r="A97" s="389" t="s">
        <v>1967</v>
      </c>
      <c r="B97" s="389" t="s">
        <v>137</v>
      </c>
      <c r="C97" s="389" t="s">
        <v>10</v>
      </c>
      <c r="D97" s="389" t="s">
        <v>591</v>
      </c>
      <c r="E97" s="390" t="s">
        <v>37</v>
      </c>
      <c r="F97" s="391">
        <v>64414.0</v>
      </c>
      <c r="G97" s="391">
        <v>11532.0</v>
      </c>
      <c r="H97" s="391">
        <v>17.9</v>
      </c>
      <c r="I97" s="391">
        <v>9.87</v>
      </c>
      <c r="J97" s="391">
        <v>11.41</v>
      </c>
      <c r="K97" s="391">
        <v>15171.0</v>
      </c>
      <c r="L97" s="391">
        <v>153764.0</v>
      </c>
      <c r="M97" s="391">
        <v>0.2355</v>
      </c>
      <c r="N97" s="38">
        <v>1.3156</v>
      </c>
    </row>
    <row r="98">
      <c r="A98" s="389" t="s">
        <v>1967</v>
      </c>
      <c r="B98" s="389" t="s">
        <v>137</v>
      </c>
      <c r="C98" s="389" t="s">
        <v>10</v>
      </c>
      <c r="D98" s="389" t="s">
        <v>591</v>
      </c>
      <c r="E98" s="390" t="s">
        <v>35</v>
      </c>
      <c r="F98" s="391">
        <v>64414.0</v>
      </c>
      <c r="G98" s="391">
        <v>2540.0</v>
      </c>
      <c r="H98" s="391">
        <v>3.94</v>
      </c>
      <c r="I98" s="391">
        <v>3.95</v>
      </c>
      <c r="J98" s="391">
        <v>2.85</v>
      </c>
      <c r="K98" s="391">
        <v>6072.0</v>
      </c>
      <c r="L98" s="391">
        <v>153764.0</v>
      </c>
      <c r="M98" s="391">
        <v>0.0943</v>
      </c>
      <c r="N98" s="38">
        <v>2.3906</v>
      </c>
    </row>
    <row r="99">
      <c r="A99" s="389" t="s">
        <v>1967</v>
      </c>
      <c r="B99" s="389" t="s">
        <v>137</v>
      </c>
      <c r="C99" s="389" t="s">
        <v>10</v>
      </c>
      <c r="D99" s="389" t="s">
        <v>591</v>
      </c>
      <c r="E99" s="390" t="s">
        <v>371</v>
      </c>
      <c r="F99" s="391">
        <v>64414.0</v>
      </c>
      <c r="G99" s="391">
        <v>4648.0</v>
      </c>
      <c r="H99" s="391">
        <v>7.22</v>
      </c>
      <c r="I99" s="391">
        <v>3.47</v>
      </c>
      <c r="J99" s="391">
        <v>4.74</v>
      </c>
      <c r="K99" s="391">
        <v>5335.0</v>
      </c>
      <c r="L99" s="391">
        <v>153764.0</v>
      </c>
      <c r="M99" s="391">
        <v>0.0828</v>
      </c>
      <c r="N99" s="38">
        <v>1.1478</v>
      </c>
    </row>
    <row r="100">
      <c r="A100" s="389" t="s">
        <v>1967</v>
      </c>
      <c r="B100" s="389" t="s">
        <v>137</v>
      </c>
      <c r="C100" s="389" t="s">
        <v>10</v>
      </c>
      <c r="D100" s="389" t="s">
        <v>591</v>
      </c>
      <c r="E100" s="390" t="s">
        <v>369</v>
      </c>
      <c r="F100" s="391">
        <v>64414.0</v>
      </c>
      <c r="G100" s="391">
        <v>3835.0</v>
      </c>
      <c r="H100" s="391">
        <v>5.95</v>
      </c>
      <c r="I100" s="391">
        <v>2.81</v>
      </c>
      <c r="J100" s="391">
        <v>3.59</v>
      </c>
      <c r="K100" s="391">
        <v>4324.0</v>
      </c>
      <c r="L100" s="391">
        <v>153764.0</v>
      </c>
      <c r="M100" s="391">
        <v>0.0671</v>
      </c>
      <c r="N100" s="38">
        <v>1.1275</v>
      </c>
    </row>
    <row r="101">
      <c r="A101" s="389" t="s">
        <v>1967</v>
      </c>
      <c r="B101" s="389" t="s">
        <v>137</v>
      </c>
      <c r="C101" s="389" t="s">
        <v>10</v>
      </c>
      <c r="D101" s="389" t="s">
        <v>591</v>
      </c>
      <c r="E101" s="390" t="s">
        <v>284</v>
      </c>
      <c r="F101" s="391">
        <v>64414.0</v>
      </c>
      <c r="G101" s="391">
        <v>3399.0</v>
      </c>
      <c r="H101" s="391">
        <v>5.28</v>
      </c>
      <c r="I101" s="391">
        <v>2.39</v>
      </c>
      <c r="J101" s="391">
        <v>3.3</v>
      </c>
      <c r="K101" s="391">
        <v>3675.0</v>
      </c>
      <c r="L101" s="391">
        <v>153764.0</v>
      </c>
      <c r="M101" s="391">
        <v>0.0571</v>
      </c>
      <c r="N101" s="38">
        <v>1.0812</v>
      </c>
    </row>
    <row r="102">
      <c r="A102" s="389" t="s">
        <v>1967</v>
      </c>
      <c r="B102" s="389" t="s">
        <v>137</v>
      </c>
      <c r="C102" s="389" t="s">
        <v>10</v>
      </c>
      <c r="D102" s="389" t="s">
        <v>591</v>
      </c>
      <c r="E102" s="390" t="s">
        <v>282</v>
      </c>
      <c r="F102" s="391">
        <v>64414.0</v>
      </c>
      <c r="G102" s="391">
        <v>3354.0</v>
      </c>
      <c r="H102" s="391">
        <v>5.21</v>
      </c>
      <c r="I102" s="391">
        <v>2.3</v>
      </c>
      <c r="J102" s="391">
        <v>3.42</v>
      </c>
      <c r="K102" s="391">
        <v>3537.0</v>
      </c>
      <c r="L102" s="391">
        <v>153764.0</v>
      </c>
      <c r="M102" s="391">
        <v>0.0549</v>
      </c>
      <c r="N102" s="38">
        <v>1.0546</v>
      </c>
    </row>
    <row r="103">
      <c r="A103" s="389" t="s">
        <v>1967</v>
      </c>
      <c r="B103" s="389" t="s">
        <v>137</v>
      </c>
      <c r="C103" s="389" t="s">
        <v>10</v>
      </c>
      <c r="D103" s="389" t="s">
        <v>591</v>
      </c>
      <c r="E103" s="390" t="s">
        <v>283</v>
      </c>
      <c r="F103" s="391">
        <v>64414.0</v>
      </c>
      <c r="G103" s="391">
        <v>3162.0</v>
      </c>
      <c r="H103" s="391">
        <v>4.91</v>
      </c>
      <c r="I103" s="391">
        <v>2.17</v>
      </c>
      <c r="J103" s="391">
        <v>3.21</v>
      </c>
      <c r="K103" s="391">
        <v>3341.0</v>
      </c>
      <c r="L103" s="391">
        <v>153764.0</v>
      </c>
      <c r="M103" s="391">
        <v>0.0519</v>
      </c>
      <c r="N103" s="38">
        <v>1.0566</v>
      </c>
    </row>
    <row r="104">
      <c r="A104" s="389" t="s">
        <v>1967</v>
      </c>
      <c r="B104" s="389" t="s">
        <v>137</v>
      </c>
      <c r="C104" s="389" t="s">
        <v>10</v>
      </c>
      <c r="D104" s="389" t="s">
        <v>591</v>
      </c>
      <c r="E104" s="390" t="s">
        <v>39</v>
      </c>
      <c r="F104" s="391">
        <v>64414.0</v>
      </c>
      <c r="G104" s="391">
        <v>1738.0</v>
      </c>
      <c r="H104" s="391">
        <v>2.7</v>
      </c>
      <c r="I104" s="391">
        <v>1.21</v>
      </c>
      <c r="J104" s="391">
        <v>1.44</v>
      </c>
      <c r="K104" s="391">
        <v>1853.0</v>
      </c>
      <c r="L104" s="391">
        <v>153764.0</v>
      </c>
      <c r="M104" s="391">
        <v>0.0288</v>
      </c>
      <c r="N104" s="38">
        <v>1.0662</v>
      </c>
    </row>
    <row r="105">
      <c r="A105" s="389" t="s">
        <v>1967</v>
      </c>
      <c r="B105" s="389" t="s">
        <v>137</v>
      </c>
      <c r="C105" s="389" t="s">
        <v>10</v>
      </c>
      <c r="D105" s="389" t="s">
        <v>591</v>
      </c>
      <c r="E105" s="390" t="s">
        <v>45</v>
      </c>
      <c r="F105" s="391">
        <v>64414.0</v>
      </c>
      <c r="G105" s="391">
        <v>1256.0</v>
      </c>
      <c r="H105" s="391">
        <v>1.95</v>
      </c>
      <c r="I105" s="391">
        <v>0.85</v>
      </c>
      <c r="J105" s="391">
        <v>1.3</v>
      </c>
      <c r="K105" s="391">
        <v>1309.0</v>
      </c>
      <c r="L105" s="391">
        <v>153764.0</v>
      </c>
      <c r="M105" s="391">
        <v>0.0203</v>
      </c>
      <c r="N105" s="38">
        <v>1.0422</v>
      </c>
    </row>
    <row r="106">
      <c r="A106" s="389" t="s">
        <v>1967</v>
      </c>
      <c r="B106" s="389" t="s">
        <v>137</v>
      </c>
      <c r="C106" s="389" t="s">
        <v>10</v>
      </c>
      <c r="D106" s="389" t="s">
        <v>591</v>
      </c>
      <c r="E106" s="390" t="s">
        <v>370</v>
      </c>
      <c r="F106" s="391">
        <v>64414.0</v>
      </c>
      <c r="G106" s="391">
        <v>860.0</v>
      </c>
      <c r="H106" s="391">
        <v>1.34</v>
      </c>
      <c r="I106" s="391">
        <v>0.64</v>
      </c>
      <c r="J106" s="391">
        <v>0.9</v>
      </c>
      <c r="K106" s="391">
        <v>983.0</v>
      </c>
      <c r="L106" s="391">
        <v>153764.0</v>
      </c>
      <c r="M106" s="391">
        <v>0.0153</v>
      </c>
      <c r="N106" s="38">
        <v>1.143</v>
      </c>
    </row>
    <row r="107">
      <c r="A107" s="389" t="s">
        <v>1967</v>
      </c>
      <c r="B107" s="389" t="s">
        <v>137</v>
      </c>
      <c r="C107" s="389" t="s">
        <v>10</v>
      </c>
      <c r="D107" s="389" t="s">
        <v>591</v>
      </c>
      <c r="E107" s="390" t="s">
        <v>27</v>
      </c>
      <c r="F107" s="391">
        <v>64414.0</v>
      </c>
      <c r="G107" s="391">
        <v>817.0</v>
      </c>
      <c r="H107" s="391">
        <v>1.27</v>
      </c>
      <c r="I107" s="391">
        <v>0.54</v>
      </c>
      <c r="J107" s="391">
        <v>0.77</v>
      </c>
      <c r="K107" s="391">
        <v>836.0</v>
      </c>
      <c r="L107" s="391">
        <v>153764.0</v>
      </c>
      <c r="M107" s="391">
        <v>0.013</v>
      </c>
      <c r="N107" s="38">
        <v>1.0233</v>
      </c>
    </row>
    <row r="108">
      <c r="A108" s="389" t="s">
        <v>1967</v>
      </c>
      <c r="B108" s="389" t="s">
        <v>137</v>
      </c>
      <c r="C108" s="389" t="s">
        <v>10</v>
      </c>
      <c r="D108" s="389" t="s">
        <v>591</v>
      </c>
      <c r="E108" s="390" t="s">
        <v>365</v>
      </c>
      <c r="F108" s="391">
        <v>64414.0</v>
      </c>
      <c r="G108" s="391">
        <v>452.0</v>
      </c>
      <c r="H108" s="391">
        <v>0.7</v>
      </c>
      <c r="I108" s="391">
        <v>0.33</v>
      </c>
      <c r="J108" s="391">
        <v>0.48</v>
      </c>
      <c r="K108" s="391">
        <v>504.0</v>
      </c>
      <c r="L108" s="391">
        <v>153764.0</v>
      </c>
      <c r="M108" s="391">
        <v>0.0078</v>
      </c>
      <c r="N108" s="38">
        <v>1.115</v>
      </c>
    </row>
    <row r="109">
      <c r="A109" s="389" t="s">
        <v>1967</v>
      </c>
      <c r="B109" s="389" t="s">
        <v>137</v>
      </c>
      <c r="C109" s="389" t="s">
        <v>10</v>
      </c>
      <c r="D109" s="389" t="s">
        <v>591</v>
      </c>
      <c r="E109" s="390" t="s">
        <v>38</v>
      </c>
      <c r="F109" s="391">
        <v>64414.0</v>
      </c>
      <c r="G109" s="391">
        <v>321.0</v>
      </c>
      <c r="H109" s="391">
        <v>0.5</v>
      </c>
      <c r="I109" s="391">
        <v>0.21</v>
      </c>
      <c r="J109" s="391">
        <v>0.27</v>
      </c>
      <c r="K109" s="391">
        <v>328.0</v>
      </c>
      <c r="L109" s="391">
        <v>153764.0</v>
      </c>
      <c r="M109" s="391">
        <v>0.0051</v>
      </c>
      <c r="N109" s="38">
        <v>1.0218</v>
      </c>
    </row>
    <row r="110">
      <c r="A110" s="389" t="s">
        <v>1967</v>
      </c>
      <c r="B110" s="389" t="s">
        <v>137</v>
      </c>
      <c r="C110" s="389" t="s">
        <v>10</v>
      </c>
      <c r="D110" s="389" t="s">
        <v>591</v>
      </c>
      <c r="E110" s="390" t="s">
        <v>108</v>
      </c>
      <c r="F110" s="391">
        <v>64414.0</v>
      </c>
      <c r="G110" s="391">
        <v>198.0</v>
      </c>
      <c r="H110" s="391">
        <v>0.31</v>
      </c>
      <c r="I110" s="391">
        <v>0.15</v>
      </c>
      <c r="J110" s="391">
        <v>0.15</v>
      </c>
      <c r="K110" s="391">
        <v>235.0</v>
      </c>
      <c r="L110" s="391">
        <v>153764.0</v>
      </c>
      <c r="M110" s="391">
        <v>0.0036</v>
      </c>
      <c r="N110" s="38">
        <v>1.1869</v>
      </c>
    </row>
    <row r="111">
      <c r="A111" s="389" t="s">
        <v>1967</v>
      </c>
      <c r="B111" s="389" t="s">
        <v>137</v>
      </c>
      <c r="C111" s="389" t="s">
        <v>10</v>
      </c>
      <c r="D111" s="389" t="s">
        <v>591</v>
      </c>
      <c r="E111" s="390" t="s">
        <v>30</v>
      </c>
      <c r="F111" s="391">
        <v>64414.0</v>
      </c>
      <c r="G111" s="391">
        <v>12.0</v>
      </c>
      <c r="H111" s="391">
        <v>0.02</v>
      </c>
      <c r="I111" s="391">
        <v>0.01</v>
      </c>
      <c r="J111" s="391">
        <v>0.01</v>
      </c>
      <c r="K111" s="391">
        <v>12.0</v>
      </c>
      <c r="L111" s="391">
        <v>153764.0</v>
      </c>
      <c r="M111" s="391">
        <v>2.0E-4</v>
      </c>
      <c r="N111" s="38">
        <v>1.0</v>
      </c>
    </row>
    <row r="112">
      <c r="A112" s="389" t="s">
        <v>1967</v>
      </c>
      <c r="B112" s="389" t="s">
        <v>137</v>
      </c>
      <c r="C112" s="389" t="s">
        <v>10</v>
      </c>
      <c r="D112" s="389" t="s">
        <v>591</v>
      </c>
      <c r="E112" s="390" t="s">
        <v>163</v>
      </c>
      <c r="F112" s="391">
        <v>64414.0</v>
      </c>
      <c r="G112" s="391">
        <v>8.0</v>
      </c>
      <c r="H112" s="391">
        <v>0.01</v>
      </c>
      <c r="I112" s="391">
        <v>0.01</v>
      </c>
      <c r="J112" s="391">
        <v>0.01</v>
      </c>
      <c r="K112" s="391">
        <v>8.0</v>
      </c>
      <c r="L112" s="391">
        <v>153764.0</v>
      </c>
      <c r="M112" s="391">
        <v>1.0E-4</v>
      </c>
      <c r="N112" s="38">
        <v>1.0</v>
      </c>
    </row>
    <row r="113">
      <c r="A113" s="389" t="s">
        <v>1967</v>
      </c>
      <c r="B113" s="389" t="s">
        <v>137</v>
      </c>
      <c r="C113" s="389" t="s">
        <v>10</v>
      </c>
      <c r="D113" s="389" t="s">
        <v>591</v>
      </c>
      <c r="E113" s="390" t="s">
        <v>367</v>
      </c>
      <c r="F113" s="391">
        <v>64414.0</v>
      </c>
      <c r="G113" s="391">
        <v>2.0</v>
      </c>
      <c r="H113" s="391">
        <v>0.0</v>
      </c>
      <c r="I113" s="391">
        <v>0.0</v>
      </c>
      <c r="J113" s="391">
        <v>0.0</v>
      </c>
      <c r="K113" s="391">
        <v>2.0</v>
      </c>
      <c r="L113" s="391">
        <v>153764.0</v>
      </c>
      <c r="M113" s="391">
        <v>0.0</v>
      </c>
      <c r="N113" s="38">
        <v>1.0</v>
      </c>
    </row>
    <row r="114">
      <c r="A114" s="389" t="s">
        <v>1967</v>
      </c>
      <c r="B114" s="389" t="s">
        <v>137</v>
      </c>
      <c r="C114" s="389" t="s">
        <v>9</v>
      </c>
      <c r="D114" s="389" t="s">
        <v>591</v>
      </c>
      <c r="E114" s="390" t="s">
        <v>366</v>
      </c>
      <c r="F114" s="391">
        <v>78754.0</v>
      </c>
      <c r="G114" s="391">
        <v>52696.0</v>
      </c>
      <c r="H114" s="391">
        <v>66.91</v>
      </c>
      <c r="I114" s="391">
        <v>57.98</v>
      </c>
      <c r="J114" s="391">
        <v>51.76</v>
      </c>
      <c r="K114" s="391">
        <v>124176.0</v>
      </c>
      <c r="L114" s="391">
        <v>214160.0</v>
      </c>
      <c r="M114" s="391">
        <v>1.5768</v>
      </c>
      <c r="N114" s="38">
        <v>2.3565</v>
      </c>
    </row>
    <row r="115">
      <c r="A115" s="389" t="s">
        <v>1967</v>
      </c>
      <c r="B115" s="389" t="s">
        <v>137</v>
      </c>
      <c r="C115" s="389" t="s">
        <v>9</v>
      </c>
      <c r="D115" s="389" t="s">
        <v>591</v>
      </c>
      <c r="E115" s="390" t="s">
        <v>363</v>
      </c>
      <c r="F115" s="391">
        <v>78754.0</v>
      </c>
      <c r="G115" s="391">
        <v>10218.0</v>
      </c>
      <c r="H115" s="391">
        <v>12.97</v>
      </c>
      <c r="I115" s="391">
        <v>9.91</v>
      </c>
      <c r="J115" s="391">
        <v>6.68</v>
      </c>
      <c r="K115" s="391">
        <v>21213.0</v>
      </c>
      <c r="L115" s="391">
        <v>214160.0</v>
      </c>
      <c r="M115" s="391">
        <v>0.2694</v>
      </c>
      <c r="N115" s="38">
        <v>2.076</v>
      </c>
    </row>
    <row r="116">
      <c r="A116" s="389" t="s">
        <v>1967</v>
      </c>
      <c r="B116" s="389" t="s">
        <v>137</v>
      </c>
      <c r="C116" s="389" t="s">
        <v>9</v>
      </c>
      <c r="D116" s="389" t="s">
        <v>591</v>
      </c>
      <c r="E116" s="390" t="s">
        <v>35</v>
      </c>
      <c r="F116" s="391">
        <v>78754.0</v>
      </c>
      <c r="G116" s="391">
        <v>9962.0</v>
      </c>
      <c r="H116" s="391">
        <v>12.65</v>
      </c>
      <c r="I116" s="391">
        <v>6.56</v>
      </c>
      <c r="J116" s="391">
        <v>7.37</v>
      </c>
      <c r="K116" s="391">
        <v>14039.0</v>
      </c>
      <c r="L116" s="391">
        <v>214160.0</v>
      </c>
      <c r="M116" s="391">
        <v>0.1783</v>
      </c>
      <c r="N116" s="38">
        <v>1.4093</v>
      </c>
    </row>
    <row r="117">
      <c r="A117" s="389" t="s">
        <v>1967</v>
      </c>
      <c r="B117" s="389" t="s">
        <v>137</v>
      </c>
      <c r="C117" s="389" t="s">
        <v>9</v>
      </c>
      <c r="D117" s="389" t="s">
        <v>591</v>
      </c>
      <c r="E117" s="390" t="s">
        <v>37</v>
      </c>
      <c r="F117" s="391">
        <v>78754.0</v>
      </c>
      <c r="G117" s="391">
        <v>9563.0</v>
      </c>
      <c r="H117" s="391">
        <v>12.14</v>
      </c>
      <c r="I117" s="391">
        <v>5.7</v>
      </c>
      <c r="J117" s="391">
        <v>6.49</v>
      </c>
      <c r="K117" s="391">
        <v>12216.0</v>
      </c>
      <c r="L117" s="391">
        <v>214160.0</v>
      </c>
      <c r="M117" s="391">
        <v>0.1551</v>
      </c>
      <c r="N117" s="38">
        <v>1.2774</v>
      </c>
    </row>
    <row r="118">
      <c r="A118" s="389" t="s">
        <v>1967</v>
      </c>
      <c r="B118" s="389" t="s">
        <v>137</v>
      </c>
      <c r="C118" s="389" t="s">
        <v>9</v>
      </c>
      <c r="D118" s="389" t="s">
        <v>591</v>
      </c>
      <c r="E118" s="390" t="s">
        <v>369</v>
      </c>
      <c r="F118" s="391">
        <v>78754.0</v>
      </c>
      <c r="G118" s="391">
        <v>7073.0</v>
      </c>
      <c r="H118" s="391">
        <v>8.98</v>
      </c>
      <c r="I118" s="391">
        <v>3.55</v>
      </c>
      <c r="J118" s="391">
        <v>4.88</v>
      </c>
      <c r="K118" s="391">
        <v>7595.0</v>
      </c>
      <c r="L118" s="391">
        <v>214160.0</v>
      </c>
      <c r="M118" s="391">
        <v>0.0964</v>
      </c>
      <c r="N118" s="38">
        <v>1.0738</v>
      </c>
    </row>
    <row r="119">
      <c r="A119" s="389" t="s">
        <v>1967</v>
      </c>
      <c r="B119" s="389" t="s">
        <v>137</v>
      </c>
      <c r="C119" s="389" t="s">
        <v>9</v>
      </c>
      <c r="D119" s="389" t="s">
        <v>591</v>
      </c>
      <c r="E119" s="390" t="s">
        <v>284</v>
      </c>
      <c r="F119" s="391">
        <v>78754.0</v>
      </c>
      <c r="G119" s="391">
        <v>6973.0</v>
      </c>
      <c r="H119" s="391">
        <v>8.85</v>
      </c>
      <c r="I119" s="391">
        <v>3.53</v>
      </c>
      <c r="J119" s="391">
        <v>5.02</v>
      </c>
      <c r="K119" s="391">
        <v>7554.0</v>
      </c>
      <c r="L119" s="391">
        <v>214160.0</v>
      </c>
      <c r="M119" s="391">
        <v>0.0959</v>
      </c>
      <c r="N119" s="38">
        <v>1.0833</v>
      </c>
    </row>
    <row r="120">
      <c r="A120" s="389" t="s">
        <v>1967</v>
      </c>
      <c r="B120" s="389" t="s">
        <v>137</v>
      </c>
      <c r="C120" s="389" t="s">
        <v>9</v>
      </c>
      <c r="D120" s="389" t="s">
        <v>591</v>
      </c>
      <c r="E120" s="390" t="s">
        <v>282</v>
      </c>
      <c r="F120" s="391">
        <v>78754.0</v>
      </c>
      <c r="G120" s="391">
        <v>7096.0</v>
      </c>
      <c r="H120" s="391">
        <v>9.01</v>
      </c>
      <c r="I120" s="391">
        <v>3.53</v>
      </c>
      <c r="J120" s="391">
        <v>5.13</v>
      </c>
      <c r="K120" s="391">
        <v>7557.0</v>
      </c>
      <c r="L120" s="391">
        <v>214160.0</v>
      </c>
      <c r="M120" s="391">
        <v>0.096</v>
      </c>
      <c r="N120" s="38">
        <v>1.065</v>
      </c>
    </row>
    <row r="121">
      <c r="A121" s="389" t="s">
        <v>1967</v>
      </c>
      <c r="B121" s="389" t="s">
        <v>137</v>
      </c>
      <c r="C121" s="389" t="s">
        <v>9</v>
      </c>
      <c r="D121" s="389" t="s">
        <v>591</v>
      </c>
      <c r="E121" s="390" t="s">
        <v>283</v>
      </c>
      <c r="F121" s="391">
        <v>78754.0</v>
      </c>
      <c r="G121" s="391">
        <v>6615.0</v>
      </c>
      <c r="H121" s="391">
        <v>8.4</v>
      </c>
      <c r="I121" s="391">
        <v>3.26</v>
      </c>
      <c r="J121" s="391">
        <v>4.71</v>
      </c>
      <c r="K121" s="391">
        <v>6986.0</v>
      </c>
      <c r="L121" s="391">
        <v>214160.0</v>
      </c>
      <c r="M121" s="391">
        <v>0.0887</v>
      </c>
      <c r="N121" s="38">
        <v>1.0561</v>
      </c>
    </row>
    <row r="122">
      <c r="A122" s="389" t="s">
        <v>1967</v>
      </c>
      <c r="B122" s="389" t="s">
        <v>137</v>
      </c>
      <c r="C122" s="389" t="s">
        <v>9</v>
      </c>
      <c r="D122" s="389" t="s">
        <v>591</v>
      </c>
      <c r="E122" s="390" t="s">
        <v>44</v>
      </c>
      <c r="F122" s="391">
        <v>78754.0</v>
      </c>
      <c r="G122" s="391">
        <v>3958.0</v>
      </c>
      <c r="H122" s="391">
        <v>5.03</v>
      </c>
      <c r="I122" s="391">
        <v>2.04</v>
      </c>
      <c r="J122" s="391">
        <v>2.39</v>
      </c>
      <c r="K122" s="391">
        <v>4373.0</v>
      </c>
      <c r="L122" s="391">
        <v>214160.0</v>
      </c>
      <c r="M122" s="391">
        <v>0.0555</v>
      </c>
      <c r="N122" s="38">
        <v>1.1049</v>
      </c>
    </row>
    <row r="123">
      <c r="A123" s="389" t="s">
        <v>1967</v>
      </c>
      <c r="B123" s="389" t="s">
        <v>137</v>
      </c>
      <c r="C123" s="389" t="s">
        <v>9</v>
      </c>
      <c r="D123" s="389" t="s">
        <v>591</v>
      </c>
      <c r="E123" s="390" t="s">
        <v>371</v>
      </c>
      <c r="F123" s="391">
        <v>78754.0</v>
      </c>
      <c r="G123" s="391">
        <v>1672.0</v>
      </c>
      <c r="H123" s="391">
        <v>2.12</v>
      </c>
      <c r="I123" s="391">
        <v>0.96</v>
      </c>
      <c r="J123" s="391">
        <v>1.39</v>
      </c>
      <c r="K123" s="391">
        <v>2063.0</v>
      </c>
      <c r="L123" s="391">
        <v>214160.0</v>
      </c>
      <c r="M123" s="391">
        <v>0.0262</v>
      </c>
      <c r="N123" s="38">
        <v>1.2339</v>
      </c>
    </row>
    <row r="124">
      <c r="A124" s="389" t="s">
        <v>1967</v>
      </c>
      <c r="B124" s="389" t="s">
        <v>137</v>
      </c>
      <c r="C124" s="389" t="s">
        <v>9</v>
      </c>
      <c r="D124" s="389" t="s">
        <v>591</v>
      </c>
      <c r="E124" s="390" t="s">
        <v>27</v>
      </c>
      <c r="F124" s="391">
        <v>78754.0</v>
      </c>
      <c r="G124" s="391">
        <v>1912.0</v>
      </c>
      <c r="H124" s="391">
        <v>2.43</v>
      </c>
      <c r="I124" s="391">
        <v>0.91</v>
      </c>
      <c r="J124" s="391">
        <v>1.29</v>
      </c>
      <c r="K124" s="391">
        <v>1955.0</v>
      </c>
      <c r="L124" s="391">
        <v>214160.0</v>
      </c>
      <c r="M124" s="391">
        <v>0.0248</v>
      </c>
      <c r="N124" s="38">
        <v>1.0225</v>
      </c>
    </row>
    <row r="125">
      <c r="A125" s="389" t="s">
        <v>1967</v>
      </c>
      <c r="B125" s="389" t="s">
        <v>137</v>
      </c>
      <c r="C125" s="389" t="s">
        <v>9</v>
      </c>
      <c r="D125" s="389" t="s">
        <v>591</v>
      </c>
      <c r="E125" s="390" t="s">
        <v>45</v>
      </c>
      <c r="F125" s="391">
        <v>78754.0</v>
      </c>
      <c r="G125" s="391">
        <v>1304.0</v>
      </c>
      <c r="H125" s="391">
        <v>1.66</v>
      </c>
      <c r="I125" s="391">
        <v>0.63</v>
      </c>
      <c r="J125" s="391">
        <v>0.98</v>
      </c>
      <c r="K125" s="391">
        <v>1358.0</v>
      </c>
      <c r="L125" s="391">
        <v>214160.0</v>
      </c>
      <c r="M125" s="391">
        <v>0.0172</v>
      </c>
      <c r="N125" s="38">
        <v>1.0414</v>
      </c>
    </row>
    <row r="126">
      <c r="A126" s="389" t="s">
        <v>1967</v>
      </c>
      <c r="B126" s="389" t="s">
        <v>137</v>
      </c>
      <c r="C126" s="389" t="s">
        <v>9</v>
      </c>
      <c r="D126" s="389" t="s">
        <v>591</v>
      </c>
      <c r="E126" s="390" t="s">
        <v>370</v>
      </c>
      <c r="F126" s="391">
        <v>78754.0</v>
      </c>
      <c r="G126" s="391">
        <v>892.0</v>
      </c>
      <c r="H126" s="391">
        <v>1.13</v>
      </c>
      <c r="I126" s="391">
        <v>0.47</v>
      </c>
      <c r="J126" s="391">
        <v>0.73</v>
      </c>
      <c r="K126" s="391">
        <v>1012.0</v>
      </c>
      <c r="L126" s="391">
        <v>214160.0</v>
      </c>
      <c r="M126" s="391">
        <v>0.0129</v>
      </c>
      <c r="N126" s="38">
        <v>1.1345</v>
      </c>
    </row>
    <row r="127">
      <c r="A127" s="389" t="s">
        <v>1967</v>
      </c>
      <c r="B127" s="389" t="s">
        <v>137</v>
      </c>
      <c r="C127" s="389" t="s">
        <v>9</v>
      </c>
      <c r="D127" s="389" t="s">
        <v>591</v>
      </c>
      <c r="E127" s="390" t="s">
        <v>38</v>
      </c>
      <c r="F127" s="391">
        <v>78754.0</v>
      </c>
      <c r="G127" s="391">
        <v>705.0</v>
      </c>
      <c r="H127" s="391">
        <v>0.9</v>
      </c>
      <c r="I127" s="391">
        <v>0.34</v>
      </c>
      <c r="J127" s="391">
        <v>0.44</v>
      </c>
      <c r="K127" s="391">
        <v>736.0</v>
      </c>
      <c r="L127" s="391">
        <v>214160.0</v>
      </c>
      <c r="M127" s="391">
        <v>0.0093</v>
      </c>
      <c r="N127" s="38">
        <v>1.044</v>
      </c>
    </row>
    <row r="128">
      <c r="A128" s="389" t="s">
        <v>1967</v>
      </c>
      <c r="B128" s="389" t="s">
        <v>137</v>
      </c>
      <c r="C128" s="389" t="s">
        <v>9</v>
      </c>
      <c r="D128" s="389" t="s">
        <v>591</v>
      </c>
      <c r="E128" s="390" t="s">
        <v>39</v>
      </c>
      <c r="F128" s="391">
        <v>78754.0</v>
      </c>
      <c r="G128" s="391">
        <v>557.0</v>
      </c>
      <c r="H128" s="391">
        <v>0.71</v>
      </c>
      <c r="I128" s="391">
        <v>0.27</v>
      </c>
      <c r="J128" s="391">
        <v>0.34</v>
      </c>
      <c r="K128" s="391">
        <v>588.0</v>
      </c>
      <c r="L128" s="391">
        <v>214160.0</v>
      </c>
      <c r="M128" s="391">
        <v>0.0075</v>
      </c>
      <c r="N128" s="38">
        <v>1.0557</v>
      </c>
    </row>
    <row r="129">
      <c r="A129" s="389" t="s">
        <v>1967</v>
      </c>
      <c r="B129" s="389" t="s">
        <v>137</v>
      </c>
      <c r="C129" s="389" t="s">
        <v>9</v>
      </c>
      <c r="D129" s="389" t="s">
        <v>591</v>
      </c>
      <c r="E129" s="390" t="s">
        <v>365</v>
      </c>
      <c r="F129" s="391">
        <v>78754.0</v>
      </c>
      <c r="G129" s="391">
        <v>317.0</v>
      </c>
      <c r="H129" s="391">
        <v>0.4</v>
      </c>
      <c r="I129" s="391">
        <v>0.18</v>
      </c>
      <c r="J129" s="391">
        <v>0.24</v>
      </c>
      <c r="K129" s="391">
        <v>382.0</v>
      </c>
      <c r="L129" s="391">
        <v>214160.0</v>
      </c>
      <c r="M129" s="391">
        <v>0.0049</v>
      </c>
      <c r="N129" s="38">
        <v>1.205</v>
      </c>
    </row>
    <row r="130">
      <c r="A130" s="389" t="s">
        <v>1967</v>
      </c>
      <c r="B130" s="389" t="s">
        <v>137</v>
      </c>
      <c r="C130" s="389" t="s">
        <v>9</v>
      </c>
      <c r="D130" s="389" t="s">
        <v>591</v>
      </c>
      <c r="E130" s="390" t="s">
        <v>367</v>
      </c>
      <c r="F130" s="391">
        <v>78754.0</v>
      </c>
      <c r="G130" s="391">
        <v>136.0</v>
      </c>
      <c r="H130" s="391">
        <v>0.17</v>
      </c>
      <c r="I130" s="391">
        <v>0.07</v>
      </c>
      <c r="J130" s="391">
        <v>0.07</v>
      </c>
      <c r="K130" s="391">
        <v>156.0</v>
      </c>
      <c r="L130" s="391">
        <v>214160.0</v>
      </c>
      <c r="M130" s="391">
        <v>0.002</v>
      </c>
      <c r="N130" s="38">
        <v>1.1471</v>
      </c>
    </row>
    <row r="131">
      <c r="A131" s="389" t="s">
        <v>1967</v>
      </c>
      <c r="B131" s="389" t="s">
        <v>137</v>
      </c>
      <c r="C131" s="389" t="s">
        <v>9</v>
      </c>
      <c r="D131" s="389" t="s">
        <v>591</v>
      </c>
      <c r="E131" s="390" t="s">
        <v>108</v>
      </c>
      <c r="F131" s="391">
        <v>78754.0</v>
      </c>
      <c r="G131" s="391">
        <v>80.0</v>
      </c>
      <c r="H131" s="391">
        <v>0.1</v>
      </c>
      <c r="I131" s="391">
        <v>0.06</v>
      </c>
      <c r="J131" s="391">
        <v>0.04</v>
      </c>
      <c r="K131" s="391">
        <v>129.0</v>
      </c>
      <c r="L131" s="391">
        <v>214160.0</v>
      </c>
      <c r="M131" s="391">
        <v>0.0016</v>
      </c>
      <c r="N131" s="38">
        <v>1.6125</v>
      </c>
    </row>
    <row r="132">
      <c r="A132" s="389" t="s">
        <v>1967</v>
      </c>
      <c r="B132" s="389" t="s">
        <v>137</v>
      </c>
      <c r="C132" s="389" t="s">
        <v>9</v>
      </c>
      <c r="D132" s="389" t="s">
        <v>591</v>
      </c>
      <c r="E132" s="390" t="s">
        <v>368</v>
      </c>
      <c r="F132" s="391">
        <v>78754.0</v>
      </c>
      <c r="G132" s="391">
        <v>52.0</v>
      </c>
      <c r="H132" s="391">
        <v>0.07</v>
      </c>
      <c r="I132" s="391">
        <v>0.03</v>
      </c>
      <c r="J132" s="391">
        <v>0.03</v>
      </c>
      <c r="K132" s="391">
        <v>62.0</v>
      </c>
      <c r="L132" s="391">
        <v>214160.0</v>
      </c>
      <c r="M132" s="391">
        <v>8.0E-4</v>
      </c>
      <c r="N132" s="38">
        <v>1.1923</v>
      </c>
    </row>
    <row r="133">
      <c r="A133" s="389" t="s">
        <v>1967</v>
      </c>
      <c r="B133" s="389" t="s">
        <v>137</v>
      </c>
      <c r="C133" s="389" t="s">
        <v>9</v>
      </c>
      <c r="D133" s="389" t="s">
        <v>591</v>
      </c>
      <c r="E133" s="390" t="s">
        <v>163</v>
      </c>
      <c r="F133" s="391">
        <v>78754.0</v>
      </c>
      <c r="G133" s="391">
        <v>10.0</v>
      </c>
      <c r="H133" s="391">
        <v>0.01</v>
      </c>
      <c r="I133" s="391">
        <v>0.0</v>
      </c>
      <c r="J133" s="391">
        <v>0.01</v>
      </c>
      <c r="K133" s="391">
        <v>10.0</v>
      </c>
      <c r="L133" s="391">
        <v>214160.0</v>
      </c>
      <c r="M133" s="391">
        <v>1.0E-4</v>
      </c>
      <c r="N133" s="38">
        <v>1.0</v>
      </c>
    </row>
    <row r="134">
      <c r="A134" s="389" t="s">
        <v>1967</v>
      </c>
      <c r="B134" s="389" t="s">
        <v>137</v>
      </c>
      <c r="C134" s="389" t="s">
        <v>358</v>
      </c>
      <c r="D134" s="389" t="s">
        <v>1968</v>
      </c>
      <c r="E134" s="390" t="s">
        <v>366</v>
      </c>
      <c r="F134" s="391">
        <v>7420.0</v>
      </c>
      <c r="G134" s="391">
        <v>6202.0</v>
      </c>
      <c r="H134" s="391">
        <v>83.58</v>
      </c>
      <c r="I134" s="391">
        <v>90.92</v>
      </c>
      <c r="J134" s="391">
        <v>83.39</v>
      </c>
      <c r="K134" s="391">
        <v>219975.0</v>
      </c>
      <c r="L134" s="391">
        <v>241950.0</v>
      </c>
      <c r="M134" s="391">
        <v>29.6462</v>
      </c>
      <c r="N134" s="38">
        <v>35.4684</v>
      </c>
    </row>
    <row r="135">
      <c r="A135" s="389" t="s">
        <v>1967</v>
      </c>
      <c r="B135" s="389" t="s">
        <v>137</v>
      </c>
      <c r="C135" s="389" t="s">
        <v>358</v>
      </c>
      <c r="D135" s="389" t="s">
        <v>1968</v>
      </c>
      <c r="E135" s="390" t="s">
        <v>369</v>
      </c>
      <c r="F135" s="391">
        <v>7420.0</v>
      </c>
      <c r="G135" s="391">
        <v>311.0</v>
      </c>
      <c r="H135" s="391">
        <v>4.19</v>
      </c>
      <c r="I135" s="391">
        <v>4.3</v>
      </c>
      <c r="J135" s="391">
        <v>4.17</v>
      </c>
      <c r="K135" s="391">
        <v>10395.0</v>
      </c>
      <c r="L135" s="391">
        <v>241950.0</v>
      </c>
      <c r="M135" s="391">
        <v>1.4009</v>
      </c>
      <c r="N135" s="38">
        <v>33.4244</v>
      </c>
    </row>
    <row r="136">
      <c r="A136" s="389" t="s">
        <v>1967</v>
      </c>
      <c r="B136" s="389" t="s">
        <v>137</v>
      </c>
      <c r="C136" s="389" t="s">
        <v>358</v>
      </c>
      <c r="D136" s="389" t="s">
        <v>1968</v>
      </c>
      <c r="E136" s="390" t="s">
        <v>368</v>
      </c>
      <c r="F136" s="391">
        <v>7420.0</v>
      </c>
      <c r="G136" s="391">
        <v>667.0</v>
      </c>
      <c r="H136" s="391">
        <v>8.99</v>
      </c>
      <c r="I136" s="391">
        <v>3.2</v>
      </c>
      <c r="J136" s="391">
        <v>8.59</v>
      </c>
      <c r="K136" s="391">
        <v>7735.0</v>
      </c>
      <c r="L136" s="391">
        <v>241950.0</v>
      </c>
      <c r="M136" s="391">
        <v>1.0425</v>
      </c>
      <c r="N136" s="38">
        <v>11.5967</v>
      </c>
    </row>
    <row r="137">
      <c r="A137" s="389" t="s">
        <v>1967</v>
      </c>
      <c r="B137" s="389" t="s">
        <v>137</v>
      </c>
      <c r="C137" s="389" t="s">
        <v>358</v>
      </c>
      <c r="D137" s="389" t="s">
        <v>1968</v>
      </c>
      <c r="E137" s="390" t="s">
        <v>163</v>
      </c>
      <c r="F137" s="391">
        <v>7420.0</v>
      </c>
      <c r="G137" s="391">
        <v>161.0</v>
      </c>
      <c r="H137" s="391">
        <v>2.17</v>
      </c>
      <c r="I137" s="391">
        <v>0.73</v>
      </c>
      <c r="J137" s="391">
        <v>2.05</v>
      </c>
      <c r="K137" s="391">
        <v>1760.0</v>
      </c>
      <c r="L137" s="391">
        <v>241950.0</v>
      </c>
      <c r="M137" s="391">
        <v>0.2372</v>
      </c>
      <c r="N137" s="38">
        <v>10.9317</v>
      </c>
    </row>
    <row r="138">
      <c r="A138" s="389" t="s">
        <v>1967</v>
      </c>
      <c r="B138" s="389" t="s">
        <v>137</v>
      </c>
      <c r="C138" s="389" t="s">
        <v>358</v>
      </c>
      <c r="D138" s="389" t="s">
        <v>1968</v>
      </c>
      <c r="E138" s="390" t="s">
        <v>371</v>
      </c>
      <c r="F138" s="391">
        <v>7420.0</v>
      </c>
      <c r="G138" s="391">
        <v>102.0</v>
      </c>
      <c r="H138" s="391">
        <v>1.37</v>
      </c>
      <c r="I138" s="391">
        <v>0.55</v>
      </c>
      <c r="J138" s="391">
        <v>1.35</v>
      </c>
      <c r="K138" s="391">
        <v>1325.0</v>
      </c>
      <c r="L138" s="391">
        <v>241950.0</v>
      </c>
      <c r="M138" s="391">
        <v>0.1786</v>
      </c>
      <c r="N138" s="38">
        <v>12.9902</v>
      </c>
    </row>
    <row r="139">
      <c r="A139" s="389" t="s">
        <v>1967</v>
      </c>
      <c r="B139" s="389" t="s">
        <v>137</v>
      </c>
      <c r="C139" s="389" t="s">
        <v>358</v>
      </c>
      <c r="D139" s="389" t="s">
        <v>1968</v>
      </c>
      <c r="E139" s="390" t="s">
        <v>108</v>
      </c>
      <c r="F139" s="391">
        <v>7420.0</v>
      </c>
      <c r="G139" s="391">
        <v>21.0</v>
      </c>
      <c r="H139" s="391">
        <v>0.28</v>
      </c>
      <c r="I139" s="391">
        <v>0.2</v>
      </c>
      <c r="J139" s="391">
        <v>0.23</v>
      </c>
      <c r="K139" s="391">
        <v>475.0</v>
      </c>
      <c r="L139" s="391">
        <v>241950.0</v>
      </c>
      <c r="M139" s="391">
        <v>0.064</v>
      </c>
      <c r="N139" s="38">
        <v>22.619</v>
      </c>
    </row>
    <row r="140">
      <c r="A140" s="389" t="s">
        <v>1967</v>
      </c>
      <c r="B140" s="389" t="s">
        <v>137</v>
      </c>
      <c r="C140" s="389" t="s">
        <v>358</v>
      </c>
      <c r="D140" s="389" t="s">
        <v>1968</v>
      </c>
      <c r="E140" s="390" t="s">
        <v>30</v>
      </c>
      <c r="F140" s="391">
        <v>7420.0</v>
      </c>
      <c r="G140" s="391">
        <v>19.0</v>
      </c>
      <c r="H140" s="391">
        <v>0.26</v>
      </c>
      <c r="I140" s="391">
        <v>0.12</v>
      </c>
      <c r="J140" s="391">
        <v>0.23</v>
      </c>
      <c r="K140" s="391">
        <v>285.0</v>
      </c>
      <c r="L140" s="391">
        <v>241950.0</v>
      </c>
      <c r="M140" s="391">
        <v>0.0384</v>
      </c>
      <c r="N140" s="38">
        <v>15.0</v>
      </c>
    </row>
    <row r="141">
      <c r="A141" s="389" t="s">
        <v>1967</v>
      </c>
      <c r="B141" s="389" t="s">
        <v>137</v>
      </c>
      <c r="C141" s="389" t="s">
        <v>359</v>
      </c>
      <c r="D141" s="389" t="s">
        <v>1968</v>
      </c>
      <c r="E141" s="390" t="s">
        <v>366</v>
      </c>
      <c r="F141" s="391">
        <v>24094.0</v>
      </c>
      <c r="G141" s="391">
        <v>6892.0</v>
      </c>
      <c r="H141" s="391">
        <v>28.6</v>
      </c>
      <c r="I141" s="391">
        <v>61.98</v>
      </c>
      <c r="J141" s="391">
        <v>26.98</v>
      </c>
      <c r="K141" s="391">
        <v>489435.0</v>
      </c>
      <c r="L141" s="391">
        <v>789620.0</v>
      </c>
      <c r="M141" s="391">
        <v>20.3136</v>
      </c>
      <c r="N141" s="38">
        <v>71.0149</v>
      </c>
    </row>
    <row r="142">
      <c r="A142" s="389" t="s">
        <v>1967</v>
      </c>
      <c r="B142" s="389" t="s">
        <v>137</v>
      </c>
      <c r="C142" s="389" t="s">
        <v>359</v>
      </c>
      <c r="D142" s="389" t="s">
        <v>1968</v>
      </c>
      <c r="E142" s="390" t="s">
        <v>371</v>
      </c>
      <c r="F142" s="391">
        <v>24094.0</v>
      </c>
      <c r="G142" s="391">
        <v>12935.0</v>
      </c>
      <c r="H142" s="391">
        <v>53.69</v>
      </c>
      <c r="I142" s="391">
        <v>27.33</v>
      </c>
      <c r="J142" s="391">
        <v>47.71</v>
      </c>
      <c r="K142" s="391">
        <v>215790.0</v>
      </c>
      <c r="L142" s="391">
        <v>789620.0</v>
      </c>
      <c r="M142" s="391">
        <v>8.9562</v>
      </c>
      <c r="N142" s="38">
        <v>16.6826</v>
      </c>
    </row>
    <row r="143">
      <c r="A143" s="389" t="s">
        <v>1967</v>
      </c>
      <c r="B143" s="389" t="s">
        <v>137</v>
      </c>
      <c r="C143" s="389" t="s">
        <v>359</v>
      </c>
      <c r="D143" s="389" t="s">
        <v>1968</v>
      </c>
      <c r="E143" s="390" t="s">
        <v>368</v>
      </c>
      <c r="F143" s="391">
        <v>24094.0</v>
      </c>
      <c r="G143" s="391">
        <v>5114.0</v>
      </c>
      <c r="H143" s="391">
        <v>21.23</v>
      </c>
      <c r="I143" s="391">
        <v>7.5</v>
      </c>
      <c r="J143" s="391">
        <v>19.33</v>
      </c>
      <c r="K143" s="391">
        <v>59220.0</v>
      </c>
      <c r="L143" s="391">
        <v>789620.0</v>
      </c>
      <c r="M143" s="391">
        <v>2.4579</v>
      </c>
      <c r="N143" s="38">
        <v>11.58</v>
      </c>
    </row>
    <row r="144">
      <c r="A144" s="389" t="s">
        <v>1967</v>
      </c>
      <c r="B144" s="389" t="s">
        <v>137</v>
      </c>
      <c r="C144" s="389" t="s">
        <v>359</v>
      </c>
      <c r="D144" s="389" t="s">
        <v>1968</v>
      </c>
      <c r="E144" s="390" t="s">
        <v>163</v>
      </c>
      <c r="F144" s="391">
        <v>24094.0</v>
      </c>
      <c r="G144" s="391">
        <v>1062.0</v>
      </c>
      <c r="H144" s="391">
        <v>4.41</v>
      </c>
      <c r="I144" s="391">
        <v>1.39</v>
      </c>
      <c r="J144" s="391">
        <v>3.75</v>
      </c>
      <c r="K144" s="391">
        <v>11000.0</v>
      </c>
      <c r="L144" s="391">
        <v>789620.0</v>
      </c>
      <c r="M144" s="391">
        <v>0.4565</v>
      </c>
      <c r="N144" s="38">
        <v>10.3578</v>
      </c>
    </row>
    <row r="145">
      <c r="A145" s="389" t="s">
        <v>1967</v>
      </c>
      <c r="B145" s="389" t="s">
        <v>137</v>
      </c>
      <c r="C145" s="389" t="s">
        <v>359</v>
      </c>
      <c r="D145" s="389" t="s">
        <v>1968</v>
      </c>
      <c r="E145" s="390" t="s">
        <v>369</v>
      </c>
      <c r="F145" s="391">
        <v>24094.0</v>
      </c>
      <c r="G145" s="391">
        <v>316.0</v>
      </c>
      <c r="H145" s="391">
        <v>1.31</v>
      </c>
      <c r="I145" s="391">
        <v>1.32</v>
      </c>
      <c r="J145" s="391">
        <v>1.24</v>
      </c>
      <c r="K145" s="391">
        <v>10390.0</v>
      </c>
      <c r="L145" s="391">
        <v>789620.0</v>
      </c>
      <c r="M145" s="391">
        <v>0.4312</v>
      </c>
      <c r="N145" s="38">
        <v>32.8797</v>
      </c>
    </row>
    <row r="146">
      <c r="A146" s="389" t="s">
        <v>1967</v>
      </c>
      <c r="B146" s="389" t="s">
        <v>137</v>
      </c>
      <c r="C146" s="389" t="s">
        <v>359</v>
      </c>
      <c r="D146" s="389" t="s">
        <v>1968</v>
      </c>
      <c r="E146" s="390" t="s">
        <v>39</v>
      </c>
      <c r="F146" s="391">
        <v>24094.0</v>
      </c>
      <c r="G146" s="391">
        <v>191.0</v>
      </c>
      <c r="H146" s="391">
        <v>0.79</v>
      </c>
      <c r="I146" s="391">
        <v>0.26</v>
      </c>
      <c r="J146" s="391">
        <v>0.67</v>
      </c>
      <c r="K146" s="391">
        <v>2050.0</v>
      </c>
      <c r="L146" s="391">
        <v>789620.0</v>
      </c>
      <c r="M146" s="391">
        <v>0.0851</v>
      </c>
      <c r="N146" s="38">
        <v>10.733</v>
      </c>
    </row>
    <row r="147">
      <c r="A147" s="389" t="s">
        <v>1967</v>
      </c>
      <c r="B147" s="389" t="s">
        <v>137</v>
      </c>
      <c r="C147" s="389" t="s">
        <v>359</v>
      </c>
      <c r="D147" s="389" t="s">
        <v>1968</v>
      </c>
      <c r="E147" s="390" t="s">
        <v>108</v>
      </c>
      <c r="F147" s="391">
        <v>24094.0</v>
      </c>
      <c r="G147" s="391">
        <v>51.0</v>
      </c>
      <c r="H147" s="391">
        <v>0.21</v>
      </c>
      <c r="I147" s="391">
        <v>0.13</v>
      </c>
      <c r="J147" s="391">
        <v>0.16</v>
      </c>
      <c r="K147" s="391">
        <v>1025.0</v>
      </c>
      <c r="L147" s="391">
        <v>789620.0</v>
      </c>
      <c r="M147" s="391">
        <v>0.0425</v>
      </c>
      <c r="N147" s="38">
        <v>20.098</v>
      </c>
    </row>
    <row r="148">
      <c r="A148" s="389" t="s">
        <v>1967</v>
      </c>
      <c r="B148" s="389" t="s">
        <v>137</v>
      </c>
      <c r="C148" s="389" t="s">
        <v>359</v>
      </c>
      <c r="D148" s="389" t="s">
        <v>1968</v>
      </c>
      <c r="E148" s="390" t="s">
        <v>30</v>
      </c>
      <c r="F148" s="391">
        <v>24094.0</v>
      </c>
      <c r="G148" s="391">
        <v>42.0</v>
      </c>
      <c r="H148" s="391">
        <v>0.17</v>
      </c>
      <c r="I148" s="391">
        <v>0.08</v>
      </c>
      <c r="J148" s="391">
        <v>0.15</v>
      </c>
      <c r="K148" s="391">
        <v>645.0</v>
      </c>
      <c r="L148" s="391">
        <v>789620.0</v>
      </c>
      <c r="M148" s="391">
        <v>0.0268</v>
      </c>
      <c r="N148" s="38">
        <v>15.3571</v>
      </c>
    </row>
    <row r="149">
      <c r="A149" s="389" t="s">
        <v>1967</v>
      </c>
      <c r="B149" s="389" t="s">
        <v>137</v>
      </c>
      <c r="C149" s="389" t="s">
        <v>359</v>
      </c>
      <c r="D149" s="389" t="s">
        <v>1968</v>
      </c>
      <c r="E149" s="390" t="s">
        <v>367</v>
      </c>
      <c r="F149" s="391">
        <v>24094.0</v>
      </c>
      <c r="G149" s="391">
        <v>2.0</v>
      </c>
      <c r="H149" s="391">
        <v>0.01</v>
      </c>
      <c r="I149" s="391">
        <v>0.0</v>
      </c>
      <c r="J149" s="391">
        <v>0.01</v>
      </c>
      <c r="K149" s="391">
        <v>20.0</v>
      </c>
      <c r="L149" s="391">
        <v>789620.0</v>
      </c>
      <c r="M149" s="391">
        <v>8.0E-4</v>
      </c>
      <c r="N149" s="38">
        <v>10.0</v>
      </c>
    </row>
    <row r="150">
      <c r="A150" s="389" t="s">
        <v>1967</v>
      </c>
      <c r="B150" s="389" t="s">
        <v>137</v>
      </c>
      <c r="C150" s="389" t="s">
        <v>359</v>
      </c>
      <c r="D150" s="389" t="s">
        <v>1968</v>
      </c>
      <c r="E150" s="390" t="s">
        <v>37</v>
      </c>
      <c r="F150" s="391">
        <v>24094.0</v>
      </c>
      <c r="G150" s="391">
        <v>1.0</v>
      </c>
      <c r="H150" s="391">
        <v>0.0</v>
      </c>
      <c r="I150" s="391">
        <v>0.0</v>
      </c>
      <c r="J150" s="391">
        <v>0.0</v>
      </c>
      <c r="K150" s="391">
        <v>15.0</v>
      </c>
      <c r="L150" s="391">
        <v>789620.0</v>
      </c>
      <c r="M150" s="391">
        <v>6.0E-4</v>
      </c>
      <c r="N150" s="38">
        <v>15.0</v>
      </c>
    </row>
    <row r="151">
      <c r="A151" s="389" t="s">
        <v>1967</v>
      </c>
      <c r="B151" s="389" t="s">
        <v>137</v>
      </c>
      <c r="C151" s="389" t="s">
        <v>359</v>
      </c>
      <c r="D151" s="389" t="s">
        <v>1968</v>
      </c>
      <c r="E151" s="390" t="s">
        <v>35</v>
      </c>
      <c r="F151" s="391">
        <v>24094.0</v>
      </c>
      <c r="G151" s="391">
        <v>1.0</v>
      </c>
      <c r="H151" s="391">
        <v>0.0</v>
      </c>
      <c r="I151" s="391">
        <v>0.0</v>
      </c>
      <c r="J151" s="391">
        <v>0.0</v>
      </c>
      <c r="K151" s="391">
        <v>15.0</v>
      </c>
      <c r="L151" s="391">
        <v>789620.0</v>
      </c>
      <c r="M151" s="391">
        <v>6.0E-4</v>
      </c>
      <c r="N151" s="38">
        <v>15.0</v>
      </c>
    </row>
    <row r="152">
      <c r="A152" s="389" t="s">
        <v>1967</v>
      </c>
      <c r="B152" s="389" t="s">
        <v>137</v>
      </c>
      <c r="C152" s="389" t="s">
        <v>359</v>
      </c>
      <c r="D152" s="389" t="s">
        <v>1968</v>
      </c>
      <c r="E152" s="390" t="s">
        <v>41</v>
      </c>
      <c r="F152" s="391">
        <v>24094.0</v>
      </c>
      <c r="G152" s="391">
        <v>1.0</v>
      </c>
      <c r="H152" s="391">
        <v>0.0</v>
      </c>
      <c r="I152" s="391">
        <v>0.0</v>
      </c>
      <c r="J152" s="391">
        <v>0.0</v>
      </c>
      <c r="K152" s="391">
        <v>15.0</v>
      </c>
      <c r="L152" s="391">
        <v>789620.0</v>
      </c>
      <c r="M152" s="391">
        <v>6.0E-4</v>
      </c>
      <c r="N152" s="38">
        <v>15.0</v>
      </c>
    </row>
    <row r="153">
      <c r="A153" s="389" t="s">
        <v>1967</v>
      </c>
      <c r="B153" s="389" t="s">
        <v>137</v>
      </c>
      <c r="C153" s="389" t="s">
        <v>360</v>
      </c>
      <c r="D153" s="389" t="s">
        <v>1968</v>
      </c>
      <c r="E153" s="390" t="s">
        <v>366</v>
      </c>
      <c r="F153" s="391">
        <v>34297.0</v>
      </c>
      <c r="G153" s="391">
        <v>7497.0</v>
      </c>
      <c r="H153" s="391">
        <v>21.86</v>
      </c>
      <c r="I153" s="391">
        <v>55.81</v>
      </c>
      <c r="J153" s="391">
        <v>20.28</v>
      </c>
      <c r="K153" s="391">
        <v>522795.0</v>
      </c>
      <c r="L153" s="391">
        <v>936720.0</v>
      </c>
      <c r="M153" s="391">
        <v>15.2432</v>
      </c>
      <c r="N153" s="38">
        <v>69.7339</v>
      </c>
    </row>
    <row r="154">
      <c r="A154" s="389" t="s">
        <v>1967</v>
      </c>
      <c r="B154" s="389" t="s">
        <v>137</v>
      </c>
      <c r="C154" s="389" t="s">
        <v>360</v>
      </c>
      <c r="D154" s="389" t="s">
        <v>1968</v>
      </c>
      <c r="E154" s="390" t="s">
        <v>371</v>
      </c>
      <c r="F154" s="391">
        <v>34297.0</v>
      </c>
      <c r="G154" s="391">
        <v>18739.0</v>
      </c>
      <c r="H154" s="391">
        <v>54.64</v>
      </c>
      <c r="I154" s="391">
        <v>27.46</v>
      </c>
      <c r="J154" s="391">
        <v>46.99</v>
      </c>
      <c r="K154" s="391">
        <v>257230.0</v>
      </c>
      <c r="L154" s="391">
        <v>936720.0</v>
      </c>
      <c r="M154" s="391">
        <v>7.5001</v>
      </c>
      <c r="N154" s="38">
        <v>13.727</v>
      </c>
    </row>
    <row r="155">
      <c r="A155" s="389" t="s">
        <v>1967</v>
      </c>
      <c r="B155" s="389" t="s">
        <v>137</v>
      </c>
      <c r="C155" s="389" t="s">
        <v>360</v>
      </c>
      <c r="D155" s="389" t="s">
        <v>1968</v>
      </c>
      <c r="E155" s="390" t="s">
        <v>368</v>
      </c>
      <c r="F155" s="391">
        <v>34297.0</v>
      </c>
      <c r="G155" s="391">
        <v>9643.0</v>
      </c>
      <c r="H155" s="391">
        <v>28.12</v>
      </c>
      <c r="I155" s="391">
        <v>12.16</v>
      </c>
      <c r="J155" s="391">
        <v>24.77</v>
      </c>
      <c r="K155" s="391">
        <v>113935.0</v>
      </c>
      <c r="L155" s="391">
        <v>936720.0</v>
      </c>
      <c r="M155" s="391">
        <v>3.322</v>
      </c>
      <c r="N155" s="38">
        <v>11.8153</v>
      </c>
    </row>
    <row r="156">
      <c r="A156" s="389" t="s">
        <v>1967</v>
      </c>
      <c r="B156" s="389" t="s">
        <v>137</v>
      </c>
      <c r="C156" s="389" t="s">
        <v>360</v>
      </c>
      <c r="D156" s="389" t="s">
        <v>1968</v>
      </c>
      <c r="E156" s="390" t="s">
        <v>163</v>
      </c>
      <c r="F156" s="391">
        <v>34297.0</v>
      </c>
      <c r="G156" s="391">
        <v>2175.0</v>
      </c>
      <c r="H156" s="391">
        <v>6.34</v>
      </c>
      <c r="I156" s="391">
        <v>2.41</v>
      </c>
      <c r="J156" s="391">
        <v>5.25</v>
      </c>
      <c r="K156" s="391">
        <v>22560.0</v>
      </c>
      <c r="L156" s="391">
        <v>936720.0</v>
      </c>
      <c r="M156" s="391">
        <v>0.6578</v>
      </c>
      <c r="N156" s="38">
        <v>10.3724</v>
      </c>
    </row>
    <row r="157">
      <c r="A157" s="389" t="s">
        <v>1967</v>
      </c>
      <c r="B157" s="389" t="s">
        <v>137</v>
      </c>
      <c r="C157" s="389" t="s">
        <v>360</v>
      </c>
      <c r="D157" s="389" t="s">
        <v>1968</v>
      </c>
      <c r="E157" s="390" t="s">
        <v>369</v>
      </c>
      <c r="F157" s="391">
        <v>34297.0</v>
      </c>
      <c r="G157" s="391">
        <v>329.0</v>
      </c>
      <c r="H157" s="391">
        <v>0.96</v>
      </c>
      <c r="I157" s="391">
        <v>1.14</v>
      </c>
      <c r="J157" s="391">
        <v>0.89</v>
      </c>
      <c r="K157" s="391">
        <v>10675.0</v>
      </c>
      <c r="L157" s="391">
        <v>936720.0</v>
      </c>
      <c r="M157" s="391">
        <v>0.3113</v>
      </c>
      <c r="N157" s="38">
        <v>32.4468</v>
      </c>
    </row>
    <row r="158">
      <c r="A158" s="389" t="s">
        <v>1967</v>
      </c>
      <c r="B158" s="389" t="s">
        <v>137</v>
      </c>
      <c r="C158" s="389" t="s">
        <v>360</v>
      </c>
      <c r="D158" s="389" t="s">
        <v>1968</v>
      </c>
      <c r="E158" s="390" t="s">
        <v>39</v>
      </c>
      <c r="F158" s="391">
        <v>34297.0</v>
      </c>
      <c r="G158" s="391">
        <v>557.0</v>
      </c>
      <c r="H158" s="391">
        <v>1.62</v>
      </c>
      <c r="I158" s="391">
        <v>0.63</v>
      </c>
      <c r="J158" s="391">
        <v>1.4</v>
      </c>
      <c r="K158" s="391">
        <v>5860.0</v>
      </c>
      <c r="L158" s="391">
        <v>936720.0</v>
      </c>
      <c r="M158" s="391">
        <v>0.1709</v>
      </c>
      <c r="N158" s="38">
        <v>10.5206</v>
      </c>
    </row>
    <row r="159">
      <c r="A159" s="389" t="s">
        <v>1967</v>
      </c>
      <c r="B159" s="389" t="s">
        <v>137</v>
      </c>
      <c r="C159" s="389" t="s">
        <v>360</v>
      </c>
      <c r="D159" s="389" t="s">
        <v>1968</v>
      </c>
      <c r="E159" s="390" t="s">
        <v>30</v>
      </c>
      <c r="F159" s="391">
        <v>34297.0</v>
      </c>
      <c r="G159" s="391">
        <v>117.0</v>
      </c>
      <c r="H159" s="391">
        <v>0.34</v>
      </c>
      <c r="I159" s="391">
        <v>0.19</v>
      </c>
      <c r="J159" s="391">
        <v>0.29</v>
      </c>
      <c r="K159" s="391">
        <v>1770.0</v>
      </c>
      <c r="L159" s="391">
        <v>936720.0</v>
      </c>
      <c r="M159" s="391">
        <v>0.0516</v>
      </c>
      <c r="N159" s="38">
        <v>15.1282</v>
      </c>
    </row>
    <row r="160">
      <c r="A160" s="389" t="s">
        <v>1967</v>
      </c>
      <c r="B160" s="389" t="s">
        <v>137</v>
      </c>
      <c r="C160" s="389" t="s">
        <v>360</v>
      </c>
      <c r="D160" s="389" t="s">
        <v>1968</v>
      </c>
      <c r="E160" s="390" t="s">
        <v>108</v>
      </c>
      <c r="F160" s="391">
        <v>34297.0</v>
      </c>
      <c r="G160" s="391">
        <v>56.0</v>
      </c>
      <c r="H160" s="391">
        <v>0.16</v>
      </c>
      <c r="I160" s="391">
        <v>0.19</v>
      </c>
      <c r="J160" s="391">
        <v>0.11</v>
      </c>
      <c r="K160" s="391">
        <v>1790.0</v>
      </c>
      <c r="L160" s="391">
        <v>936720.0</v>
      </c>
      <c r="M160" s="391">
        <v>0.0522</v>
      </c>
      <c r="N160" s="38">
        <v>31.9643</v>
      </c>
    </row>
    <row r="161">
      <c r="A161" s="389" t="s">
        <v>1967</v>
      </c>
      <c r="B161" s="389" t="s">
        <v>137</v>
      </c>
      <c r="C161" s="389" t="s">
        <v>360</v>
      </c>
      <c r="D161" s="389" t="s">
        <v>1968</v>
      </c>
      <c r="E161" s="390" t="s">
        <v>372</v>
      </c>
      <c r="F161" s="391">
        <v>34297.0</v>
      </c>
      <c r="G161" s="391">
        <v>6.0</v>
      </c>
      <c r="H161" s="391">
        <v>0.02</v>
      </c>
      <c r="I161" s="391">
        <v>0.01</v>
      </c>
      <c r="J161" s="391">
        <v>0.01</v>
      </c>
      <c r="K161" s="391">
        <v>60.0</v>
      </c>
      <c r="L161" s="391">
        <v>936720.0</v>
      </c>
      <c r="M161" s="391">
        <v>0.0017</v>
      </c>
      <c r="N161" s="38">
        <v>10.0</v>
      </c>
    </row>
    <row r="162">
      <c r="A162" s="389" t="s">
        <v>1967</v>
      </c>
      <c r="B162" s="389" t="s">
        <v>137</v>
      </c>
      <c r="C162" s="389" t="s">
        <v>360</v>
      </c>
      <c r="D162" s="389" t="s">
        <v>1968</v>
      </c>
      <c r="E162" s="390" t="s">
        <v>370</v>
      </c>
      <c r="F162" s="391">
        <v>34297.0</v>
      </c>
      <c r="G162" s="391">
        <v>1.0</v>
      </c>
      <c r="H162" s="391">
        <v>0.0</v>
      </c>
      <c r="I162" s="391">
        <v>0.0</v>
      </c>
      <c r="J162" s="391">
        <v>0.0</v>
      </c>
      <c r="K162" s="391">
        <v>15.0</v>
      </c>
      <c r="L162" s="391">
        <v>936720.0</v>
      </c>
      <c r="M162" s="391">
        <v>4.0E-4</v>
      </c>
      <c r="N162" s="38">
        <v>15.0</v>
      </c>
    </row>
    <row r="163">
      <c r="A163" s="389" t="s">
        <v>1967</v>
      </c>
      <c r="B163" s="389" t="s">
        <v>137</v>
      </c>
      <c r="C163" s="389" t="s">
        <v>360</v>
      </c>
      <c r="D163" s="389" t="s">
        <v>1968</v>
      </c>
      <c r="E163" s="390" t="s">
        <v>35</v>
      </c>
      <c r="F163" s="391">
        <v>34297.0</v>
      </c>
      <c r="G163" s="391">
        <v>1.0</v>
      </c>
      <c r="H163" s="391">
        <v>0.0</v>
      </c>
      <c r="I163" s="391">
        <v>0.0</v>
      </c>
      <c r="J163" s="391">
        <v>0.0</v>
      </c>
      <c r="K163" s="391">
        <v>15.0</v>
      </c>
      <c r="L163" s="391">
        <v>936720.0</v>
      </c>
      <c r="M163" s="391">
        <v>4.0E-4</v>
      </c>
      <c r="N163" s="38">
        <v>15.0</v>
      </c>
    </row>
    <row r="164">
      <c r="A164" s="389" t="s">
        <v>1967</v>
      </c>
      <c r="B164" s="389" t="s">
        <v>137</v>
      </c>
      <c r="C164" s="389" t="s">
        <v>360</v>
      </c>
      <c r="D164" s="389" t="s">
        <v>1968</v>
      </c>
      <c r="E164" s="390" t="s">
        <v>37</v>
      </c>
      <c r="F164" s="391">
        <v>34297.0</v>
      </c>
      <c r="G164" s="391">
        <v>1.0</v>
      </c>
      <c r="H164" s="391">
        <v>0.0</v>
      </c>
      <c r="I164" s="391">
        <v>0.0</v>
      </c>
      <c r="J164" s="391">
        <v>0.0</v>
      </c>
      <c r="K164" s="391">
        <v>15.0</v>
      </c>
      <c r="L164" s="391">
        <v>936720.0</v>
      </c>
      <c r="M164" s="391">
        <v>4.0E-4</v>
      </c>
      <c r="N164" s="38">
        <v>15.0</v>
      </c>
    </row>
    <row r="165">
      <c r="A165" s="389" t="s">
        <v>1967</v>
      </c>
      <c r="B165" s="389" t="s">
        <v>137</v>
      </c>
      <c r="C165" s="389" t="s">
        <v>12</v>
      </c>
      <c r="D165" s="389" t="s">
        <v>1968</v>
      </c>
      <c r="E165" s="390" t="s">
        <v>366</v>
      </c>
      <c r="F165" s="391">
        <v>116494.0</v>
      </c>
      <c r="G165" s="391">
        <v>92586.0</v>
      </c>
      <c r="H165" s="391">
        <v>79.48</v>
      </c>
      <c r="I165" s="391">
        <v>55.43</v>
      </c>
      <c r="J165" s="391">
        <v>54.4</v>
      </c>
      <c r="K165" s="391">
        <v>9576590.0</v>
      </c>
      <c r="L165" s="391">
        <v>1.7278115E7</v>
      </c>
      <c r="M165" s="391">
        <v>82.2067</v>
      </c>
      <c r="N165" s="38">
        <v>103.4345</v>
      </c>
    </row>
    <row r="166">
      <c r="A166" s="389" t="s">
        <v>1967</v>
      </c>
      <c r="B166" s="389" t="s">
        <v>137</v>
      </c>
      <c r="C166" s="389" t="s">
        <v>12</v>
      </c>
      <c r="D166" s="389" t="s">
        <v>1968</v>
      </c>
      <c r="E166" s="390" t="s">
        <v>44</v>
      </c>
      <c r="F166" s="391">
        <v>116494.0</v>
      </c>
      <c r="G166" s="391">
        <v>36551.0</v>
      </c>
      <c r="H166" s="391">
        <v>31.38</v>
      </c>
      <c r="I166" s="391">
        <v>24.56</v>
      </c>
      <c r="J166" s="391">
        <v>20.48</v>
      </c>
      <c r="K166" s="391">
        <v>4242900.0</v>
      </c>
      <c r="L166" s="391">
        <v>1.7278115E7</v>
      </c>
      <c r="M166" s="391">
        <v>36.4216</v>
      </c>
      <c r="N166" s="38">
        <v>116.0816</v>
      </c>
    </row>
    <row r="167">
      <c r="A167" s="389" t="s">
        <v>1967</v>
      </c>
      <c r="B167" s="389" t="s">
        <v>137</v>
      </c>
      <c r="C167" s="389" t="s">
        <v>12</v>
      </c>
      <c r="D167" s="389" t="s">
        <v>1968</v>
      </c>
      <c r="E167" s="390" t="s">
        <v>371</v>
      </c>
      <c r="F167" s="391">
        <v>116494.0</v>
      </c>
      <c r="G167" s="391">
        <v>29364.0</v>
      </c>
      <c r="H167" s="391">
        <v>25.21</v>
      </c>
      <c r="I167" s="391">
        <v>10.76</v>
      </c>
      <c r="J167" s="391">
        <v>13.16</v>
      </c>
      <c r="K167" s="391">
        <v>1859185.0</v>
      </c>
      <c r="L167" s="391">
        <v>1.7278115E7</v>
      </c>
      <c r="M167" s="391">
        <v>15.9595</v>
      </c>
      <c r="N167" s="38">
        <v>63.3151</v>
      </c>
    </row>
    <row r="168">
      <c r="A168" s="389" t="s">
        <v>1967</v>
      </c>
      <c r="B168" s="389" t="s">
        <v>137</v>
      </c>
      <c r="C168" s="389" t="s">
        <v>12</v>
      </c>
      <c r="D168" s="389" t="s">
        <v>1968</v>
      </c>
      <c r="E168" s="390" t="s">
        <v>39</v>
      </c>
      <c r="F168" s="391">
        <v>116494.0</v>
      </c>
      <c r="G168" s="391">
        <v>12711.0</v>
      </c>
      <c r="H168" s="391">
        <v>10.91</v>
      </c>
      <c r="I168" s="391">
        <v>5.07</v>
      </c>
      <c r="J168" s="391">
        <v>5.54</v>
      </c>
      <c r="K168" s="391">
        <v>876210.0</v>
      </c>
      <c r="L168" s="391">
        <v>1.7278115E7</v>
      </c>
      <c r="M168" s="391">
        <v>7.5215</v>
      </c>
      <c r="N168" s="38">
        <v>68.9332</v>
      </c>
    </row>
    <row r="169">
      <c r="A169" s="389" t="s">
        <v>1967</v>
      </c>
      <c r="B169" s="389" t="s">
        <v>137</v>
      </c>
      <c r="C169" s="389" t="s">
        <v>12</v>
      </c>
      <c r="D169" s="389" t="s">
        <v>1968</v>
      </c>
      <c r="E169" s="390" t="s">
        <v>363</v>
      </c>
      <c r="F169" s="391">
        <v>116494.0</v>
      </c>
      <c r="G169" s="391">
        <v>11253.0</v>
      </c>
      <c r="H169" s="391">
        <v>9.66</v>
      </c>
      <c r="I169" s="391">
        <v>1.76</v>
      </c>
      <c r="J169" s="391">
        <v>2.22</v>
      </c>
      <c r="K169" s="391">
        <v>303890.0</v>
      </c>
      <c r="L169" s="391">
        <v>1.7278115E7</v>
      </c>
      <c r="M169" s="391">
        <v>2.6086</v>
      </c>
      <c r="N169" s="38">
        <v>27.0052</v>
      </c>
    </row>
    <row r="170">
      <c r="A170" s="389" t="s">
        <v>1967</v>
      </c>
      <c r="B170" s="389" t="s">
        <v>137</v>
      </c>
      <c r="C170" s="389" t="s">
        <v>12</v>
      </c>
      <c r="D170" s="389" t="s">
        <v>1968</v>
      </c>
      <c r="E170" s="390" t="s">
        <v>368</v>
      </c>
      <c r="F170" s="391">
        <v>116494.0</v>
      </c>
      <c r="G170" s="391">
        <v>3041.0</v>
      </c>
      <c r="H170" s="391">
        <v>2.61</v>
      </c>
      <c r="I170" s="391">
        <v>0.73</v>
      </c>
      <c r="J170" s="391">
        <v>1.32</v>
      </c>
      <c r="K170" s="391">
        <v>126890.0</v>
      </c>
      <c r="L170" s="391">
        <v>1.7278115E7</v>
      </c>
      <c r="M170" s="391">
        <v>1.0892</v>
      </c>
      <c r="N170" s="38">
        <v>41.7264</v>
      </c>
    </row>
    <row r="171">
      <c r="A171" s="389" t="s">
        <v>1967</v>
      </c>
      <c r="B171" s="389" t="s">
        <v>137</v>
      </c>
      <c r="C171" s="389" t="s">
        <v>12</v>
      </c>
      <c r="D171" s="389" t="s">
        <v>1968</v>
      </c>
      <c r="E171" s="390" t="s">
        <v>370</v>
      </c>
      <c r="F171" s="391">
        <v>116494.0</v>
      </c>
      <c r="G171" s="391">
        <v>2463.0</v>
      </c>
      <c r="H171" s="391">
        <v>2.11</v>
      </c>
      <c r="I171" s="391">
        <v>0.42</v>
      </c>
      <c r="J171" s="391">
        <v>0.87</v>
      </c>
      <c r="K171" s="391">
        <v>73005.0</v>
      </c>
      <c r="L171" s="391">
        <v>1.7278115E7</v>
      </c>
      <c r="M171" s="391">
        <v>0.6267</v>
      </c>
      <c r="N171" s="38">
        <v>29.6407</v>
      </c>
    </row>
    <row r="172">
      <c r="A172" s="389" t="s">
        <v>1967</v>
      </c>
      <c r="B172" s="389" t="s">
        <v>137</v>
      </c>
      <c r="C172" s="389" t="s">
        <v>12</v>
      </c>
      <c r="D172" s="389" t="s">
        <v>1968</v>
      </c>
      <c r="E172" s="390" t="s">
        <v>38</v>
      </c>
      <c r="F172" s="391">
        <v>116494.0</v>
      </c>
      <c r="G172" s="391">
        <v>1680.0</v>
      </c>
      <c r="H172" s="391">
        <v>1.44</v>
      </c>
      <c r="I172" s="391">
        <v>0.39</v>
      </c>
      <c r="J172" s="391">
        <v>0.46</v>
      </c>
      <c r="K172" s="391">
        <v>67575.0</v>
      </c>
      <c r="L172" s="391">
        <v>1.7278115E7</v>
      </c>
      <c r="M172" s="391">
        <v>0.5801</v>
      </c>
      <c r="N172" s="38">
        <v>40.2232</v>
      </c>
    </row>
    <row r="173">
      <c r="A173" s="389" t="s">
        <v>1967</v>
      </c>
      <c r="B173" s="389" t="s">
        <v>137</v>
      </c>
      <c r="C173" s="389" t="s">
        <v>12</v>
      </c>
      <c r="D173" s="389" t="s">
        <v>1968</v>
      </c>
      <c r="E173" s="390" t="s">
        <v>369</v>
      </c>
      <c r="F173" s="391">
        <v>116494.0</v>
      </c>
      <c r="G173" s="391">
        <v>901.0</v>
      </c>
      <c r="H173" s="391">
        <v>0.77</v>
      </c>
      <c r="I173" s="391">
        <v>0.22</v>
      </c>
      <c r="J173" s="391">
        <v>0.38</v>
      </c>
      <c r="K173" s="391">
        <v>37670.0</v>
      </c>
      <c r="L173" s="391">
        <v>1.7278115E7</v>
      </c>
      <c r="M173" s="391">
        <v>0.3234</v>
      </c>
      <c r="N173" s="38">
        <v>41.8091</v>
      </c>
    </row>
    <row r="174">
      <c r="A174" s="389" t="s">
        <v>1967</v>
      </c>
      <c r="B174" s="389" t="s">
        <v>137</v>
      </c>
      <c r="C174" s="389" t="s">
        <v>12</v>
      </c>
      <c r="D174" s="389" t="s">
        <v>1968</v>
      </c>
      <c r="E174" s="390" t="s">
        <v>365</v>
      </c>
      <c r="F174" s="391">
        <v>116494.0</v>
      </c>
      <c r="G174" s="391">
        <v>589.0</v>
      </c>
      <c r="H174" s="391">
        <v>0.51</v>
      </c>
      <c r="I174" s="391">
        <v>0.17</v>
      </c>
      <c r="J174" s="391">
        <v>0.24</v>
      </c>
      <c r="K174" s="391">
        <v>28920.0</v>
      </c>
      <c r="L174" s="391">
        <v>1.7278115E7</v>
      </c>
      <c r="M174" s="391">
        <v>0.2483</v>
      </c>
      <c r="N174" s="38">
        <v>49.1002</v>
      </c>
    </row>
    <row r="175">
      <c r="A175" s="389" t="s">
        <v>1967</v>
      </c>
      <c r="B175" s="389" t="s">
        <v>137</v>
      </c>
      <c r="C175" s="389" t="s">
        <v>12</v>
      </c>
      <c r="D175" s="389" t="s">
        <v>1968</v>
      </c>
      <c r="E175" s="390" t="s">
        <v>163</v>
      </c>
      <c r="F175" s="391">
        <v>116494.0</v>
      </c>
      <c r="G175" s="391">
        <v>707.0</v>
      </c>
      <c r="H175" s="391">
        <v>0.61</v>
      </c>
      <c r="I175" s="391">
        <v>0.15</v>
      </c>
      <c r="J175" s="391">
        <v>0.27</v>
      </c>
      <c r="K175" s="391">
        <v>25485.0</v>
      </c>
      <c r="L175" s="391">
        <v>1.7278115E7</v>
      </c>
      <c r="M175" s="391">
        <v>0.2188</v>
      </c>
      <c r="N175" s="38">
        <v>36.0467</v>
      </c>
    </row>
    <row r="176">
      <c r="A176" s="389" t="s">
        <v>1967</v>
      </c>
      <c r="B176" s="389" t="s">
        <v>137</v>
      </c>
      <c r="C176" s="389" t="s">
        <v>12</v>
      </c>
      <c r="D176" s="389" t="s">
        <v>1968</v>
      </c>
      <c r="E176" s="390" t="s">
        <v>30</v>
      </c>
      <c r="F176" s="391">
        <v>116494.0</v>
      </c>
      <c r="G176" s="391">
        <v>683.0</v>
      </c>
      <c r="H176" s="391">
        <v>0.59</v>
      </c>
      <c r="I176" s="391">
        <v>0.14</v>
      </c>
      <c r="J176" s="391">
        <v>0.24</v>
      </c>
      <c r="K176" s="391">
        <v>24360.0</v>
      </c>
      <c r="L176" s="391">
        <v>1.7278115E7</v>
      </c>
      <c r="M176" s="391">
        <v>0.2091</v>
      </c>
      <c r="N176" s="38">
        <v>35.6662</v>
      </c>
    </row>
    <row r="177">
      <c r="A177" s="389" t="s">
        <v>1967</v>
      </c>
      <c r="B177" s="389" t="s">
        <v>137</v>
      </c>
      <c r="C177" s="389" t="s">
        <v>12</v>
      </c>
      <c r="D177" s="389" t="s">
        <v>1968</v>
      </c>
      <c r="E177" s="390" t="s">
        <v>367</v>
      </c>
      <c r="F177" s="391">
        <v>116494.0</v>
      </c>
      <c r="G177" s="391">
        <v>1023.0</v>
      </c>
      <c r="H177" s="391">
        <v>0.88</v>
      </c>
      <c r="I177" s="391">
        <v>0.13</v>
      </c>
      <c r="J177" s="391">
        <v>0.31</v>
      </c>
      <c r="K177" s="391">
        <v>21900.0</v>
      </c>
      <c r="L177" s="391">
        <v>1.7278115E7</v>
      </c>
      <c r="M177" s="391">
        <v>0.188</v>
      </c>
      <c r="N177" s="38">
        <v>21.4076</v>
      </c>
    </row>
    <row r="178">
      <c r="A178" s="389" t="s">
        <v>1967</v>
      </c>
      <c r="B178" s="389" t="s">
        <v>137</v>
      </c>
      <c r="C178" s="389" t="s">
        <v>12</v>
      </c>
      <c r="D178" s="389" t="s">
        <v>1968</v>
      </c>
      <c r="E178" s="390" t="s">
        <v>45</v>
      </c>
      <c r="F178" s="391">
        <v>116494.0</v>
      </c>
      <c r="G178" s="391">
        <v>201.0</v>
      </c>
      <c r="H178" s="391">
        <v>0.17</v>
      </c>
      <c r="I178" s="391">
        <v>0.06</v>
      </c>
      <c r="J178" s="391">
        <v>0.09</v>
      </c>
      <c r="K178" s="391">
        <v>10400.0</v>
      </c>
      <c r="L178" s="391">
        <v>1.7278115E7</v>
      </c>
      <c r="M178" s="391">
        <v>0.0893</v>
      </c>
      <c r="N178" s="38">
        <v>51.7413</v>
      </c>
    </row>
    <row r="179">
      <c r="A179" s="389" t="s">
        <v>1967</v>
      </c>
      <c r="B179" s="389" t="s">
        <v>137</v>
      </c>
      <c r="C179" s="389" t="s">
        <v>12</v>
      </c>
      <c r="D179" s="389" t="s">
        <v>1968</v>
      </c>
      <c r="E179" s="390" t="s">
        <v>27</v>
      </c>
      <c r="F179" s="391">
        <v>116494.0</v>
      </c>
      <c r="G179" s="391">
        <v>56.0</v>
      </c>
      <c r="H179" s="391">
        <v>0.05</v>
      </c>
      <c r="I179" s="391">
        <v>0.01</v>
      </c>
      <c r="J179" s="391">
        <v>0.02</v>
      </c>
      <c r="K179" s="391">
        <v>2250.0</v>
      </c>
      <c r="L179" s="391">
        <v>1.7278115E7</v>
      </c>
      <c r="M179" s="391">
        <v>0.0193</v>
      </c>
      <c r="N179" s="38">
        <v>40.1786</v>
      </c>
    </row>
    <row r="180">
      <c r="A180" s="389" t="s">
        <v>1967</v>
      </c>
      <c r="B180" s="389" t="s">
        <v>137</v>
      </c>
      <c r="C180" s="389" t="s">
        <v>12</v>
      </c>
      <c r="D180" s="389" t="s">
        <v>1968</v>
      </c>
      <c r="E180" s="390" t="s">
        <v>372</v>
      </c>
      <c r="F180" s="391">
        <v>116494.0</v>
      </c>
      <c r="G180" s="391">
        <v>1.0</v>
      </c>
      <c r="H180" s="391">
        <v>0.0</v>
      </c>
      <c r="I180" s="391">
        <v>0.0</v>
      </c>
      <c r="J180" s="391">
        <v>0.0</v>
      </c>
      <c r="K180" s="391">
        <v>15.0</v>
      </c>
      <c r="L180" s="391">
        <v>1.7278115E7</v>
      </c>
      <c r="M180" s="391">
        <v>1.0E-4</v>
      </c>
      <c r="N180" s="38">
        <v>15.0</v>
      </c>
    </row>
    <row r="181">
      <c r="A181" s="389" t="s">
        <v>1967</v>
      </c>
      <c r="B181" s="389" t="s">
        <v>137</v>
      </c>
      <c r="C181" s="389" t="s">
        <v>12</v>
      </c>
      <c r="D181" s="389" t="s">
        <v>1968</v>
      </c>
      <c r="E181" s="390" t="s">
        <v>35</v>
      </c>
      <c r="F181" s="391">
        <v>116494.0</v>
      </c>
      <c r="G181" s="391">
        <v>1.0</v>
      </c>
      <c r="H181" s="391">
        <v>0.0</v>
      </c>
      <c r="I181" s="391">
        <v>0.0</v>
      </c>
      <c r="J181" s="391">
        <v>0.0</v>
      </c>
      <c r="K181" s="391">
        <v>65.0</v>
      </c>
      <c r="L181" s="391">
        <v>1.7278115E7</v>
      </c>
      <c r="M181" s="391">
        <v>6.0E-4</v>
      </c>
      <c r="N181" s="38">
        <v>65.0</v>
      </c>
    </row>
    <row r="182">
      <c r="A182" s="389" t="s">
        <v>1967</v>
      </c>
      <c r="B182" s="389" t="s">
        <v>137</v>
      </c>
      <c r="C182" s="389" t="s">
        <v>12</v>
      </c>
      <c r="D182" s="389" t="s">
        <v>1968</v>
      </c>
      <c r="E182" s="390" t="s">
        <v>108</v>
      </c>
      <c r="F182" s="391">
        <v>116494.0</v>
      </c>
      <c r="G182" s="391">
        <v>22.0</v>
      </c>
      <c r="H182" s="391">
        <v>0.02</v>
      </c>
      <c r="I182" s="391">
        <v>0.0</v>
      </c>
      <c r="J182" s="391">
        <v>0.0</v>
      </c>
      <c r="K182" s="391">
        <v>655.0</v>
      </c>
      <c r="L182" s="391">
        <v>1.7278115E7</v>
      </c>
      <c r="M182" s="391">
        <v>0.0056</v>
      </c>
      <c r="N182" s="38">
        <v>29.7727</v>
      </c>
    </row>
    <row r="183">
      <c r="A183" s="389" t="s">
        <v>1967</v>
      </c>
      <c r="B183" s="389" t="s">
        <v>137</v>
      </c>
      <c r="C183" s="389" t="s">
        <v>12</v>
      </c>
      <c r="D183" s="389" t="s">
        <v>1968</v>
      </c>
      <c r="E183" s="390" t="s">
        <v>373</v>
      </c>
      <c r="F183" s="391">
        <v>116494.0</v>
      </c>
      <c r="G183" s="391">
        <v>1.0</v>
      </c>
      <c r="H183" s="391">
        <v>0.0</v>
      </c>
      <c r="I183" s="391">
        <v>0.0</v>
      </c>
      <c r="J183" s="391">
        <v>0.0</v>
      </c>
      <c r="K183" s="391">
        <v>60.0</v>
      </c>
      <c r="L183" s="391">
        <v>1.7278115E7</v>
      </c>
      <c r="M183" s="391">
        <v>5.0E-4</v>
      </c>
      <c r="N183" s="38">
        <v>60.0</v>
      </c>
    </row>
    <row r="184">
      <c r="A184" s="389" t="s">
        <v>1967</v>
      </c>
      <c r="B184" s="389" t="s">
        <v>137</v>
      </c>
      <c r="C184" s="389" t="s">
        <v>12</v>
      </c>
      <c r="D184" s="389" t="s">
        <v>1968</v>
      </c>
      <c r="E184" s="390" t="s">
        <v>37</v>
      </c>
      <c r="F184" s="391">
        <v>116494.0</v>
      </c>
      <c r="G184" s="391">
        <v>1.0</v>
      </c>
      <c r="H184" s="391">
        <v>0.0</v>
      </c>
      <c r="I184" s="391">
        <v>0.0</v>
      </c>
      <c r="J184" s="391">
        <v>0.0</v>
      </c>
      <c r="K184" s="391">
        <v>40.0</v>
      </c>
      <c r="L184" s="391">
        <v>1.7278115E7</v>
      </c>
      <c r="M184" s="391">
        <v>3.0E-4</v>
      </c>
      <c r="N184" s="38">
        <v>40.0</v>
      </c>
    </row>
    <row r="185">
      <c r="A185" s="389" t="s">
        <v>1967</v>
      </c>
      <c r="B185" s="389" t="s">
        <v>137</v>
      </c>
      <c r="C185" s="389" t="s">
        <v>12</v>
      </c>
      <c r="D185" s="389" t="s">
        <v>1968</v>
      </c>
      <c r="E185" s="390" t="s">
        <v>41</v>
      </c>
      <c r="F185" s="391">
        <v>116494.0</v>
      </c>
      <c r="G185" s="391">
        <v>1.0</v>
      </c>
      <c r="H185" s="391">
        <v>0.0</v>
      </c>
      <c r="I185" s="391">
        <v>0.0</v>
      </c>
      <c r="J185" s="391">
        <v>0.0</v>
      </c>
      <c r="K185" s="391">
        <v>50.0</v>
      </c>
      <c r="L185" s="391">
        <v>1.7278115E7</v>
      </c>
      <c r="M185" s="391">
        <v>4.0E-4</v>
      </c>
      <c r="N185" s="38">
        <v>50.0</v>
      </c>
    </row>
    <row r="186">
      <c r="A186" s="389" t="s">
        <v>1967</v>
      </c>
      <c r="B186" s="389" t="s">
        <v>339</v>
      </c>
      <c r="C186" s="389" t="s">
        <v>8</v>
      </c>
      <c r="D186" s="389" t="s">
        <v>591</v>
      </c>
      <c r="E186" s="390" t="s">
        <v>369</v>
      </c>
      <c r="F186" s="391">
        <v>36153.0</v>
      </c>
      <c r="G186" s="391">
        <v>27421.0</v>
      </c>
      <c r="H186" s="391">
        <v>75.85</v>
      </c>
      <c r="I186" s="391">
        <v>70.4</v>
      </c>
      <c r="J186" s="391">
        <v>69.33</v>
      </c>
      <c r="K186" s="391">
        <v>43905.0</v>
      </c>
      <c r="L186" s="391">
        <v>62368.0</v>
      </c>
      <c r="M186" s="391">
        <v>1.2144</v>
      </c>
      <c r="N186" s="38">
        <v>1.6011</v>
      </c>
    </row>
    <row r="187">
      <c r="A187" s="389" t="s">
        <v>1967</v>
      </c>
      <c r="B187" s="389" t="s">
        <v>339</v>
      </c>
      <c r="C187" s="389" t="s">
        <v>8</v>
      </c>
      <c r="D187" s="389" t="s">
        <v>591</v>
      </c>
      <c r="E187" s="390" t="s">
        <v>37</v>
      </c>
      <c r="F187" s="391">
        <v>36153.0</v>
      </c>
      <c r="G187" s="391">
        <v>7635.0</v>
      </c>
      <c r="H187" s="391">
        <v>21.12</v>
      </c>
      <c r="I187" s="391">
        <v>15.07</v>
      </c>
      <c r="J187" s="391">
        <v>15.79</v>
      </c>
      <c r="K187" s="391">
        <v>9400.0</v>
      </c>
      <c r="L187" s="391">
        <v>62368.0</v>
      </c>
      <c r="M187" s="391">
        <v>0.26</v>
      </c>
      <c r="N187" s="38">
        <v>1.2312</v>
      </c>
    </row>
    <row r="188">
      <c r="A188" s="389" t="s">
        <v>1967</v>
      </c>
      <c r="B188" s="389" t="s">
        <v>339</v>
      </c>
      <c r="C188" s="389" t="s">
        <v>8</v>
      </c>
      <c r="D188" s="389" t="s">
        <v>591</v>
      </c>
      <c r="E188" s="390" t="s">
        <v>44</v>
      </c>
      <c r="F188" s="391">
        <v>36153.0</v>
      </c>
      <c r="G188" s="391">
        <v>3288.0</v>
      </c>
      <c r="H188" s="391">
        <v>9.09</v>
      </c>
      <c r="I188" s="391">
        <v>5.9</v>
      </c>
      <c r="J188" s="391">
        <v>6.26</v>
      </c>
      <c r="K188" s="391">
        <v>3678.0</v>
      </c>
      <c r="L188" s="391">
        <v>62368.0</v>
      </c>
      <c r="M188" s="391">
        <v>0.1017</v>
      </c>
      <c r="N188" s="38">
        <v>1.1186</v>
      </c>
    </row>
    <row r="189">
      <c r="A189" s="389" t="s">
        <v>1967</v>
      </c>
      <c r="B189" s="389" t="s">
        <v>339</v>
      </c>
      <c r="C189" s="389" t="s">
        <v>8</v>
      </c>
      <c r="D189" s="389" t="s">
        <v>591</v>
      </c>
      <c r="E189" s="390" t="s">
        <v>371</v>
      </c>
      <c r="F189" s="391">
        <v>36153.0</v>
      </c>
      <c r="G189" s="391">
        <v>2379.0</v>
      </c>
      <c r="H189" s="391">
        <v>6.58</v>
      </c>
      <c r="I189" s="391">
        <v>5.15</v>
      </c>
      <c r="J189" s="391">
        <v>4.56</v>
      </c>
      <c r="K189" s="391">
        <v>3214.0</v>
      </c>
      <c r="L189" s="391">
        <v>62368.0</v>
      </c>
      <c r="M189" s="391">
        <v>0.0889</v>
      </c>
      <c r="N189" s="38">
        <v>1.351</v>
      </c>
    </row>
    <row r="190">
      <c r="A190" s="389" t="s">
        <v>1967</v>
      </c>
      <c r="B190" s="389" t="s">
        <v>339</v>
      </c>
      <c r="C190" s="389" t="s">
        <v>8</v>
      </c>
      <c r="D190" s="389" t="s">
        <v>591</v>
      </c>
      <c r="E190" s="390" t="s">
        <v>39</v>
      </c>
      <c r="F190" s="391">
        <v>36153.0</v>
      </c>
      <c r="G190" s="391">
        <v>1038.0</v>
      </c>
      <c r="H190" s="391">
        <v>2.87</v>
      </c>
      <c r="I190" s="391">
        <v>1.76</v>
      </c>
      <c r="J190" s="391">
        <v>2.01</v>
      </c>
      <c r="K190" s="391">
        <v>1099.0</v>
      </c>
      <c r="L190" s="391">
        <v>62368.0</v>
      </c>
      <c r="M190" s="391">
        <v>0.0304</v>
      </c>
      <c r="N190" s="38">
        <v>1.0588</v>
      </c>
    </row>
    <row r="191">
      <c r="A191" s="389" t="s">
        <v>1967</v>
      </c>
      <c r="B191" s="389" t="s">
        <v>339</v>
      </c>
      <c r="C191" s="389" t="s">
        <v>8</v>
      </c>
      <c r="D191" s="389" t="s">
        <v>591</v>
      </c>
      <c r="E191" s="390" t="s">
        <v>45</v>
      </c>
      <c r="F191" s="391">
        <v>36153.0</v>
      </c>
      <c r="G191" s="391">
        <v>474.0</v>
      </c>
      <c r="H191" s="391">
        <v>1.31</v>
      </c>
      <c r="I191" s="391">
        <v>0.77</v>
      </c>
      <c r="J191" s="391">
        <v>1.03</v>
      </c>
      <c r="K191" s="391">
        <v>483.0</v>
      </c>
      <c r="L191" s="391">
        <v>62368.0</v>
      </c>
      <c r="M191" s="391">
        <v>0.0134</v>
      </c>
      <c r="N191" s="38">
        <v>1.019</v>
      </c>
    </row>
    <row r="192">
      <c r="A192" s="389" t="s">
        <v>1967</v>
      </c>
      <c r="B192" s="389" t="s">
        <v>339</v>
      </c>
      <c r="C192" s="389" t="s">
        <v>8</v>
      </c>
      <c r="D192" s="389" t="s">
        <v>591</v>
      </c>
      <c r="E192" s="390" t="s">
        <v>38</v>
      </c>
      <c r="F192" s="391">
        <v>36153.0</v>
      </c>
      <c r="G192" s="391">
        <v>242.0</v>
      </c>
      <c r="H192" s="391">
        <v>0.67</v>
      </c>
      <c r="I192" s="391">
        <v>0.4</v>
      </c>
      <c r="J192" s="391">
        <v>0.42</v>
      </c>
      <c r="K192" s="391">
        <v>252.0</v>
      </c>
      <c r="L192" s="391">
        <v>62368.0</v>
      </c>
      <c r="M192" s="391">
        <v>0.007</v>
      </c>
      <c r="N192" s="38">
        <v>1.0413</v>
      </c>
    </row>
    <row r="193">
      <c r="A193" s="389" t="s">
        <v>1967</v>
      </c>
      <c r="B193" s="389" t="s">
        <v>339</v>
      </c>
      <c r="C193" s="389" t="s">
        <v>8</v>
      </c>
      <c r="D193" s="389" t="s">
        <v>591</v>
      </c>
      <c r="E193" s="390" t="s">
        <v>370</v>
      </c>
      <c r="F193" s="391">
        <v>36153.0</v>
      </c>
      <c r="G193" s="391">
        <v>187.0</v>
      </c>
      <c r="H193" s="391">
        <v>0.52</v>
      </c>
      <c r="I193" s="391">
        <v>0.31</v>
      </c>
      <c r="J193" s="391">
        <v>0.38</v>
      </c>
      <c r="K193" s="391">
        <v>193.0</v>
      </c>
      <c r="L193" s="391">
        <v>62368.0</v>
      </c>
      <c r="M193" s="391">
        <v>0.0053</v>
      </c>
      <c r="N193" s="38">
        <v>1.0321</v>
      </c>
    </row>
    <row r="194">
      <c r="A194" s="389" t="s">
        <v>1967</v>
      </c>
      <c r="B194" s="389" t="s">
        <v>339</v>
      </c>
      <c r="C194" s="389" t="s">
        <v>8</v>
      </c>
      <c r="D194" s="389" t="s">
        <v>591</v>
      </c>
      <c r="E194" s="390" t="s">
        <v>108</v>
      </c>
      <c r="F194" s="391">
        <v>36153.0</v>
      </c>
      <c r="G194" s="391">
        <v>55.0</v>
      </c>
      <c r="H194" s="391">
        <v>0.15</v>
      </c>
      <c r="I194" s="391">
        <v>0.1</v>
      </c>
      <c r="J194" s="391">
        <v>0.08</v>
      </c>
      <c r="K194" s="391">
        <v>62.0</v>
      </c>
      <c r="L194" s="391">
        <v>62368.0</v>
      </c>
      <c r="M194" s="391">
        <v>0.0017</v>
      </c>
      <c r="N194" s="38">
        <v>1.1273</v>
      </c>
    </row>
    <row r="195">
      <c r="A195" s="389" t="s">
        <v>1967</v>
      </c>
      <c r="B195" s="389" t="s">
        <v>339</v>
      </c>
      <c r="C195" s="389" t="s">
        <v>8</v>
      </c>
      <c r="D195" s="389" t="s">
        <v>591</v>
      </c>
      <c r="E195" s="390" t="s">
        <v>365</v>
      </c>
      <c r="F195" s="391">
        <v>36153.0</v>
      </c>
      <c r="G195" s="391">
        <v>55.0</v>
      </c>
      <c r="H195" s="391">
        <v>0.15</v>
      </c>
      <c r="I195" s="391">
        <v>0.09</v>
      </c>
      <c r="J195" s="391">
        <v>0.11</v>
      </c>
      <c r="K195" s="391">
        <v>57.0</v>
      </c>
      <c r="L195" s="391">
        <v>62368.0</v>
      </c>
      <c r="M195" s="391">
        <v>0.0016</v>
      </c>
      <c r="N195" s="38">
        <v>1.0364</v>
      </c>
    </row>
    <row r="196">
      <c r="A196" s="389" t="s">
        <v>1967</v>
      </c>
      <c r="B196" s="389" t="s">
        <v>339</v>
      </c>
      <c r="C196" s="389" t="s">
        <v>8</v>
      </c>
      <c r="D196" s="389" t="s">
        <v>591</v>
      </c>
      <c r="E196" s="390" t="s">
        <v>368</v>
      </c>
      <c r="F196" s="391">
        <v>36153.0</v>
      </c>
      <c r="G196" s="391">
        <v>18.0</v>
      </c>
      <c r="H196" s="391">
        <v>0.05</v>
      </c>
      <c r="I196" s="391">
        <v>0.03</v>
      </c>
      <c r="J196" s="391">
        <v>0.02</v>
      </c>
      <c r="K196" s="391">
        <v>19.0</v>
      </c>
      <c r="L196" s="391">
        <v>62368.0</v>
      </c>
      <c r="M196" s="391">
        <v>5.0E-4</v>
      </c>
      <c r="N196" s="38">
        <v>1.0556</v>
      </c>
    </row>
    <row r="197">
      <c r="A197" s="389" t="s">
        <v>1967</v>
      </c>
      <c r="B197" s="389" t="s">
        <v>339</v>
      </c>
      <c r="C197" s="389" t="s">
        <v>8</v>
      </c>
      <c r="D197" s="389" t="s">
        <v>591</v>
      </c>
      <c r="E197" s="390" t="s">
        <v>163</v>
      </c>
      <c r="F197" s="391">
        <v>36153.0</v>
      </c>
      <c r="G197" s="391">
        <v>2.0</v>
      </c>
      <c r="H197" s="391">
        <v>0.01</v>
      </c>
      <c r="I197" s="391">
        <v>0.0</v>
      </c>
      <c r="J197" s="391">
        <v>0.0</v>
      </c>
      <c r="K197" s="391">
        <v>2.0</v>
      </c>
      <c r="L197" s="391">
        <v>62368.0</v>
      </c>
      <c r="M197" s="391">
        <v>1.0E-4</v>
      </c>
      <c r="N197" s="38">
        <v>1.0</v>
      </c>
    </row>
    <row r="198">
      <c r="A198" s="389" t="s">
        <v>1967</v>
      </c>
      <c r="B198" s="389" t="s">
        <v>339</v>
      </c>
      <c r="C198" s="389" t="s">
        <v>8</v>
      </c>
      <c r="D198" s="389" t="s">
        <v>591</v>
      </c>
      <c r="E198" s="390" t="s">
        <v>367</v>
      </c>
      <c r="F198" s="391">
        <v>36153.0</v>
      </c>
      <c r="G198" s="391">
        <v>1.0</v>
      </c>
      <c r="H198" s="391">
        <v>0.0</v>
      </c>
      <c r="I198" s="391">
        <v>0.0</v>
      </c>
      <c r="J198" s="391">
        <v>0.0</v>
      </c>
      <c r="K198" s="391">
        <v>2.0</v>
      </c>
      <c r="L198" s="391">
        <v>62368.0</v>
      </c>
      <c r="M198" s="391">
        <v>1.0E-4</v>
      </c>
      <c r="N198" s="38">
        <v>2.0</v>
      </c>
    </row>
    <row r="199">
      <c r="A199" s="389" t="s">
        <v>1967</v>
      </c>
      <c r="B199" s="389" t="s">
        <v>339</v>
      </c>
      <c r="C199" s="389" t="s">
        <v>8</v>
      </c>
      <c r="D199" s="389" t="s">
        <v>591</v>
      </c>
      <c r="E199" s="390" t="s">
        <v>30</v>
      </c>
      <c r="F199" s="391">
        <v>36153.0</v>
      </c>
      <c r="G199" s="391">
        <v>2.0</v>
      </c>
      <c r="H199" s="391">
        <v>0.01</v>
      </c>
      <c r="I199" s="391">
        <v>0.0</v>
      </c>
      <c r="J199" s="391">
        <v>0.0</v>
      </c>
      <c r="K199" s="391">
        <v>2.0</v>
      </c>
      <c r="L199" s="391">
        <v>62368.0</v>
      </c>
      <c r="M199" s="391">
        <v>1.0E-4</v>
      </c>
      <c r="N199" s="38">
        <v>1.0</v>
      </c>
    </row>
    <row r="200">
      <c r="A200" s="389" t="s">
        <v>1967</v>
      </c>
      <c r="B200" s="389" t="s">
        <v>339</v>
      </c>
      <c r="C200" s="389" t="s">
        <v>7</v>
      </c>
      <c r="D200" s="389" t="s">
        <v>591</v>
      </c>
      <c r="E200" s="390" t="s">
        <v>369</v>
      </c>
      <c r="F200" s="391">
        <v>48694.0</v>
      </c>
      <c r="G200" s="391">
        <v>27474.0</v>
      </c>
      <c r="H200" s="391">
        <v>56.42</v>
      </c>
      <c r="I200" s="391">
        <v>45.55</v>
      </c>
      <c r="J200" s="391">
        <v>43.63</v>
      </c>
      <c r="K200" s="391">
        <v>43263.0</v>
      </c>
      <c r="L200" s="391">
        <v>94977.0</v>
      </c>
      <c r="M200" s="391">
        <v>0.8885</v>
      </c>
      <c r="N200" s="38">
        <v>1.5747</v>
      </c>
    </row>
    <row r="201">
      <c r="A201" s="389" t="s">
        <v>1967</v>
      </c>
      <c r="B201" s="389" t="s">
        <v>339</v>
      </c>
      <c r="C201" s="389" t="s">
        <v>7</v>
      </c>
      <c r="D201" s="389" t="s">
        <v>591</v>
      </c>
      <c r="E201" s="390" t="s">
        <v>371</v>
      </c>
      <c r="F201" s="391">
        <v>48694.0</v>
      </c>
      <c r="G201" s="391">
        <v>14545.0</v>
      </c>
      <c r="H201" s="391">
        <v>29.87</v>
      </c>
      <c r="I201" s="391">
        <v>21.62</v>
      </c>
      <c r="J201" s="391">
        <v>19.5</v>
      </c>
      <c r="K201" s="391">
        <v>20535.0</v>
      </c>
      <c r="L201" s="391">
        <v>94977.0</v>
      </c>
      <c r="M201" s="391">
        <v>0.4217</v>
      </c>
      <c r="N201" s="38">
        <v>1.4118</v>
      </c>
    </row>
    <row r="202">
      <c r="A202" s="389" t="s">
        <v>1967</v>
      </c>
      <c r="B202" s="389" t="s">
        <v>339</v>
      </c>
      <c r="C202" s="389" t="s">
        <v>7</v>
      </c>
      <c r="D202" s="389" t="s">
        <v>591</v>
      </c>
      <c r="E202" s="390" t="s">
        <v>368</v>
      </c>
      <c r="F202" s="391">
        <v>48694.0</v>
      </c>
      <c r="G202" s="391">
        <v>11293.0</v>
      </c>
      <c r="H202" s="391">
        <v>23.19</v>
      </c>
      <c r="I202" s="391">
        <v>14.62</v>
      </c>
      <c r="J202" s="391">
        <v>16.39</v>
      </c>
      <c r="K202" s="391">
        <v>13882.0</v>
      </c>
      <c r="L202" s="391">
        <v>94977.0</v>
      </c>
      <c r="M202" s="391">
        <v>0.2851</v>
      </c>
      <c r="N202" s="38">
        <v>1.2293</v>
      </c>
    </row>
    <row r="203">
      <c r="A203" s="389" t="s">
        <v>1967</v>
      </c>
      <c r="B203" s="389" t="s">
        <v>339</v>
      </c>
      <c r="C203" s="389" t="s">
        <v>7</v>
      </c>
      <c r="D203" s="389" t="s">
        <v>591</v>
      </c>
      <c r="E203" s="390" t="s">
        <v>37</v>
      </c>
      <c r="F203" s="391">
        <v>48694.0</v>
      </c>
      <c r="G203" s="391">
        <v>4256.0</v>
      </c>
      <c r="H203" s="391">
        <v>8.74</v>
      </c>
      <c r="I203" s="391">
        <v>5.16</v>
      </c>
      <c r="J203" s="391">
        <v>5.58</v>
      </c>
      <c r="K203" s="391">
        <v>4899.0</v>
      </c>
      <c r="L203" s="391">
        <v>94977.0</v>
      </c>
      <c r="M203" s="391">
        <v>0.1006</v>
      </c>
      <c r="N203" s="38">
        <v>1.1511</v>
      </c>
    </row>
    <row r="204">
      <c r="A204" s="389" t="s">
        <v>1967</v>
      </c>
      <c r="B204" s="389" t="s">
        <v>339</v>
      </c>
      <c r="C204" s="389" t="s">
        <v>7</v>
      </c>
      <c r="D204" s="389" t="s">
        <v>591</v>
      </c>
      <c r="E204" s="390" t="s">
        <v>44</v>
      </c>
      <c r="F204" s="391">
        <v>48694.0</v>
      </c>
      <c r="G204" s="391">
        <v>3288.0</v>
      </c>
      <c r="H204" s="391">
        <v>6.75</v>
      </c>
      <c r="I204" s="391">
        <v>3.87</v>
      </c>
      <c r="J204" s="391">
        <v>4.07</v>
      </c>
      <c r="K204" s="391">
        <v>3678.0</v>
      </c>
      <c r="L204" s="391">
        <v>94977.0</v>
      </c>
      <c r="M204" s="391">
        <v>0.0755</v>
      </c>
      <c r="N204" s="38">
        <v>1.1186</v>
      </c>
    </row>
    <row r="205">
      <c r="A205" s="389" t="s">
        <v>1967</v>
      </c>
      <c r="B205" s="389" t="s">
        <v>339</v>
      </c>
      <c r="C205" s="389" t="s">
        <v>7</v>
      </c>
      <c r="D205" s="389" t="s">
        <v>591</v>
      </c>
      <c r="E205" s="390" t="s">
        <v>39</v>
      </c>
      <c r="F205" s="391">
        <v>48694.0</v>
      </c>
      <c r="G205" s="391">
        <v>2962.0</v>
      </c>
      <c r="H205" s="391">
        <v>6.08</v>
      </c>
      <c r="I205" s="391">
        <v>3.4</v>
      </c>
      <c r="J205" s="391">
        <v>4.07</v>
      </c>
      <c r="K205" s="391">
        <v>3229.0</v>
      </c>
      <c r="L205" s="391">
        <v>94977.0</v>
      </c>
      <c r="M205" s="391">
        <v>0.0663</v>
      </c>
      <c r="N205" s="38">
        <v>1.0901</v>
      </c>
    </row>
    <row r="206">
      <c r="A206" s="389" t="s">
        <v>1967</v>
      </c>
      <c r="B206" s="389" t="s">
        <v>339</v>
      </c>
      <c r="C206" s="389" t="s">
        <v>7</v>
      </c>
      <c r="D206" s="389" t="s">
        <v>591</v>
      </c>
      <c r="E206" s="390" t="s">
        <v>163</v>
      </c>
      <c r="F206" s="391">
        <v>48694.0</v>
      </c>
      <c r="G206" s="391">
        <v>3094.0</v>
      </c>
      <c r="H206" s="391">
        <v>6.35</v>
      </c>
      <c r="I206" s="391">
        <v>3.37</v>
      </c>
      <c r="J206" s="391">
        <v>4.08</v>
      </c>
      <c r="K206" s="391">
        <v>3201.0</v>
      </c>
      <c r="L206" s="391">
        <v>94977.0</v>
      </c>
      <c r="M206" s="391">
        <v>0.0657</v>
      </c>
      <c r="N206" s="38">
        <v>1.0346</v>
      </c>
    </row>
    <row r="207">
      <c r="A207" s="389" t="s">
        <v>1967</v>
      </c>
      <c r="B207" s="389" t="s">
        <v>339</v>
      </c>
      <c r="C207" s="389" t="s">
        <v>7</v>
      </c>
      <c r="D207" s="389" t="s">
        <v>591</v>
      </c>
      <c r="E207" s="390" t="s">
        <v>30</v>
      </c>
      <c r="F207" s="391">
        <v>48694.0</v>
      </c>
      <c r="G207" s="391">
        <v>795.0</v>
      </c>
      <c r="H207" s="391">
        <v>1.63</v>
      </c>
      <c r="I207" s="391">
        <v>0.85</v>
      </c>
      <c r="J207" s="391">
        <v>0.95</v>
      </c>
      <c r="K207" s="391">
        <v>807.0</v>
      </c>
      <c r="L207" s="391">
        <v>94977.0</v>
      </c>
      <c r="M207" s="391">
        <v>0.0166</v>
      </c>
      <c r="N207" s="38">
        <v>1.0151</v>
      </c>
    </row>
    <row r="208">
      <c r="A208" s="389" t="s">
        <v>1967</v>
      </c>
      <c r="B208" s="389" t="s">
        <v>339</v>
      </c>
      <c r="C208" s="389" t="s">
        <v>7</v>
      </c>
      <c r="D208" s="389" t="s">
        <v>591</v>
      </c>
      <c r="E208" s="390" t="s">
        <v>370</v>
      </c>
      <c r="F208" s="391">
        <v>48694.0</v>
      </c>
      <c r="G208" s="391">
        <v>660.0</v>
      </c>
      <c r="H208" s="391">
        <v>1.36</v>
      </c>
      <c r="I208" s="391">
        <v>0.73</v>
      </c>
      <c r="J208" s="391">
        <v>0.8</v>
      </c>
      <c r="K208" s="391">
        <v>691.0</v>
      </c>
      <c r="L208" s="391">
        <v>94977.0</v>
      </c>
      <c r="M208" s="391">
        <v>0.0142</v>
      </c>
      <c r="N208" s="38">
        <v>1.047</v>
      </c>
    </row>
    <row r="209">
      <c r="A209" s="389" t="s">
        <v>1967</v>
      </c>
      <c r="B209" s="389" t="s">
        <v>339</v>
      </c>
      <c r="C209" s="389" t="s">
        <v>7</v>
      </c>
      <c r="D209" s="389" t="s">
        <v>591</v>
      </c>
      <c r="E209" s="390" t="s">
        <v>38</v>
      </c>
      <c r="F209" s="391">
        <v>48694.0</v>
      </c>
      <c r="G209" s="391">
        <v>293.0</v>
      </c>
      <c r="H209" s="391">
        <v>0.6</v>
      </c>
      <c r="I209" s="391">
        <v>0.31</v>
      </c>
      <c r="J209" s="391">
        <v>0.38</v>
      </c>
      <c r="K209" s="391">
        <v>296.0</v>
      </c>
      <c r="L209" s="391">
        <v>94977.0</v>
      </c>
      <c r="M209" s="391">
        <v>0.0061</v>
      </c>
      <c r="N209" s="38">
        <v>1.0102</v>
      </c>
    </row>
    <row r="210">
      <c r="A210" s="389" t="s">
        <v>1967</v>
      </c>
      <c r="B210" s="389" t="s">
        <v>339</v>
      </c>
      <c r="C210" s="389" t="s">
        <v>7</v>
      </c>
      <c r="D210" s="389" t="s">
        <v>591</v>
      </c>
      <c r="E210" s="390" t="s">
        <v>45</v>
      </c>
      <c r="F210" s="391">
        <v>48694.0</v>
      </c>
      <c r="G210" s="391">
        <v>251.0</v>
      </c>
      <c r="H210" s="391">
        <v>0.52</v>
      </c>
      <c r="I210" s="391">
        <v>0.27</v>
      </c>
      <c r="J210" s="391">
        <v>0.35</v>
      </c>
      <c r="K210" s="391">
        <v>255.0</v>
      </c>
      <c r="L210" s="391">
        <v>94977.0</v>
      </c>
      <c r="M210" s="391">
        <v>0.0052</v>
      </c>
      <c r="N210" s="38">
        <v>1.0159</v>
      </c>
    </row>
    <row r="211">
      <c r="A211" s="389" t="s">
        <v>1967</v>
      </c>
      <c r="B211" s="389" t="s">
        <v>339</v>
      </c>
      <c r="C211" s="389" t="s">
        <v>7</v>
      </c>
      <c r="D211" s="389" t="s">
        <v>591</v>
      </c>
      <c r="E211" s="390" t="s">
        <v>367</v>
      </c>
      <c r="F211" s="391">
        <v>48694.0</v>
      </c>
      <c r="G211" s="391">
        <v>90.0</v>
      </c>
      <c r="H211" s="391">
        <v>0.18</v>
      </c>
      <c r="I211" s="391">
        <v>0.12</v>
      </c>
      <c r="J211" s="391">
        <v>0.09</v>
      </c>
      <c r="K211" s="391">
        <v>114.0</v>
      </c>
      <c r="L211" s="391">
        <v>94977.0</v>
      </c>
      <c r="M211" s="391">
        <v>0.0023</v>
      </c>
      <c r="N211" s="38">
        <v>1.2667</v>
      </c>
    </row>
    <row r="212">
      <c r="A212" s="389" t="s">
        <v>1967</v>
      </c>
      <c r="B212" s="389" t="s">
        <v>339</v>
      </c>
      <c r="C212" s="389" t="s">
        <v>7</v>
      </c>
      <c r="D212" s="389" t="s">
        <v>591</v>
      </c>
      <c r="E212" s="390" t="s">
        <v>365</v>
      </c>
      <c r="F212" s="391">
        <v>48694.0</v>
      </c>
      <c r="G212" s="391">
        <v>75.0</v>
      </c>
      <c r="H212" s="391">
        <v>0.15</v>
      </c>
      <c r="I212" s="391">
        <v>0.08</v>
      </c>
      <c r="J212" s="391">
        <v>0.08</v>
      </c>
      <c r="K212" s="391">
        <v>78.0</v>
      </c>
      <c r="L212" s="391">
        <v>94977.0</v>
      </c>
      <c r="M212" s="391">
        <v>0.0016</v>
      </c>
      <c r="N212" s="38">
        <v>1.04</v>
      </c>
    </row>
    <row r="213">
      <c r="A213" s="389" t="s">
        <v>1967</v>
      </c>
      <c r="B213" s="389" t="s">
        <v>339</v>
      </c>
      <c r="C213" s="389" t="s">
        <v>7</v>
      </c>
      <c r="D213" s="389" t="s">
        <v>591</v>
      </c>
      <c r="E213" s="390" t="s">
        <v>108</v>
      </c>
      <c r="F213" s="391">
        <v>48694.0</v>
      </c>
      <c r="G213" s="391">
        <v>41.0</v>
      </c>
      <c r="H213" s="391">
        <v>0.08</v>
      </c>
      <c r="I213" s="391">
        <v>0.05</v>
      </c>
      <c r="J213" s="391">
        <v>0.04</v>
      </c>
      <c r="K213" s="391">
        <v>44.0</v>
      </c>
      <c r="L213" s="391">
        <v>94977.0</v>
      </c>
      <c r="M213" s="391">
        <v>9.0E-4</v>
      </c>
      <c r="N213" s="38">
        <v>1.0732</v>
      </c>
    </row>
    <row r="214">
      <c r="A214" s="389" t="s">
        <v>1967</v>
      </c>
      <c r="B214" s="389" t="s">
        <v>339</v>
      </c>
      <c r="C214" s="389" t="s">
        <v>7</v>
      </c>
      <c r="D214" s="389" t="s">
        <v>591</v>
      </c>
      <c r="E214" s="390" t="s">
        <v>27</v>
      </c>
      <c r="F214" s="391">
        <v>48694.0</v>
      </c>
      <c r="G214" s="391">
        <v>1.0</v>
      </c>
      <c r="H214" s="391">
        <v>0.0</v>
      </c>
      <c r="I214" s="391">
        <v>0.0</v>
      </c>
      <c r="J214" s="391">
        <v>0.0</v>
      </c>
      <c r="K214" s="391">
        <v>1.0</v>
      </c>
      <c r="L214" s="391">
        <v>94977.0</v>
      </c>
      <c r="M214" s="391">
        <v>0.0</v>
      </c>
      <c r="N214" s="38">
        <v>1.0</v>
      </c>
    </row>
    <row r="215">
      <c r="A215" s="389" t="s">
        <v>1967</v>
      </c>
      <c r="B215" s="389" t="s">
        <v>339</v>
      </c>
      <c r="C215" s="389" t="s">
        <v>7</v>
      </c>
      <c r="D215" s="389" t="s">
        <v>591</v>
      </c>
      <c r="E215" s="390" t="s">
        <v>283</v>
      </c>
      <c r="F215" s="391">
        <v>48694.0</v>
      </c>
      <c r="G215" s="391">
        <v>1.0</v>
      </c>
      <c r="H215" s="391">
        <v>0.0</v>
      </c>
      <c r="I215" s="391">
        <v>0.0</v>
      </c>
      <c r="J215" s="391">
        <v>0.0</v>
      </c>
      <c r="K215" s="391">
        <v>2.0</v>
      </c>
      <c r="L215" s="391">
        <v>94977.0</v>
      </c>
      <c r="M215" s="391">
        <v>0.0</v>
      </c>
      <c r="N215" s="38">
        <v>2.0</v>
      </c>
    </row>
    <row r="216">
      <c r="A216" s="389" t="s">
        <v>1967</v>
      </c>
      <c r="B216" s="389" t="s">
        <v>339</v>
      </c>
      <c r="C216" s="389" t="s">
        <v>7</v>
      </c>
      <c r="D216" s="389" t="s">
        <v>591</v>
      </c>
      <c r="E216" s="390" t="s">
        <v>373</v>
      </c>
      <c r="F216" s="391">
        <v>48694.0</v>
      </c>
      <c r="G216" s="391">
        <v>1.0</v>
      </c>
      <c r="H216" s="391">
        <v>0.0</v>
      </c>
      <c r="I216" s="391">
        <v>0.0</v>
      </c>
      <c r="J216" s="391">
        <v>0.0</v>
      </c>
      <c r="K216" s="391">
        <v>2.0</v>
      </c>
      <c r="L216" s="391">
        <v>94977.0</v>
      </c>
      <c r="M216" s="391">
        <v>0.0</v>
      </c>
      <c r="N216" s="38">
        <v>2.0</v>
      </c>
    </row>
    <row r="217">
      <c r="A217" s="389" t="s">
        <v>1967</v>
      </c>
      <c r="B217" s="389" t="s">
        <v>339</v>
      </c>
      <c r="C217" s="389" t="s">
        <v>11</v>
      </c>
      <c r="D217" s="389" t="s">
        <v>591</v>
      </c>
      <c r="E217" s="390" t="s">
        <v>37</v>
      </c>
      <c r="F217" s="391">
        <v>26513.0</v>
      </c>
      <c r="G217" s="391">
        <v>14996.0</v>
      </c>
      <c r="H217" s="391">
        <v>56.56</v>
      </c>
      <c r="I217" s="391">
        <v>43.31</v>
      </c>
      <c r="J217" s="391">
        <v>49.1</v>
      </c>
      <c r="K217" s="391">
        <v>19684.0</v>
      </c>
      <c r="L217" s="391">
        <v>45454.0</v>
      </c>
      <c r="M217" s="391">
        <v>0.7424</v>
      </c>
      <c r="N217" s="38">
        <v>1.3126</v>
      </c>
    </row>
    <row r="218">
      <c r="A218" s="389" t="s">
        <v>1967</v>
      </c>
      <c r="B218" s="389" t="s">
        <v>339</v>
      </c>
      <c r="C218" s="389" t="s">
        <v>11</v>
      </c>
      <c r="D218" s="389" t="s">
        <v>591</v>
      </c>
      <c r="E218" s="390" t="s">
        <v>363</v>
      </c>
      <c r="F218" s="391">
        <v>26513.0</v>
      </c>
      <c r="G218" s="391">
        <v>7490.0</v>
      </c>
      <c r="H218" s="391">
        <v>28.25</v>
      </c>
      <c r="I218" s="391">
        <v>28.75</v>
      </c>
      <c r="J218" s="391">
        <v>22.73</v>
      </c>
      <c r="K218" s="391">
        <v>13070.0</v>
      </c>
      <c r="L218" s="391">
        <v>45454.0</v>
      </c>
      <c r="M218" s="391">
        <v>0.493</v>
      </c>
      <c r="N218" s="38">
        <v>1.745</v>
      </c>
    </row>
    <row r="219">
      <c r="A219" s="389" t="s">
        <v>1967</v>
      </c>
      <c r="B219" s="389" t="s">
        <v>339</v>
      </c>
      <c r="C219" s="389" t="s">
        <v>11</v>
      </c>
      <c r="D219" s="389" t="s">
        <v>591</v>
      </c>
      <c r="E219" s="390" t="s">
        <v>366</v>
      </c>
      <c r="F219" s="391">
        <v>26513.0</v>
      </c>
      <c r="G219" s="391">
        <v>5839.0</v>
      </c>
      <c r="H219" s="391">
        <v>22.02</v>
      </c>
      <c r="I219" s="391">
        <v>15.44</v>
      </c>
      <c r="J219" s="391">
        <v>15.64</v>
      </c>
      <c r="K219" s="391">
        <v>7020.0</v>
      </c>
      <c r="L219" s="391">
        <v>45454.0</v>
      </c>
      <c r="M219" s="391">
        <v>0.2648</v>
      </c>
      <c r="N219" s="38">
        <v>1.2023</v>
      </c>
    </row>
    <row r="220">
      <c r="A220" s="389" t="s">
        <v>1967</v>
      </c>
      <c r="B220" s="389" t="s">
        <v>339</v>
      </c>
      <c r="C220" s="389" t="s">
        <v>11</v>
      </c>
      <c r="D220" s="389" t="s">
        <v>591</v>
      </c>
      <c r="E220" s="390" t="s">
        <v>35</v>
      </c>
      <c r="F220" s="391">
        <v>26513.0</v>
      </c>
      <c r="G220" s="391">
        <v>1559.0</v>
      </c>
      <c r="H220" s="391">
        <v>5.88</v>
      </c>
      <c r="I220" s="391">
        <v>4.54</v>
      </c>
      <c r="J220" s="391">
        <v>4.3</v>
      </c>
      <c r="K220" s="391">
        <v>2062.0</v>
      </c>
      <c r="L220" s="391">
        <v>45454.0</v>
      </c>
      <c r="M220" s="391">
        <v>0.0778</v>
      </c>
      <c r="N220" s="38">
        <v>1.3226</v>
      </c>
    </row>
    <row r="221">
      <c r="A221" s="389" t="s">
        <v>1967</v>
      </c>
      <c r="B221" s="389" t="s">
        <v>339</v>
      </c>
      <c r="C221" s="389" t="s">
        <v>11</v>
      </c>
      <c r="D221" s="389" t="s">
        <v>591</v>
      </c>
      <c r="E221" s="390" t="s">
        <v>371</v>
      </c>
      <c r="F221" s="391">
        <v>26513.0</v>
      </c>
      <c r="G221" s="391">
        <v>722.0</v>
      </c>
      <c r="H221" s="391">
        <v>2.72</v>
      </c>
      <c r="I221" s="391">
        <v>2.06</v>
      </c>
      <c r="J221" s="391">
        <v>2.04</v>
      </c>
      <c r="K221" s="391">
        <v>935.0</v>
      </c>
      <c r="L221" s="391">
        <v>45454.0</v>
      </c>
      <c r="M221" s="391">
        <v>0.0353</v>
      </c>
      <c r="N221" s="38">
        <v>1.295</v>
      </c>
    </row>
    <row r="222">
      <c r="A222" s="389" t="s">
        <v>1967</v>
      </c>
      <c r="B222" s="389" t="s">
        <v>339</v>
      </c>
      <c r="C222" s="389" t="s">
        <v>11</v>
      </c>
      <c r="D222" s="389" t="s">
        <v>591</v>
      </c>
      <c r="E222" s="390" t="s">
        <v>369</v>
      </c>
      <c r="F222" s="391">
        <v>26513.0</v>
      </c>
      <c r="G222" s="391">
        <v>521.0</v>
      </c>
      <c r="H222" s="391">
        <v>1.97</v>
      </c>
      <c r="I222" s="391">
        <v>1.44</v>
      </c>
      <c r="J222" s="391">
        <v>1.17</v>
      </c>
      <c r="K222" s="391">
        <v>654.0</v>
      </c>
      <c r="L222" s="391">
        <v>45454.0</v>
      </c>
      <c r="M222" s="391">
        <v>0.0247</v>
      </c>
      <c r="N222" s="38">
        <v>1.2553</v>
      </c>
    </row>
    <row r="223">
      <c r="A223" s="389" t="s">
        <v>1967</v>
      </c>
      <c r="B223" s="389" t="s">
        <v>339</v>
      </c>
      <c r="C223" s="389" t="s">
        <v>11</v>
      </c>
      <c r="D223" s="389" t="s">
        <v>591</v>
      </c>
      <c r="E223" s="390" t="s">
        <v>45</v>
      </c>
      <c r="F223" s="391">
        <v>26513.0</v>
      </c>
      <c r="G223" s="391">
        <v>570.0</v>
      </c>
      <c r="H223" s="391">
        <v>2.15</v>
      </c>
      <c r="I223" s="391">
        <v>1.36</v>
      </c>
      <c r="J223" s="391">
        <v>1.61</v>
      </c>
      <c r="K223" s="391">
        <v>620.0</v>
      </c>
      <c r="L223" s="391">
        <v>45454.0</v>
      </c>
      <c r="M223" s="391">
        <v>0.0234</v>
      </c>
      <c r="N223" s="38">
        <v>1.0877</v>
      </c>
    </row>
    <row r="224">
      <c r="A224" s="389" t="s">
        <v>1967</v>
      </c>
      <c r="B224" s="389" t="s">
        <v>339</v>
      </c>
      <c r="C224" s="389" t="s">
        <v>11</v>
      </c>
      <c r="D224" s="389" t="s">
        <v>591</v>
      </c>
      <c r="E224" s="390" t="s">
        <v>284</v>
      </c>
      <c r="F224" s="391">
        <v>26513.0</v>
      </c>
      <c r="G224" s="391">
        <v>300.0</v>
      </c>
      <c r="H224" s="391">
        <v>1.13</v>
      </c>
      <c r="I224" s="391">
        <v>0.72</v>
      </c>
      <c r="J224" s="391">
        <v>0.77</v>
      </c>
      <c r="K224" s="391">
        <v>326.0</v>
      </c>
      <c r="L224" s="391">
        <v>45454.0</v>
      </c>
      <c r="M224" s="391">
        <v>0.0123</v>
      </c>
      <c r="N224" s="38">
        <v>1.0867</v>
      </c>
    </row>
    <row r="225">
      <c r="A225" s="389" t="s">
        <v>1967</v>
      </c>
      <c r="B225" s="389" t="s">
        <v>339</v>
      </c>
      <c r="C225" s="389" t="s">
        <v>11</v>
      </c>
      <c r="D225" s="389" t="s">
        <v>591</v>
      </c>
      <c r="E225" s="390" t="s">
        <v>283</v>
      </c>
      <c r="F225" s="391">
        <v>26513.0</v>
      </c>
      <c r="G225" s="391">
        <v>241.0</v>
      </c>
      <c r="H225" s="391">
        <v>0.91</v>
      </c>
      <c r="I225" s="391">
        <v>0.55</v>
      </c>
      <c r="J225" s="391">
        <v>0.7</v>
      </c>
      <c r="K225" s="391">
        <v>249.0</v>
      </c>
      <c r="L225" s="391">
        <v>45454.0</v>
      </c>
      <c r="M225" s="391">
        <v>0.0094</v>
      </c>
      <c r="N225" s="38">
        <v>1.0332</v>
      </c>
    </row>
    <row r="226">
      <c r="A226" s="389" t="s">
        <v>1967</v>
      </c>
      <c r="B226" s="389" t="s">
        <v>339</v>
      </c>
      <c r="C226" s="389" t="s">
        <v>11</v>
      </c>
      <c r="D226" s="389" t="s">
        <v>591</v>
      </c>
      <c r="E226" s="390" t="s">
        <v>282</v>
      </c>
      <c r="F226" s="391">
        <v>26513.0</v>
      </c>
      <c r="G226" s="391">
        <v>201.0</v>
      </c>
      <c r="H226" s="391">
        <v>0.76</v>
      </c>
      <c r="I226" s="391">
        <v>0.48</v>
      </c>
      <c r="J226" s="391">
        <v>0.6</v>
      </c>
      <c r="K226" s="391">
        <v>216.0</v>
      </c>
      <c r="L226" s="391">
        <v>45454.0</v>
      </c>
      <c r="M226" s="391">
        <v>0.0081</v>
      </c>
      <c r="N226" s="38">
        <v>1.0746</v>
      </c>
    </row>
    <row r="227">
      <c r="A227" s="389" t="s">
        <v>1967</v>
      </c>
      <c r="B227" s="389" t="s">
        <v>339</v>
      </c>
      <c r="C227" s="389" t="s">
        <v>11</v>
      </c>
      <c r="D227" s="389" t="s">
        <v>591</v>
      </c>
      <c r="E227" s="390" t="s">
        <v>370</v>
      </c>
      <c r="F227" s="391">
        <v>26513.0</v>
      </c>
      <c r="G227" s="391">
        <v>180.0</v>
      </c>
      <c r="H227" s="391">
        <v>0.68</v>
      </c>
      <c r="I227" s="391">
        <v>0.41</v>
      </c>
      <c r="J227" s="391">
        <v>0.48</v>
      </c>
      <c r="K227" s="391">
        <v>186.0</v>
      </c>
      <c r="L227" s="391">
        <v>45454.0</v>
      </c>
      <c r="M227" s="391">
        <v>0.007</v>
      </c>
      <c r="N227" s="38">
        <v>1.0333</v>
      </c>
    </row>
    <row r="228">
      <c r="A228" s="389" t="s">
        <v>1967</v>
      </c>
      <c r="B228" s="389" t="s">
        <v>339</v>
      </c>
      <c r="C228" s="389" t="s">
        <v>11</v>
      </c>
      <c r="D228" s="389" t="s">
        <v>591</v>
      </c>
      <c r="E228" s="390" t="s">
        <v>108</v>
      </c>
      <c r="F228" s="391">
        <v>26513.0</v>
      </c>
      <c r="G228" s="391">
        <v>113.0</v>
      </c>
      <c r="H228" s="391">
        <v>0.43</v>
      </c>
      <c r="I228" s="391">
        <v>0.31</v>
      </c>
      <c r="J228" s="391">
        <v>0.25</v>
      </c>
      <c r="K228" s="391">
        <v>141.0</v>
      </c>
      <c r="L228" s="391">
        <v>45454.0</v>
      </c>
      <c r="M228" s="391">
        <v>0.0053</v>
      </c>
      <c r="N228" s="38">
        <v>1.2478</v>
      </c>
    </row>
    <row r="229">
      <c r="A229" s="389" t="s">
        <v>1967</v>
      </c>
      <c r="B229" s="389" t="s">
        <v>339</v>
      </c>
      <c r="C229" s="389" t="s">
        <v>11</v>
      </c>
      <c r="D229" s="389" t="s">
        <v>591</v>
      </c>
      <c r="E229" s="390" t="s">
        <v>39</v>
      </c>
      <c r="F229" s="391">
        <v>26513.0</v>
      </c>
      <c r="G229" s="391">
        <v>108.0</v>
      </c>
      <c r="H229" s="391">
        <v>0.41</v>
      </c>
      <c r="I229" s="391">
        <v>0.27</v>
      </c>
      <c r="J229" s="391">
        <v>0.2</v>
      </c>
      <c r="K229" s="391">
        <v>124.0</v>
      </c>
      <c r="L229" s="391">
        <v>45454.0</v>
      </c>
      <c r="M229" s="391">
        <v>0.0047</v>
      </c>
      <c r="N229" s="38">
        <v>1.1481</v>
      </c>
    </row>
    <row r="230">
      <c r="A230" s="389" t="s">
        <v>1967</v>
      </c>
      <c r="B230" s="389" t="s">
        <v>339</v>
      </c>
      <c r="C230" s="389" t="s">
        <v>11</v>
      </c>
      <c r="D230" s="389" t="s">
        <v>591</v>
      </c>
      <c r="E230" s="390" t="s">
        <v>365</v>
      </c>
      <c r="F230" s="391">
        <v>26513.0</v>
      </c>
      <c r="G230" s="391">
        <v>59.0</v>
      </c>
      <c r="H230" s="391">
        <v>0.22</v>
      </c>
      <c r="I230" s="391">
        <v>0.13</v>
      </c>
      <c r="J230" s="391">
        <v>0.14</v>
      </c>
      <c r="K230" s="391">
        <v>60.0</v>
      </c>
      <c r="L230" s="391">
        <v>45454.0</v>
      </c>
      <c r="M230" s="391">
        <v>0.0023</v>
      </c>
      <c r="N230" s="38">
        <v>1.0169</v>
      </c>
    </row>
    <row r="231">
      <c r="A231" s="389" t="s">
        <v>1967</v>
      </c>
      <c r="B231" s="389" t="s">
        <v>339</v>
      </c>
      <c r="C231" s="389" t="s">
        <v>11</v>
      </c>
      <c r="D231" s="389" t="s">
        <v>591</v>
      </c>
      <c r="E231" s="390" t="s">
        <v>27</v>
      </c>
      <c r="F231" s="391">
        <v>26513.0</v>
      </c>
      <c r="G231" s="391">
        <v>53.0</v>
      </c>
      <c r="H231" s="391">
        <v>0.2</v>
      </c>
      <c r="I231" s="391">
        <v>0.12</v>
      </c>
      <c r="J231" s="391">
        <v>0.15</v>
      </c>
      <c r="K231" s="391">
        <v>54.0</v>
      </c>
      <c r="L231" s="391">
        <v>45454.0</v>
      </c>
      <c r="M231" s="391">
        <v>0.002</v>
      </c>
      <c r="N231" s="38">
        <v>1.0189</v>
      </c>
    </row>
    <row r="232">
      <c r="A232" s="389" t="s">
        <v>1967</v>
      </c>
      <c r="B232" s="389" t="s">
        <v>339</v>
      </c>
      <c r="C232" s="389" t="s">
        <v>11</v>
      </c>
      <c r="D232" s="389" t="s">
        <v>591</v>
      </c>
      <c r="E232" s="390" t="s">
        <v>38</v>
      </c>
      <c r="F232" s="391">
        <v>26513.0</v>
      </c>
      <c r="G232" s="391">
        <v>30.0</v>
      </c>
      <c r="H232" s="391">
        <v>0.11</v>
      </c>
      <c r="I232" s="391">
        <v>0.07</v>
      </c>
      <c r="J232" s="391">
        <v>0.07</v>
      </c>
      <c r="K232" s="391">
        <v>31.0</v>
      </c>
      <c r="L232" s="391">
        <v>45454.0</v>
      </c>
      <c r="M232" s="391">
        <v>0.0012</v>
      </c>
      <c r="N232" s="38">
        <v>1.0333</v>
      </c>
    </row>
    <row r="233">
      <c r="A233" s="389" t="s">
        <v>1967</v>
      </c>
      <c r="B233" s="389" t="s">
        <v>339</v>
      </c>
      <c r="C233" s="389" t="s">
        <v>11</v>
      </c>
      <c r="D233" s="389" t="s">
        <v>591</v>
      </c>
      <c r="E233" s="390" t="s">
        <v>368</v>
      </c>
      <c r="F233" s="391">
        <v>26513.0</v>
      </c>
      <c r="G233" s="391">
        <v>18.0</v>
      </c>
      <c r="H233" s="391">
        <v>0.07</v>
      </c>
      <c r="I233" s="391">
        <v>0.04</v>
      </c>
      <c r="J233" s="391">
        <v>0.04</v>
      </c>
      <c r="K233" s="391">
        <v>19.0</v>
      </c>
      <c r="L233" s="391">
        <v>45454.0</v>
      </c>
      <c r="M233" s="391">
        <v>7.0E-4</v>
      </c>
      <c r="N233" s="38">
        <v>1.0556</v>
      </c>
    </row>
    <row r="234">
      <c r="A234" s="389" t="s">
        <v>1967</v>
      </c>
      <c r="B234" s="389" t="s">
        <v>339</v>
      </c>
      <c r="C234" s="389" t="s">
        <v>11</v>
      </c>
      <c r="D234" s="389" t="s">
        <v>591</v>
      </c>
      <c r="E234" s="390" t="s">
        <v>367</v>
      </c>
      <c r="F234" s="391">
        <v>26513.0</v>
      </c>
      <c r="G234" s="391">
        <v>1.0</v>
      </c>
      <c r="H234" s="391">
        <v>0.0</v>
      </c>
      <c r="I234" s="391">
        <v>0.0</v>
      </c>
      <c r="J234" s="391">
        <v>0.0</v>
      </c>
      <c r="K234" s="391">
        <v>1.0</v>
      </c>
      <c r="L234" s="391">
        <v>45454.0</v>
      </c>
      <c r="M234" s="391">
        <v>0.0</v>
      </c>
      <c r="N234" s="38">
        <v>1.0</v>
      </c>
    </row>
    <row r="235">
      <c r="A235" s="389" t="s">
        <v>1967</v>
      </c>
      <c r="B235" s="389" t="s">
        <v>339</v>
      </c>
      <c r="C235" s="389" t="s">
        <v>11</v>
      </c>
      <c r="D235" s="389" t="s">
        <v>591</v>
      </c>
      <c r="E235" s="390" t="s">
        <v>163</v>
      </c>
      <c r="F235" s="391">
        <v>26513.0</v>
      </c>
      <c r="G235" s="391">
        <v>2.0</v>
      </c>
      <c r="H235" s="391">
        <v>0.01</v>
      </c>
      <c r="I235" s="391">
        <v>0.0</v>
      </c>
      <c r="J235" s="391">
        <v>0.0</v>
      </c>
      <c r="K235" s="391">
        <v>2.0</v>
      </c>
      <c r="L235" s="391">
        <v>45454.0</v>
      </c>
      <c r="M235" s="391">
        <v>1.0E-4</v>
      </c>
      <c r="N235" s="38">
        <v>1.0</v>
      </c>
    </row>
    <row r="236">
      <c r="A236" s="389" t="s">
        <v>1967</v>
      </c>
      <c r="B236" s="389" t="s">
        <v>339</v>
      </c>
      <c r="C236" s="389" t="s">
        <v>357</v>
      </c>
      <c r="D236" s="389" t="s">
        <v>357</v>
      </c>
      <c r="E236" s="390" t="s">
        <v>366</v>
      </c>
      <c r="F236" s="391">
        <v>91501.0</v>
      </c>
      <c r="G236" s="391">
        <v>78455.0</v>
      </c>
      <c r="H236" s="391">
        <v>85.74</v>
      </c>
      <c r="I236" s="391">
        <v>63.75</v>
      </c>
      <c r="J236" s="391">
        <v>63.72</v>
      </c>
      <c r="K236" s="391">
        <v>8726390.0</v>
      </c>
      <c r="L236" s="391">
        <v>1.3687393E7</v>
      </c>
      <c r="M236" s="391">
        <v>95.3693</v>
      </c>
      <c r="N236" s="38">
        <v>111.228</v>
      </c>
    </row>
    <row r="237">
      <c r="A237" s="389" t="s">
        <v>1967</v>
      </c>
      <c r="B237" s="389" t="s">
        <v>339</v>
      </c>
      <c r="C237" s="389" t="s">
        <v>357</v>
      </c>
      <c r="D237" s="389" t="s">
        <v>357</v>
      </c>
      <c r="E237" s="390" t="s">
        <v>37</v>
      </c>
      <c r="F237" s="391">
        <v>91501.0</v>
      </c>
      <c r="G237" s="391">
        <v>16677.0</v>
      </c>
      <c r="H237" s="391">
        <v>18.23</v>
      </c>
      <c r="I237" s="391">
        <v>9.99</v>
      </c>
      <c r="J237" s="391">
        <v>8.15</v>
      </c>
      <c r="K237" s="391">
        <v>1367805.0</v>
      </c>
      <c r="L237" s="391">
        <v>1.3687393E7</v>
      </c>
      <c r="M237" s="391">
        <v>14.9485</v>
      </c>
      <c r="N237" s="38">
        <v>82.0174</v>
      </c>
    </row>
    <row r="238">
      <c r="A238" s="389" t="s">
        <v>1967</v>
      </c>
      <c r="B238" s="389" t="s">
        <v>339</v>
      </c>
      <c r="C238" s="389" t="s">
        <v>357</v>
      </c>
      <c r="D238" s="389" t="s">
        <v>357</v>
      </c>
      <c r="E238" s="390" t="s">
        <v>363</v>
      </c>
      <c r="F238" s="391">
        <v>91501.0</v>
      </c>
      <c r="G238" s="391">
        <v>21891.0</v>
      </c>
      <c r="H238" s="391">
        <v>23.92</v>
      </c>
      <c r="I238" s="391">
        <v>9.02</v>
      </c>
      <c r="J238" s="391">
        <v>8.48</v>
      </c>
      <c r="K238" s="391">
        <v>1234325.0</v>
      </c>
      <c r="L238" s="391">
        <v>1.3687393E7</v>
      </c>
      <c r="M238" s="391">
        <v>13.4897</v>
      </c>
      <c r="N238" s="38">
        <v>56.385</v>
      </c>
    </row>
    <row r="239">
      <c r="A239" s="389" t="s">
        <v>1967</v>
      </c>
      <c r="B239" s="389" t="s">
        <v>339</v>
      </c>
      <c r="C239" s="389" t="s">
        <v>357</v>
      </c>
      <c r="D239" s="389" t="s">
        <v>357</v>
      </c>
      <c r="E239" s="390" t="s">
        <v>35</v>
      </c>
      <c r="F239" s="391">
        <v>91501.0</v>
      </c>
      <c r="G239" s="391">
        <v>11616.0</v>
      </c>
      <c r="H239" s="391">
        <v>12.69</v>
      </c>
      <c r="I239" s="391">
        <v>6.96</v>
      </c>
      <c r="J239" s="391">
        <v>5.55</v>
      </c>
      <c r="K239" s="391">
        <v>952740.0</v>
      </c>
      <c r="L239" s="391">
        <v>1.3687393E7</v>
      </c>
      <c r="M239" s="391">
        <v>10.4123</v>
      </c>
      <c r="N239" s="38">
        <v>82.0196</v>
      </c>
    </row>
    <row r="240">
      <c r="A240" s="389" t="s">
        <v>1967</v>
      </c>
      <c r="B240" s="389" t="s">
        <v>339</v>
      </c>
      <c r="C240" s="389" t="s">
        <v>357</v>
      </c>
      <c r="D240" s="389" t="s">
        <v>357</v>
      </c>
      <c r="E240" s="390" t="s">
        <v>371</v>
      </c>
      <c r="F240" s="391">
        <v>91501.0</v>
      </c>
      <c r="G240" s="391">
        <v>18086.0</v>
      </c>
      <c r="H240" s="391">
        <v>19.77</v>
      </c>
      <c r="I240" s="391">
        <v>2.68</v>
      </c>
      <c r="J240" s="391">
        <v>5.38</v>
      </c>
      <c r="K240" s="391">
        <v>366360.0</v>
      </c>
      <c r="L240" s="391">
        <v>1.3687393E7</v>
      </c>
      <c r="M240" s="391">
        <v>4.0039</v>
      </c>
      <c r="N240" s="38">
        <v>20.2566</v>
      </c>
    </row>
    <row r="241">
      <c r="A241" s="389" t="s">
        <v>1967</v>
      </c>
      <c r="B241" s="389" t="s">
        <v>339</v>
      </c>
      <c r="C241" s="389" t="s">
        <v>357</v>
      </c>
      <c r="D241" s="389" t="s">
        <v>357</v>
      </c>
      <c r="E241" s="390" t="s">
        <v>369</v>
      </c>
      <c r="F241" s="391">
        <v>91501.0</v>
      </c>
      <c r="G241" s="391">
        <v>18742.0</v>
      </c>
      <c r="H241" s="391">
        <v>20.48</v>
      </c>
      <c r="I241" s="391">
        <v>2.56</v>
      </c>
      <c r="J241" s="391">
        <v>3.57</v>
      </c>
      <c r="K241" s="391">
        <v>349938.0</v>
      </c>
      <c r="L241" s="391">
        <v>1.3687393E7</v>
      </c>
      <c r="M241" s="391">
        <v>3.8244</v>
      </c>
      <c r="N241" s="38">
        <v>18.6713</v>
      </c>
    </row>
    <row r="242">
      <c r="A242" s="389" t="s">
        <v>1967</v>
      </c>
      <c r="B242" s="389" t="s">
        <v>339</v>
      </c>
      <c r="C242" s="389" t="s">
        <v>357</v>
      </c>
      <c r="D242" s="389" t="s">
        <v>357</v>
      </c>
      <c r="E242" s="390" t="s">
        <v>284</v>
      </c>
      <c r="F242" s="391">
        <v>91501.0</v>
      </c>
      <c r="G242" s="391">
        <v>1268.0</v>
      </c>
      <c r="H242" s="391">
        <v>1.39</v>
      </c>
      <c r="I242" s="391">
        <v>1.03</v>
      </c>
      <c r="J242" s="391">
        <v>0.67</v>
      </c>
      <c r="K242" s="391">
        <v>140950.0</v>
      </c>
      <c r="L242" s="391">
        <v>1.3687393E7</v>
      </c>
      <c r="M242" s="391">
        <v>1.5404</v>
      </c>
      <c r="N242" s="38">
        <v>111.1593</v>
      </c>
    </row>
    <row r="243">
      <c r="A243" s="389" t="s">
        <v>1967</v>
      </c>
      <c r="B243" s="389" t="s">
        <v>339</v>
      </c>
      <c r="C243" s="389" t="s">
        <v>357</v>
      </c>
      <c r="D243" s="389" t="s">
        <v>357</v>
      </c>
      <c r="E243" s="390" t="s">
        <v>45</v>
      </c>
      <c r="F243" s="391">
        <v>91501.0</v>
      </c>
      <c r="G243" s="391">
        <v>1872.0</v>
      </c>
      <c r="H243" s="391">
        <v>2.05</v>
      </c>
      <c r="I243" s="391">
        <v>0.84</v>
      </c>
      <c r="J243" s="391">
        <v>0.92</v>
      </c>
      <c r="K243" s="391">
        <v>114800.0</v>
      </c>
      <c r="L243" s="391">
        <v>1.3687393E7</v>
      </c>
      <c r="M243" s="391">
        <v>1.2546</v>
      </c>
      <c r="N243" s="38">
        <v>61.3248</v>
      </c>
    </row>
    <row r="244">
      <c r="A244" s="389" t="s">
        <v>1967</v>
      </c>
      <c r="B244" s="389" t="s">
        <v>339</v>
      </c>
      <c r="C244" s="389" t="s">
        <v>357</v>
      </c>
      <c r="D244" s="389" t="s">
        <v>357</v>
      </c>
      <c r="E244" s="390" t="s">
        <v>282</v>
      </c>
      <c r="F244" s="391">
        <v>91501.0</v>
      </c>
      <c r="G244" s="391">
        <v>1018.0</v>
      </c>
      <c r="H244" s="391">
        <v>1.11</v>
      </c>
      <c r="I244" s="391">
        <v>0.76</v>
      </c>
      <c r="J244" s="391">
        <v>0.6</v>
      </c>
      <c r="K244" s="391">
        <v>103600.0</v>
      </c>
      <c r="L244" s="391">
        <v>1.3687393E7</v>
      </c>
      <c r="M244" s="391">
        <v>1.1322</v>
      </c>
      <c r="N244" s="38">
        <v>101.7682</v>
      </c>
    </row>
    <row r="245">
      <c r="A245" s="389" t="s">
        <v>1967</v>
      </c>
      <c r="B245" s="389" t="s">
        <v>339</v>
      </c>
      <c r="C245" s="389" t="s">
        <v>357</v>
      </c>
      <c r="D245" s="389" t="s">
        <v>357</v>
      </c>
      <c r="E245" s="390" t="s">
        <v>283</v>
      </c>
      <c r="F245" s="391">
        <v>91501.0</v>
      </c>
      <c r="G245" s="391">
        <v>961.0</v>
      </c>
      <c r="H245" s="391">
        <v>1.05</v>
      </c>
      <c r="I245" s="391">
        <v>0.76</v>
      </c>
      <c r="J245" s="391">
        <v>0.56</v>
      </c>
      <c r="K245" s="391">
        <v>103350.0</v>
      </c>
      <c r="L245" s="391">
        <v>1.3687393E7</v>
      </c>
      <c r="M245" s="391">
        <v>1.1295</v>
      </c>
      <c r="N245" s="38">
        <v>107.5442</v>
      </c>
    </row>
    <row r="246">
      <c r="A246" s="389" t="s">
        <v>1967</v>
      </c>
      <c r="B246" s="389" t="s">
        <v>339</v>
      </c>
      <c r="C246" s="389" t="s">
        <v>357</v>
      </c>
      <c r="D246" s="389" t="s">
        <v>357</v>
      </c>
      <c r="E246" s="390" t="s">
        <v>38</v>
      </c>
      <c r="F246" s="391">
        <v>91501.0</v>
      </c>
      <c r="G246" s="391">
        <v>279.0</v>
      </c>
      <c r="H246" s="391">
        <v>0.3</v>
      </c>
      <c r="I246" s="391">
        <v>0.33</v>
      </c>
      <c r="J246" s="391">
        <v>0.16</v>
      </c>
      <c r="K246" s="391">
        <v>45750.0</v>
      </c>
      <c r="L246" s="391">
        <v>1.3687393E7</v>
      </c>
      <c r="M246" s="391">
        <v>0.5</v>
      </c>
      <c r="N246" s="38">
        <v>163.9785</v>
      </c>
    </row>
    <row r="247">
      <c r="A247" s="389" t="s">
        <v>1967</v>
      </c>
      <c r="B247" s="389" t="s">
        <v>339</v>
      </c>
      <c r="C247" s="389" t="s">
        <v>357</v>
      </c>
      <c r="D247" s="389" t="s">
        <v>357</v>
      </c>
      <c r="E247" s="390" t="s">
        <v>39</v>
      </c>
      <c r="F247" s="391">
        <v>91501.0</v>
      </c>
      <c r="G247" s="391">
        <v>3143.0</v>
      </c>
      <c r="H247" s="391">
        <v>3.43</v>
      </c>
      <c r="I247" s="391">
        <v>0.31</v>
      </c>
      <c r="J247" s="391">
        <v>0.68</v>
      </c>
      <c r="K247" s="391">
        <v>42350.0</v>
      </c>
      <c r="L247" s="391">
        <v>1.3687393E7</v>
      </c>
      <c r="M247" s="391">
        <v>0.4628</v>
      </c>
      <c r="N247" s="38">
        <v>13.4744</v>
      </c>
    </row>
    <row r="248">
      <c r="A248" s="389" t="s">
        <v>1967</v>
      </c>
      <c r="B248" s="389" t="s">
        <v>339</v>
      </c>
      <c r="C248" s="389" t="s">
        <v>357</v>
      </c>
      <c r="D248" s="389" t="s">
        <v>357</v>
      </c>
      <c r="E248" s="390" t="s">
        <v>370</v>
      </c>
      <c r="F248" s="391">
        <v>91501.0</v>
      </c>
      <c r="G248" s="391">
        <v>1670.0</v>
      </c>
      <c r="H248" s="391">
        <v>1.83</v>
      </c>
      <c r="I248" s="391">
        <v>0.24</v>
      </c>
      <c r="J248" s="391">
        <v>0.55</v>
      </c>
      <c r="K248" s="391">
        <v>33305.0</v>
      </c>
      <c r="L248" s="391">
        <v>1.3687393E7</v>
      </c>
      <c r="M248" s="391">
        <v>0.364</v>
      </c>
      <c r="N248" s="38">
        <v>19.9431</v>
      </c>
    </row>
    <row r="249">
      <c r="A249" s="389" t="s">
        <v>1967</v>
      </c>
      <c r="B249" s="389" t="s">
        <v>339</v>
      </c>
      <c r="C249" s="389" t="s">
        <v>357</v>
      </c>
      <c r="D249" s="389" t="s">
        <v>357</v>
      </c>
      <c r="E249" s="390" t="s">
        <v>368</v>
      </c>
      <c r="F249" s="391">
        <v>91501.0</v>
      </c>
      <c r="G249" s="391">
        <v>954.0</v>
      </c>
      <c r="H249" s="391">
        <v>1.04</v>
      </c>
      <c r="I249" s="391">
        <v>0.21</v>
      </c>
      <c r="J249" s="391">
        <v>0.39</v>
      </c>
      <c r="K249" s="391">
        <v>28775.0</v>
      </c>
      <c r="L249" s="391">
        <v>1.3687393E7</v>
      </c>
      <c r="M249" s="391">
        <v>0.3145</v>
      </c>
      <c r="N249" s="38">
        <v>30.1625</v>
      </c>
    </row>
    <row r="250">
      <c r="A250" s="389" t="s">
        <v>1967</v>
      </c>
      <c r="B250" s="389" t="s">
        <v>339</v>
      </c>
      <c r="C250" s="389" t="s">
        <v>357</v>
      </c>
      <c r="D250" s="389" t="s">
        <v>357</v>
      </c>
      <c r="E250" s="390" t="s">
        <v>27</v>
      </c>
      <c r="F250" s="391">
        <v>91501.0</v>
      </c>
      <c r="G250" s="391">
        <v>266.0</v>
      </c>
      <c r="H250" s="391">
        <v>0.29</v>
      </c>
      <c r="I250" s="391">
        <v>0.19</v>
      </c>
      <c r="J250" s="391">
        <v>0.14</v>
      </c>
      <c r="K250" s="391">
        <v>26500.0</v>
      </c>
      <c r="L250" s="391">
        <v>1.3687393E7</v>
      </c>
      <c r="M250" s="391">
        <v>0.2896</v>
      </c>
      <c r="N250" s="38">
        <v>99.6241</v>
      </c>
    </row>
    <row r="251">
      <c r="A251" s="389" t="s">
        <v>1967</v>
      </c>
      <c r="B251" s="389" t="s">
        <v>339</v>
      </c>
      <c r="C251" s="389" t="s">
        <v>357</v>
      </c>
      <c r="D251" s="389" t="s">
        <v>357</v>
      </c>
      <c r="E251" s="390" t="s">
        <v>365</v>
      </c>
      <c r="F251" s="391">
        <v>91501.0</v>
      </c>
      <c r="G251" s="391">
        <v>405.0</v>
      </c>
      <c r="H251" s="391">
        <v>0.44</v>
      </c>
      <c r="I251" s="391">
        <v>0.12</v>
      </c>
      <c r="J251" s="391">
        <v>0.15</v>
      </c>
      <c r="K251" s="391">
        <v>16385.0</v>
      </c>
      <c r="L251" s="391">
        <v>1.3687393E7</v>
      </c>
      <c r="M251" s="391">
        <v>0.1791</v>
      </c>
      <c r="N251" s="38">
        <v>40.4568</v>
      </c>
    </row>
    <row r="252">
      <c r="A252" s="389" t="s">
        <v>1967</v>
      </c>
      <c r="B252" s="389" t="s">
        <v>339</v>
      </c>
      <c r="C252" s="389" t="s">
        <v>357</v>
      </c>
      <c r="D252" s="389" t="s">
        <v>357</v>
      </c>
      <c r="E252" s="390" t="s">
        <v>367</v>
      </c>
      <c r="F252" s="391">
        <v>91501.0</v>
      </c>
      <c r="G252" s="391">
        <v>707.0</v>
      </c>
      <c r="H252" s="391">
        <v>0.77</v>
      </c>
      <c r="I252" s="391">
        <v>0.09</v>
      </c>
      <c r="J252" s="391">
        <v>0.16</v>
      </c>
      <c r="K252" s="391">
        <v>12255.0</v>
      </c>
      <c r="L252" s="391">
        <v>1.3687393E7</v>
      </c>
      <c r="M252" s="391">
        <v>0.1339</v>
      </c>
      <c r="N252" s="38">
        <v>17.3338</v>
      </c>
    </row>
    <row r="253">
      <c r="A253" s="389" t="s">
        <v>1967</v>
      </c>
      <c r="B253" s="389" t="s">
        <v>339</v>
      </c>
      <c r="C253" s="389" t="s">
        <v>357</v>
      </c>
      <c r="D253" s="389" t="s">
        <v>357</v>
      </c>
      <c r="E253" s="390" t="s">
        <v>108</v>
      </c>
      <c r="F253" s="391">
        <v>91501.0</v>
      </c>
      <c r="G253" s="391">
        <v>136.0</v>
      </c>
      <c r="H253" s="391">
        <v>0.15</v>
      </c>
      <c r="I253" s="391">
        <v>0.08</v>
      </c>
      <c r="J253" s="391">
        <v>0.04</v>
      </c>
      <c r="K253" s="391">
        <v>10400.0</v>
      </c>
      <c r="L253" s="391">
        <v>1.3687393E7</v>
      </c>
      <c r="M253" s="391">
        <v>0.1137</v>
      </c>
      <c r="N253" s="38">
        <v>76.4706</v>
      </c>
    </row>
    <row r="254">
      <c r="A254" s="389" t="s">
        <v>1967</v>
      </c>
      <c r="B254" s="389" t="s">
        <v>339</v>
      </c>
      <c r="C254" s="389" t="s">
        <v>357</v>
      </c>
      <c r="D254" s="389" t="s">
        <v>357</v>
      </c>
      <c r="E254" s="390" t="s">
        <v>163</v>
      </c>
      <c r="F254" s="391">
        <v>91501.0</v>
      </c>
      <c r="G254" s="391">
        <v>237.0</v>
      </c>
      <c r="H254" s="391">
        <v>0.26</v>
      </c>
      <c r="I254" s="391">
        <v>0.05</v>
      </c>
      <c r="J254" s="391">
        <v>0.09</v>
      </c>
      <c r="K254" s="391">
        <v>6275.0</v>
      </c>
      <c r="L254" s="391">
        <v>1.3687393E7</v>
      </c>
      <c r="M254" s="391">
        <v>0.0686</v>
      </c>
      <c r="N254" s="38">
        <v>26.4768</v>
      </c>
    </row>
    <row r="255">
      <c r="A255" s="389" t="s">
        <v>1967</v>
      </c>
      <c r="B255" s="389" t="s">
        <v>339</v>
      </c>
      <c r="C255" s="389" t="s">
        <v>357</v>
      </c>
      <c r="D255" s="389" t="s">
        <v>357</v>
      </c>
      <c r="E255" s="390" t="s">
        <v>30</v>
      </c>
      <c r="F255" s="391">
        <v>91501.0</v>
      </c>
      <c r="G255" s="391">
        <v>194.0</v>
      </c>
      <c r="H255" s="391">
        <v>0.21</v>
      </c>
      <c r="I255" s="391">
        <v>0.04</v>
      </c>
      <c r="J255" s="391">
        <v>0.05</v>
      </c>
      <c r="K255" s="391">
        <v>5125.0</v>
      </c>
      <c r="L255" s="391">
        <v>1.3687393E7</v>
      </c>
      <c r="M255" s="391">
        <v>0.056</v>
      </c>
      <c r="N255" s="38">
        <v>26.4175</v>
      </c>
    </row>
    <row r="256">
      <c r="A256" s="389" t="s">
        <v>1967</v>
      </c>
      <c r="B256" s="389" t="s">
        <v>339</v>
      </c>
      <c r="C256" s="389" t="s">
        <v>357</v>
      </c>
      <c r="D256" s="389" t="s">
        <v>357</v>
      </c>
      <c r="E256" s="390" t="s">
        <v>49</v>
      </c>
      <c r="F256" s="391">
        <v>91501.0</v>
      </c>
      <c r="G256" s="391">
        <v>1.0</v>
      </c>
      <c r="H256" s="391">
        <v>0.0</v>
      </c>
      <c r="I256" s="391">
        <v>0.0</v>
      </c>
      <c r="J256" s="391">
        <v>0.0</v>
      </c>
      <c r="K256" s="391">
        <v>15.0</v>
      </c>
      <c r="L256" s="391">
        <v>1.3687393E7</v>
      </c>
      <c r="M256" s="391">
        <v>2.0E-4</v>
      </c>
      <c r="N256" s="38">
        <v>15.0</v>
      </c>
    </row>
    <row r="257">
      <c r="A257" s="389" t="s">
        <v>1967</v>
      </c>
      <c r="B257" s="389" t="s">
        <v>339</v>
      </c>
      <c r="C257" s="389" t="s">
        <v>6</v>
      </c>
      <c r="D257" s="389" t="s">
        <v>591</v>
      </c>
      <c r="E257" s="390" t="s">
        <v>369</v>
      </c>
      <c r="F257" s="391">
        <v>43013.0</v>
      </c>
      <c r="G257" s="391">
        <v>27562.0</v>
      </c>
      <c r="H257" s="391">
        <v>64.08</v>
      </c>
      <c r="I257" s="391">
        <v>52.78</v>
      </c>
      <c r="J257" s="391">
        <v>53.9</v>
      </c>
      <c r="K257" s="391">
        <v>42824.0</v>
      </c>
      <c r="L257" s="391">
        <v>81139.0</v>
      </c>
      <c r="M257" s="391">
        <v>0.9956</v>
      </c>
      <c r="N257" s="38">
        <v>1.5537</v>
      </c>
    </row>
    <row r="258">
      <c r="A258" s="389" t="s">
        <v>1967</v>
      </c>
      <c r="B258" s="389" t="s">
        <v>339</v>
      </c>
      <c r="C258" s="389" t="s">
        <v>6</v>
      </c>
      <c r="D258" s="389" t="s">
        <v>591</v>
      </c>
      <c r="E258" s="390" t="s">
        <v>371</v>
      </c>
      <c r="F258" s="391">
        <v>43013.0</v>
      </c>
      <c r="G258" s="391">
        <v>12464.0</v>
      </c>
      <c r="H258" s="391">
        <v>28.98</v>
      </c>
      <c r="I258" s="391">
        <v>24.71</v>
      </c>
      <c r="J258" s="391">
        <v>20.45</v>
      </c>
      <c r="K258" s="391">
        <v>20052.0</v>
      </c>
      <c r="L258" s="391">
        <v>81139.0</v>
      </c>
      <c r="M258" s="391">
        <v>0.4662</v>
      </c>
      <c r="N258" s="38">
        <v>1.6088</v>
      </c>
    </row>
    <row r="259">
      <c r="A259" s="389" t="s">
        <v>1967</v>
      </c>
      <c r="B259" s="389" t="s">
        <v>339</v>
      </c>
      <c r="C259" s="389" t="s">
        <v>6</v>
      </c>
      <c r="D259" s="389" t="s">
        <v>591</v>
      </c>
      <c r="E259" s="390" t="s">
        <v>39</v>
      </c>
      <c r="F259" s="391">
        <v>43013.0</v>
      </c>
      <c r="G259" s="391">
        <v>8765.0</v>
      </c>
      <c r="H259" s="391">
        <v>20.38</v>
      </c>
      <c r="I259" s="391">
        <v>12.16</v>
      </c>
      <c r="J259" s="391">
        <v>14.43</v>
      </c>
      <c r="K259" s="391">
        <v>9867.0</v>
      </c>
      <c r="L259" s="391">
        <v>81139.0</v>
      </c>
      <c r="M259" s="391">
        <v>0.2294</v>
      </c>
      <c r="N259" s="38">
        <v>1.1257</v>
      </c>
    </row>
    <row r="260">
      <c r="A260" s="389" t="s">
        <v>1967</v>
      </c>
      <c r="B260" s="389" t="s">
        <v>339</v>
      </c>
      <c r="C260" s="389" t="s">
        <v>6</v>
      </c>
      <c r="D260" s="389" t="s">
        <v>591</v>
      </c>
      <c r="E260" s="390" t="s">
        <v>44</v>
      </c>
      <c r="F260" s="391">
        <v>43013.0</v>
      </c>
      <c r="G260" s="391">
        <v>3288.0</v>
      </c>
      <c r="H260" s="391">
        <v>7.64</v>
      </c>
      <c r="I260" s="391">
        <v>4.53</v>
      </c>
      <c r="J260" s="391">
        <v>4.85</v>
      </c>
      <c r="K260" s="391">
        <v>3678.0</v>
      </c>
      <c r="L260" s="391">
        <v>81139.0</v>
      </c>
      <c r="M260" s="391">
        <v>0.0855</v>
      </c>
      <c r="N260" s="38">
        <v>1.1186</v>
      </c>
    </row>
    <row r="261">
      <c r="A261" s="389" t="s">
        <v>1967</v>
      </c>
      <c r="B261" s="389" t="s">
        <v>339</v>
      </c>
      <c r="C261" s="389" t="s">
        <v>6</v>
      </c>
      <c r="D261" s="389" t="s">
        <v>591</v>
      </c>
      <c r="E261" s="390" t="s">
        <v>37</v>
      </c>
      <c r="F261" s="391">
        <v>43013.0</v>
      </c>
      <c r="G261" s="391">
        <v>2473.0</v>
      </c>
      <c r="H261" s="391">
        <v>5.75</v>
      </c>
      <c r="I261" s="391">
        <v>3.36</v>
      </c>
      <c r="J261" s="391">
        <v>3.7</v>
      </c>
      <c r="K261" s="391">
        <v>2730.0</v>
      </c>
      <c r="L261" s="391">
        <v>81139.0</v>
      </c>
      <c r="M261" s="391">
        <v>0.0635</v>
      </c>
      <c r="N261" s="38">
        <v>1.1039</v>
      </c>
    </row>
    <row r="262">
      <c r="A262" s="389" t="s">
        <v>1967</v>
      </c>
      <c r="B262" s="389" t="s">
        <v>339</v>
      </c>
      <c r="C262" s="389" t="s">
        <v>6</v>
      </c>
      <c r="D262" s="389" t="s">
        <v>591</v>
      </c>
      <c r="E262" s="390" t="s">
        <v>370</v>
      </c>
      <c r="F262" s="391">
        <v>43013.0</v>
      </c>
      <c r="G262" s="391">
        <v>672.0</v>
      </c>
      <c r="H262" s="391">
        <v>1.56</v>
      </c>
      <c r="I262" s="391">
        <v>0.88</v>
      </c>
      <c r="J262" s="391">
        <v>0.97</v>
      </c>
      <c r="K262" s="391">
        <v>714.0</v>
      </c>
      <c r="L262" s="391">
        <v>81139.0</v>
      </c>
      <c r="M262" s="391">
        <v>0.0166</v>
      </c>
      <c r="N262" s="38">
        <v>1.0625</v>
      </c>
    </row>
    <row r="263">
      <c r="A263" s="389" t="s">
        <v>1967</v>
      </c>
      <c r="B263" s="389" t="s">
        <v>339</v>
      </c>
      <c r="C263" s="389" t="s">
        <v>6</v>
      </c>
      <c r="D263" s="389" t="s">
        <v>591</v>
      </c>
      <c r="E263" s="390" t="s">
        <v>368</v>
      </c>
      <c r="F263" s="391">
        <v>43013.0</v>
      </c>
      <c r="G263" s="391">
        <v>368.0</v>
      </c>
      <c r="H263" s="391">
        <v>0.86</v>
      </c>
      <c r="I263" s="391">
        <v>0.51</v>
      </c>
      <c r="J263" s="391">
        <v>0.6</v>
      </c>
      <c r="K263" s="391">
        <v>414.0</v>
      </c>
      <c r="L263" s="391">
        <v>81139.0</v>
      </c>
      <c r="M263" s="391">
        <v>0.0096</v>
      </c>
      <c r="N263" s="38">
        <v>1.125</v>
      </c>
    </row>
    <row r="264">
      <c r="A264" s="389" t="s">
        <v>1967</v>
      </c>
      <c r="B264" s="389" t="s">
        <v>339</v>
      </c>
      <c r="C264" s="389" t="s">
        <v>6</v>
      </c>
      <c r="D264" s="389" t="s">
        <v>591</v>
      </c>
      <c r="E264" s="390" t="s">
        <v>38</v>
      </c>
      <c r="F264" s="391">
        <v>43013.0</v>
      </c>
      <c r="G264" s="391">
        <v>283.0</v>
      </c>
      <c r="H264" s="391">
        <v>0.66</v>
      </c>
      <c r="I264" s="391">
        <v>0.36</v>
      </c>
      <c r="J264" s="391">
        <v>0.4</v>
      </c>
      <c r="K264" s="391">
        <v>292.0</v>
      </c>
      <c r="L264" s="391">
        <v>81139.0</v>
      </c>
      <c r="M264" s="391">
        <v>0.0068</v>
      </c>
      <c r="N264" s="38">
        <v>1.0318</v>
      </c>
    </row>
    <row r="265">
      <c r="A265" s="389" t="s">
        <v>1967</v>
      </c>
      <c r="B265" s="389" t="s">
        <v>339</v>
      </c>
      <c r="C265" s="389" t="s">
        <v>6</v>
      </c>
      <c r="D265" s="389" t="s">
        <v>591</v>
      </c>
      <c r="E265" s="390" t="s">
        <v>367</v>
      </c>
      <c r="F265" s="391">
        <v>43013.0</v>
      </c>
      <c r="G265" s="391">
        <v>151.0</v>
      </c>
      <c r="H265" s="391">
        <v>0.35</v>
      </c>
      <c r="I265" s="391">
        <v>0.24</v>
      </c>
      <c r="J265" s="391">
        <v>0.18</v>
      </c>
      <c r="K265" s="391">
        <v>198.0</v>
      </c>
      <c r="L265" s="391">
        <v>81139.0</v>
      </c>
      <c r="M265" s="391">
        <v>0.0046</v>
      </c>
      <c r="N265" s="38">
        <v>1.3113</v>
      </c>
    </row>
    <row r="266">
      <c r="A266" s="389" t="s">
        <v>1967</v>
      </c>
      <c r="B266" s="389" t="s">
        <v>339</v>
      </c>
      <c r="C266" s="389" t="s">
        <v>6</v>
      </c>
      <c r="D266" s="389" t="s">
        <v>591</v>
      </c>
      <c r="E266" s="390" t="s">
        <v>45</v>
      </c>
      <c r="F266" s="391">
        <v>43013.0</v>
      </c>
      <c r="G266" s="391">
        <v>94.0</v>
      </c>
      <c r="H266" s="391">
        <v>0.22</v>
      </c>
      <c r="I266" s="391">
        <v>0.12</v>
      </c>
      <c r="J266" s="391">
        <v>0.17</v>
      </c>
      <c r="K266" s="391">
        <v>94.0</v>
      </c>
      <c r="L266" s="391">
        <v>81139.0</v>
      </c>
      <c r="M266" s="391">
        <v>0.0022</v>
      </c>
      <c r="N266" s="38">
        <v>1.0</v>
      </c>
    </row>
    <row r="267">
      <c r="A267" s="389" t="s">
        <v>1967</v>
      </c>
      <c r="B267" s="389" t="s">
        <v>339</v>
      </c>
      <c r="C267" s="389" t="s">
        <v>6</v>
      </c>
      <c r="D267" s="389" t="s">
        <v>591</v>
      </c>
      <c r="E267" s="390" t="s">
        <v>163</v>
      </c>
      <c r="F267" s="391">
        <v>43013.0</v>
      </c>
      <c r="G267" s="391">
        <v>88.0</v>
      </c>
      <c r="H267" s="391">
        <v>0.2</v>
      </c>
      <c r="I267" s="391">
        <v>0.11</v>
      </c>
      <c r="J267" s="391">
        <v>0.13</v>
      </c>
      <c r="K267" s="391">
        <v>89.0</v>
      </c>
      <c r="L267" s="391">
        <v>81139.0</v>
      </c>
      <c r="M267" s="391">
        <v>0.0021</v>
      </c>
      <c r="N267" s="38">
        <v>1.0114</v>
      </c>
    </row>
    <row r="268">
      <c r="A268" s="389" t="s">
        <v>1967</v>
      </c>
      <c r="B268" s="389" t="s">
        <v>339</v>
      </c>
      <c r="C268" s="389" t="s">
        <v>6</v>
      </c>
      <c r="D268" s="389" t="s">
        <v>591</v>
      </c>
      <c r="E268" s="390" t="s">
        <v>108</v>
      </c>
      <c r="F268" s="391">
        <v>43013.0</v>
      </c>
      <c r="G268" s="391">
        <v>50.0</v>
      </c>
      <c r="H268" s="391">
        <v>0.12</v>
      </c>
      <c r="I268" s="391">
        <v>0.08</v>
      </c>
      <c r="J268" s="391">
        <v>0.05</v>
      </c>
      <c r="K268" s="391">
        <v>61.0</v>
      </c>
      <c r="L268" s="391">
        <v>81139.0</v>
      </c>
      <c r="M268" s="391">
        <v>0.0014</v>
      </c>
      <c r="N268" s="38">
        <v>1.22</v>
      </c>
    </row>
    <row r="269">
      <c r="A269" s="389" t="s">
        <v>1967</v>
      </c>
      <c r="B269" s="389" t="s">
        <v>339</v>
      </c>
      <c r="C269" s="389" t="s">
        <v>6</v>
      </c>
      <c r="D269" s="389" t="s">
        <v>591</v>
      </c>
      <c r="E269" s="390" t="s">
        <v>365</v>
      </c>
      <c r="F269" s="391">
        <v>43013.0</v>
      </c>
      <c r="G269" s="391">
        <v>56.0</v>
      </c>
      <c r="H269" s="391">
        <v>0.13</v>
      </c>
      <c r="I269" s="391">
        <v>0.07</v>
      </c>
      <c r="J269" s="391">
        <v>0.07</v>
      </c>
      <c r="K269" s="391">
        <v>60.0</v>
      </c>
      <c r="L269" s="391">
        <v>81139.0</v>
      </c>
      <c r="M269" s="391">
        <v>0.0014</v>
      </c>
      <c r="N269" s="38">
        <v>1.0714</v>
      </c>
    </row>
    <row r="270">
      <c r="A270" s="389" t="s">
        <v>1967</v>
      </c>
      <c r="B270" s="389" t="s">
        <v>339</v>
      </c>
      <c r="C270" s="389" t="s">
        <v>6</v>
      </c>
      <c r="D270" s="389" t="s">
        <v>591</v>
      </c>
      <c r="E270" s="390" t="s">
        <v>30</v>
      </c>
      <c r="F270" s="391">
        <v>43013.0</v>
      </c>
      <c r="G270" s="391">
        <v>57.0</v>
      </c>
      <c r="H270" s="391">
        <v>0.13</v>
      </c>
      <c r="I270" s="391">
        <v>0.07</v>
      </c>
      <c r="J270" s="391">
        <v>0.08</v>
      </c>
      <c r="K270" s="391">
        <v>57.0</v>
      </c>
      <c r="L270" s="391">
        <v>81139.0</v>
      </c>
      <c r="M270" s="391">
        <v>0.0013</v>
      </c>
      <c r="N270" s="38">
        <v>1.0</v>
      </c>
    </row>
    <row r="271">
      <c r="A271" s="389" t="s">
        <v>1967</v>
      </c>
      <c r="B271" s="389" t="s">
        <v>339</v>
      </c>
      <c r="C271" s="389" t="s">
        <v>6</v>
      </c>
      <c r="D271" s="389" t="s">
        <v>591</v>
      </c>
      <c r="E271" s="390" t="s">
        <v>27</v>
      </c>
      <c r="F271" s="391">
        <v>43013.0</v>
      </c>
      <c r="G271" s="391">
        <v>6.0</v>
      </c>
      <c r="H271" s="391">
        <v>0.01</v>
      </c>
      <c r="I271" s="391">
        <v>0.01</v>
      </c>
      <c r="J271" s="391">
        <v>0.01</v>
      </c>
      <c r="K271" s="391">
        <v>7.0</v>
      </c>
      <c r="L271" s="391">
        <v>81139.0</v>
      </c>
      <c r="M271" s="391">
        <v>2.0E-4</v>
      </c>
      <c r="N271" s="38">
        <v>1.1667</v>
      </c>
    </row>
    <row r="272">
      <c r="A272" s="389" t="s">
        <v>1967</v>
      </c>
      <c r="B272" s="389" t="s">
        <v>339</v>
      </c>
      <c r="C272" s="389" t="s">
        <v>6</v>
      </c>
      <c r="D272" s="389" t="s">
        <v>591</v>
      </c>
      <c r="E272" s="390" t="s">
        <v>282</v>
      </c>
      <c r="F272" s="391">
        <v>43013.0</v>
      </c>
      <c r="G272" s="391">
        <v>1.0</v>
      </c>
      <c r="H272" s="391">
        <v>0.0</v>
      </c>
      <c r="I272" s="391">
        <v>0.0</v>
      </c>
      <c r="J272" s="391">
        <v>0.0</v>
      </c>
      <c r="K272" s="391">
        <v>1.0</v>
      </c>
      <c r="L272" s="391">
        <v>81139.0</v>
      </c>
      <c r="M272" s="391">
        <v>0.0</v>
      </c>
      <c r="N272" s="38">
        <v>1.0</v>
      </c>
    </row>
    <row r="273">
      <c r="A273" s="389" t="s">
        <v>1967</v>
      </c>
      <c r="B273" s="389" t="s">
        <v>339</v>
      </c>
      <c r="C273" s="389" t="s">
        <v>6</v>
      </c>
      <c r="D273" s="389" t="s">
        <v>591</v>
      </c>
      <c r="E273" s="390" t="s">
        <v>283</v>
      </c>
      <c r="F273" s="391">
        <v>43013.0</v>
      </c>
      <c r="G273" s="391">
        <v>1.0</v>
      </c>
      <c r="H273" s="391">
        <v>0.0</v>
      </c>
      <c r="I273" s="391">
        <v>0.0</v>
      </c>
      <c r="J273" s="391">
        <v>0.0</v>
      </c>
      <c r="K273" s="391">
        <v>1.0</v>
      </c>
      <c r="L273" s="391">
        <v>81139.0</v>
      </c>
      <c r="M273" s="391">
        <v>0.0</v>
      </c>
      <c r="N273" s="38">
        <v>1.0</v>
      </c>
    </row>
    <row r="274">
      <c r="A274" s="389" t="s">
        <v>1967</v>
      </c>
      <c r="B274" s="389" t="s">
        <v>339</v>
      </c>
      <c r="C274" s="389" t="s">
        <v>10</v>
      </c>
      <c r="D274" s="389" t="s">
        <v>591</v>
      </c>
      <c r="E274" s="390" t="s">
        <v>366</v>
      </c>
      <c r="F274" s="391">
        <v>49837.0</v>
      </c>
      <c r="G274" s="391">
        <v>31894.0</v>
      </c>
      <c r="H274" s="391">
        <v>64.0</v>
      </c>
      <c r="I274" s="391">
        <v>48.72</v>
      </c>
      <c r="J274" s="391">
        <v>48.32</v>
      </c>
      <c r="K274" s="391">
        <v>64271.0</v>
      </c>
      <c r="L274" s="391">
        <v>131921.0</v>
      </c>
      <c r="M274" s="391">
        <v>1.2896</v>
      </c>
      <c r="N274" s="38">
        <v>2.0151</v>
      </c>
    </row>
    <row r="275">
      <c r="A275" s="389" t="s">
        <v>1967</v>
      </c>
      <c r="B275" s="389" t="s">
        <v>339</v>
      </c>
      <c r="C275" s="389" t="s">
        <v>10</v>
      </c>
      <c r="D275" s="389" t="s">
        <v>591</v>
      </c>
      <c r="E275" s="390" t="s">
        <v>363</v>
      </c>
      <c r="F275" s="391">
        <v>49837.0</v>
      </c>
      <c r="G275" s="391">
        <v>12928.0</v>
      </c>
      <c r="H275" s="391">
        <v>25.94</v>
      </c>
      <c r="I275" s="391">
        <v>22.1</v>
      </c>
      <c r="J275" s="391">
        <v>16.14</v>
      </c>
      <c r="K275" s="391">
        <v>29156.0</v>
      </c>
      <c r="L275" s="391">
        <v>131921.0</v>
      </c>
      <c r="M275" s="391">
        <v>0.585</v>
      </c>
      <c r="N275" s="38">
        <v>2.2553</v>
      </c>
    </row>
    <row r="276">
      <c r="A276" s="389" t="s">
        <v>1967</v>
      </c>
      <c r="B276" s="389" t="s">
        <v>339</v>
      </c>
      <c r="C276" s="389" t="s">
        <v>10</v>
      </c>
      <c r="D276" s="389" t="s">
        <v>591</v>
      </c>
      <c r="E276" s="390" t="s">
        <v>37</v>
      </c>
      <c r="F276" s="391">
        <v>49837.0</v>
      </c>
      <c r="G276" s="391">
        <v>10779.0</v>
      </c>
      <c r="H276" s="391">
        <v>21.63</v>
      </c>
      <c r="I276" s="391">
        <v>10.7</v>
      </c>
      <c r="J276" s="391">
        <v>12.91</v>
      </c>
      <c r="K276" s="391">
        <v>14122.0</v>
      </c>
      <c r="L276" s="391">
        <v>131921.0</v>
      </c>
      <c r="M276" s="391">
        <v>0.2834</v>
      </c>
      <c r="N276" s="38">
        <v>1.3101</v>
      </c>
    </row>
    <row r="277">
      <c r="A277" s="389" t="s">
        <v>1967</v>
      </c>
      <c r="B277" s="389" t="s">
        <v>339</v>
      </c>
      <c r="C277" s="389" t="s">
        <v>10</v>
      </c>
      <c r="D277" s="389" t="s">
        <v>591</v>
      </c>
      <c r="E277" s="390" t="s">
        <v>35</v>
      </c>
      <c r="F277" s="391">
        <v>49837.0</v>
      </c>
      <c r="G277" s="391">
        <v>2514.0</v>
      </c>
      <c r="H277" s="391">
        <v>5.04</v>
      </c>
      <c r="I277" s="391">
        <v>4.61</v>
      </c>
      <c r="J277" s="391">
        <v>3.5</v>
      </c>
      <c r="K277" s="391">
        <v>6084.0</v>
      </c>
      <c r="L277" s="391">
        <v>131921.0</v>
      </c>
      <c r="M277" s="391">
        <v>0.1221</v>
      </c>
      <c r="N277" s="38">
        <v>2.42</v>
      </c>
    </row>
    <row r="278">
      <c r="A278" s="389" t="s">
        <v>1967</v>
      </c>
      <c r="B278" s="389" t="s">
        <v>339</v>
      </c>
      <c r="C278" s="389" t="s">
        <v>10</v>
      </c>
      <c r="D278" s="389" t="s">
        <v>591</v>
      </c>
      <c r="E278" s="390" t="s">
        <v>371</v>
      </c>
      <c r="F278" s="391">
        <v>49837.0</v>
      </c>
      <c r="G278" s="391">
        <v>3464.0</v>
      </c>
      <c r="H278" s="391">
        <v>6.95</v>
      </c>
      <c r="I278" s="391">
        <v>3.25</v>
      </c>
      <c r="J278" s="391">
        <v>4.14</v>
      </c>
      <c r="K278" s="391">
        <v>4293.0</v>
      </c>
      <c r="L278" s="391">
        <v>131921.0</v>
      </c>
      <c r="M278" s="391">
        <v>0.0861</v>
      </c>
      <c r="N278" s="38">
        <v>1.2393</v>
      </c>
    </row>
    <row r="279">
      <c r="A279" s="389" t="s">
        <v>1967</v>
      </c>
      <c r="B279" s="389" t="s">
        <v>339</v>
      </c>
      <c r="C279" s="389" t="s">
        <v>10</v>
      </c>
      <c r="D279" s="389" t="s">
        <v>591</v>
      </c>
      <c r="E279" s="390" t="s">
        <v>369</v>
      </c>
      <c r="F279" s="391">
        <v>49837.0</v>
      </c>
      <c r="G279" s="391">
        <v>2703.0</v>
      </c>
      <c r="H279" s="391">
        <v>5.42</v>
      </c>
      <c r="I279" s="391">
        <v>2.38</v>
      </c>
      <c r="J279" s="391">
        <v>2.94</v>
      </c>
      <c r="K279" s="391">
        <v>3134.0</v>
      </c>
      <c r="L279" s="391">
        <v>131921.0</v>
      </c>
      <c r="M279" s="391">
        <v>0.0629</v>
      </c>
      <c r="N279" s="38">
        <v>1.1595</v>
      </c>
    </row>
    <row r="280">
      <c r="A280" s="389" t="s">
        <v>1967</v>
      </c>
      <c r="B280" s="389" t="s">
        <v>339</v>
      </c>
      <c r="C280" s="389" t="s">
        <v>10</v>
      </c>
      <c r="D280" s="389" t="s">
        <v>591</v>
      </c>
      <c r="E280" s="390" t="s">
        <v>284</v>
      </c>
      <c r="F280" s="391">
        <v>49837.0</v>
      </c>
      <c r="G280" s="391">
        <v>2493.0</v>
      </c>
      <c r="H280" s="391">
        <v>5.0</v>
      </c>
      <c r="I280" s="391">
        <v>2.03</v>
      </c>
      <c r="J280" s="391">
        <v>2.82</v>
      </c>
      <c r="K280" s="391">
        <v>2673.0</v>
      </c>
      <c r="L280" s="391">
        <v>131921.0</v>
      </c>
      <c r="M280" s="391">
        <v>0.0536</v>
      </c>
      <c r="N280" s="38">
        <v>1.0722</v>
      </c>
    </row>
    <row r="281">
      <c r="A281" s="389" t="s">
        <v>1967</v>
      </c>
      <c r="B281" s="389" t="s">
        <v>339</v>
      </c>
      <c r="C281" s="389" t="s">
        <v>10</v>
      </c>
      <c r="D281" s="389" t="s">
        <v>591</v>
      </c>
      <c r="E281" s="390" t="s">
        <v>282</v>
      </c>
      <c r="F281" s="391">
        <v>49837.0</v>
      </c>
      <c r="G281" s="391">
        <v>2334.0</v>
      </c>
      <c r="H281" s="391">
        <v>4.68</v>
      </c>
      <c r="I281" s="391">
        <v>1.87</v>
      </c>
      <c r="J281" s="391">
        <v>2.98</v>
      </c>
      <c r="K281" s="391">
        <v>2466.0</v>
      </c>
      <c r="L281" s="391">
        <v>131921.0</v>
      </c>
      <c r="M281" s="391">
        <v>0.0495</v>
      </c>
      <c r="N281" s="38">
        <v>1.0566</v>
      </c>
    </row>
    <row r="282">
      <c r="A282" s="389" t="s">
        <v>1967</v>
      </c>
      <c r="B282" s="389" t="s">
        <v>339</v>
      </c>
      <c r="C282" s="389" t="s">
        <v>10</v>
      </c>
      <c r="D282" s="389" t="s">
        <v>591</v>
      </c>
      <c r="E282" s="390" t="s">
        <v>283</v>
      </c>
      <c r="F282" s="391">
        <v>49837.0</v>
      </c>
      <c r="G282" s="391">
        <v>2147.0</v>
      </c>
      <c r="H282" s="391">
        <v>4.31</v>
      </c>
      <c r="I282" s="391">
        <v>1.71</v>
      </c>
      <c r="J282" s="391">
        <v>2.65</v>
      </c>
      <c r="K282" s="391">
        <v>2257.0</v>
      </c>
      <c r="L282" s="391">
        <v>131921.0</v>
      </c>
      <c r="M282" s="391">
        <v>0.0453</v>
      </c>
      <c r="N282" s="38">
        <v>1.0512</v>
      </c>
    </row>
    <row r="283">
      <c r="A283" s="389" t="s">
        <v>1967</v>
      </c>
      <c r="B283" s="389" t="s">
        <v>339</v>
      </c>
      <c r="C283" s="389" t="s">
        <v>10</v>
      </c>
      <c r="D283" s="389" t="s">
        <v>591</v>
      </c>
      <c r="E283" s="390" t="s">
        <v>39</v>
      </c>
      <c r="F283" s="391">
        <v>49837.0</v>
      </c>
      <c r="G283" s="391">
        <v>1038.0</v>
      </c>
      <c r="H283" s="391">
        <v>2.08</v>
      </c>
      <c r="I283" s="391">
        <v>0.83</v>
      </c>
      <c r="J283" s="391">
        <v>1.0</v>
      </c>
      <c r="K283" s="391">
        <v>1099.0</v>
      </c>
      <c r="L283" s="391">
        <v>131921.0</v>
      </c>
      <c r="M283" s="391">
        <v>0.0221</v>
      </c>
      <c r="N283" s="38">
        <v>1.0588</v>
      </c>
    </row>
    <row r="284">
      <c r="A284" s="389" t="s">
        <v>1967</v>
      </c>
      <c r="B284" s="389" t="s">
        <v>339</v>
      </c>
      <c r="C284" s="389" t="s">
        <v>10</v>
      </c>
      <c r="D284" s="389" t="s">
        <v>591</v>
      </c>
      <c r="E284" s="390" t="s">
        <v>45</v>
      </c>
      <c r="F284" s="391">
        <v>49837.0</v>
      </c>
      <c r="G284" s="391">
        <v>682.0</v>
      </c>
      <c r="H284" s="391">
        <v>1.37</v>
      </c>
      <c r="I284" s="391">
        <v>0.54</v>
      </c>
      <c r="J284" s="391">
        <v>0.85</v>
      </c>
      <c r="K284" s="391">
        <v>706.0</v>
      </c>
      <c r="L284" s="391">
        <v>131921.0</v>
      </c>
      <c r="M284" s="391">
        <v>0.0142</v>
      </c>
      <c r="N284" s="38">
        <v>1.0352</v>
      </c>
    </row>
    <row r="285">
      <c r="A285" s="389" t="s">
        <v>1967</v>
      </c>
      <c r="B285" s="389" t="s">
        <v>339</v>
      </c>
      <c r="C285" s="389" t="s">
        <v>10</v>
      </c>
      <c r="D285" s="389" t="s">
        <v>591</v>
      </c>
      <c r="E285" s="390" t="s">
        <v>27</v>
      </c>
      <c r="F285" s="391">
        <v>49837.0</v>
      </c>
      <c r="G285" s="391">
        <v>639.0</v>
      </c>
      <c r="H285" s="391">
        <v>1.28</v>
      </c>
      <c r="I285" s="391">
        <v>0.49</v>
      </c>
      <c r="J285" s="391">
        <v>0.72</v>
      </c>
      <c r="K285" s="391">
        <v>653.0</v>
      </c>
      <c r="L285" s="391">
        <v>131921.0</v>
      </c>
      <c r="M285" s="391">
        <v>0.0131</v>
      </c>
      <c r="N285" s="38">
        <v>1.0219</v>
      </c>
    </row>
    <row r="286">
      <c r="A286" s="389" t="s">
        <v>1967</v>
      </c>
      <c r="B286" s="389" t="s">
        <v>339</v>
      </c>
      <c r="C286" s="389" t="s">
        <v>10</v>
      </c>
      <c r="D286" s="389" t="s">
        <v>591</v>
      </c>
      <c r="E286" s="390" t="s">
        <v>370</v>
      </c>
      <c r="F286" s="391">
        <v>49837.0</v>
      </c>
      <c r="G286" s="391">
        <v>371.0</v>
      </c>
      <c r="H286" s="391">
        <v>0.74</v>
      </c>
      <c r="I286" s="391">
        <v>0.29</v>
      </c>
      <c r="J286" s="391">
        <v>0.42</v>
      </c>
      <c r="K286" s="391">
        <v>379.0</v>
      </c>
      <c r="L286" s="391">
        <v>131921.0</v>
      </c>
      <c r="M286" s="391">
        <v>0.0076</v>
      </c>
      <c r="N286" s="38">
        <v>1.0216</v>
      </c>
    </row>
    <row r="287">
      <c r="A287" s="389" t="s">
        <v>1967</v>
      </c>
      <c r="B287" s="389" t="s">
        <v>339</v>
      </c>
      <c r="C287" s="389" t="s">
        <v>10</v>
      </c>
      <c r="D287" s="389" t="s">
        <v>591</v>
      </c>
      <c r="E287" s="390" t="s">
        <v>38</v>
      </c>
      <c r="F287" s="391">
        <v>49837.0</v>
      </c>
      <c r="G287" s="391">
        <v>262.0</v>
      </c>
      <c r="H287" s="391">
        <v>0.53</v>
      </c>
      <c r="I287" s="391">
        <v>0.21</v>
      </c>
      <c r="J287" s="391">
        <v>0.27</v>
      </c>
      <c r="K287" s="391">
        <v>277.0</v>
      </c>
      <c r="L287" s="391">
        <v>131921.0</v>
      </c>
      <c r="M287" s="391">
        <v>0.0056</v>
      </c>
      <c r="N287" s="38">
        <v>1.0573</v>
      </c>
    </row>
    <row r="288">
      <c r="A288" s="389" t="s">
        <v>1967</v>
      </c>
      <c r="B288" s="389" t="s">
        <v>339</v>
      </c>
      <c r="C288" s="389" t="s">
        <v>10</v>
      </c>
      <c r="D288" s="389" t="s">
        <v>591</v>
      </c>
      <c r="E288" s="390" t="s">
        <v>365</v>
      </c>
      <c r="F288" s="391">
        <v>49837.0</v>
      </c>
      <c r="G288" s="391">
        <v>173.0</v>
      </c>
      <c r="H288" s="391">
        <v>0.35</v>
      </c>
      <c r="I288" s="391">
        <v>0.14</v>
      </c>
      <c r="J288" s="391">
        <v>0.2</v>
      </c>
      <c r="K288" s="391">
        <v>184.0</v>
      </c>
      <c r="L288" s="391">
        <v>131921.0</v>
      </c>
      <c r="M288" s="391">
        <v>0.0037</v>
      </c>
      <c r="N288" s="38">
        <v>1.0636</v>
      </c>
    </row>
    <row r="289">
      <c r="A289" s="389" t="s">
        <v>1967</v>
      </c>
      <c r="B289" s="389" t="s">
        <v>339</v>
      </c>
      <c r="C289" s="389" t="s">
        <v>10</v>
      </c>
      <c r="D289" s="389" t="s">
        <v>591</v>
      </c>
      <c r="E289" s="390" t="s">
        <v>108</v>
      </c>
      <c r="F289" s="391">
        <v>49837.0</v>
      </c>
      <c r="G289" s="391">
        <v>131.0</v>
      </c>
      <c r="H289" s="391">
        <v>0.26</v>
      </c>
      <c r="I289" s="391">
        <v>0.12</v>
      </c>
      <c r="J289" s="391">
        <v>0.13</v>
      </c>
      <c r="K289" s="391">
        <v>158.0</v>
      </c>
      <c r="L289" s="391">
        <v>131921.0</v>
      </c>
      <c r="M289" s="391">
        <v>0.0032</v>
      </c>
      <c r="N289" s="38">
        <v>1.2061</v>
      </c>
    </row>
    <row r="290">
      <c r="A290" s="389" t="s">
        <v>1967</v>
      </c>
      <c r="B290" s="389" t="s">
        <v>339</v>
      </c>
      <c r="C290" s="389" t="s">
        <v>10</v>
      </c>
      <c r="D290" s="389" t="s">
        <v>591</v>
      </c>
      <c r="E290" s="390" t="s">
        <v>163</v>
      </c>
      <c r="F290" s="391">
        <v>49837.0</v>
      </c>
      <c r="G290" s="391">
        <v>3.0</v>
      </c>
      <c r="H290" s="391">
        <v>0.01</v>
      </c>
      <c r="I290" s="391">
        <v>0.0</v>
      </c>
      <c r="J290" s="391">
        <v>0.0</v>
      </c>
      <c r="K290" s="391">
        <v>3.0</v>
      </c>
      <c r="L290" s="391">
        <v>131921.0</v>
      </c>
      <c r="M290" s="391">
        <v>1.0E-4</v>
      </c>
      <c r="N290" s="38">
        <v>1.0</v>
      </c>
    </row>
    <row r="291">
      <c r="A291" s="389" t="s">
        <v>1967</v>
      </c>
      <c r="B291" s="389" t="s">
        <v>339</v>
      </c>
      <c r="C291" s="389" t="s">
        <v>10</v>
      </c>
      <c r="D291" s="389" t="s">
        <v>591</v>
      </c>
      <c r="E291" s="390" t="s">
        <v>30</v>
      </c>
      <c r="F291" s="391">
        <v>49837.0</v>
      </c>
      <c r="G291" s="391">
        <v>5.0</v>
      </c>
      <c r="H291" s="391">
        <v>0.01</v>
      </c>
      <c r="I291" s="391">
        <v>0.0</v>
      </c>
      <c r="J291" s="391">
        <v>0.0</v>
      </c>
      <c r="K291" s="391">
        <v>5.0</v>
      </c>
      <c r="L291" s="391">
        <v>131921.0</v>
      </c>
      <c r="M291" s="391">
        <v>1.0E-4</v>
      </c>
      <c r="N291" s="38">
        <v>1.0</v>
      </c>
    </row>
    <row r="292">
      <c r="A292" s="389" t="s">
        <v>1967</v>
      </c>
      <c r="B292" s="389" t="s">
        <v>339</v>
      </c>
      <c r="C292" s="389" t="s">
        <v>10</v>
      </c>
      <c r="D292" s="389" t="s">
        <v>591</v>
      </c>
      <c r="E292" s="390" t="s">
        <v>367</v>
      </c>
      <c r="F292" s="391">
        <v>49837.0</v>
      </c>
      <c r="G292" s="391">
        <v>1.0</v>
      </c>
      <c r="H292" s="391">
        <v>0.0</v>
      </c>
      <c r="I292" s="391">
        <v>0.0</v>
      </c>
      <c r="J292" s="391">
        <v>0.0</v>
      </c>
      <c r="K292" s="391">
        <v>1.0</v>
      </c>
      <c r="L292" s="391">
        <v>131921.0</v>
      </c>
      <c r="M292" s="391">
        <v>0.0</v>
      </c>
      <c r="N292" s="38">
        <v>1.0</v>
      </c>
    </row>
    <row r="293">
      <c r="A293" s="389" t="s">
        <v>1967</v>
      </c>
      <c r="B293" s="389" t="s">
        <v>339</v>
      </c>
      <c r="C293" s="389" t="s">
        <v>9</v>
      </c>
      <c r="D293" s="389" t="s">
        <v>591</v>
      </c>
      <c r="E293" s="390" t="s">
        <v>366</v>
      </c>
      <c r="F293" s="391">
        <v>59588.0</v>
      </c>
      <c r="G293" s="391">
        <v>39584.0</v>
      </c>
      <c r="H293" s="391">
        <v>66.43</v>
      </c>
      <c r="I293" s="391">
        <v>51.66</v>
      </c>
      <c r="J293" s="391">
        <v>47.66</v>
      </c>
      <c r="K293" s="391">
        <v>92311.0</v>
      </c>
      <c r="L293" s="391">
        <v>178693.0</v>
      </c>
      <c r="M293" s="391">
        <v>1.5492</v>
      </c>
      <c r="N293" s="38">
        <v>2.332</v>
      </c>
    </row>
    <row r="294">
      <c r="A294" s="389" t="s">
        <v>1967</v>
      </c>
      <c r="B294" s="389" t="s">
        <v>339</v>
      </c>
      <c r="C294" s="389" t="s">
        <v>9</v>
      </c>
      <c r="D294" s="389" t="s">
        <v>591</v>
      </c>
      <c r="E294" s="390" t="s">
        <v>363</v>
      </c>
      <c r="F294" s="391">
        <v>59588.0</v>
      </c>
      <c r="G294" s="391">
        <v>12920.0</v>
      </c>
      <c r="H294" s="391">
        <v>21.68</v>
      </c>
      <c r="I294" s="391">
        <v>16.27</v>
      </c>
      <c r="J294" s="391">
        <v>11.28</v>
      </c>
      <c r="K294" s="391">
        <v>29073.0</v>
      </c>
      <c r="L294" s="391">
        <v>178693.0</v>
      </c>
      <c r="M294" s="391">
        <v>0.4879</v>
      </c>
      <c r="N294" s="38">
        <v>2.2502</v>
      </c>
    </row>
    <row r="295">
      <c r="A295" s="389" t="s">
        <v>1967</v>
      </c>
      <c r="B295" s="389" t="s">
        <v>339</v>
      </c>
      <c r="C295" s="389" t="s">
        <v>9</v>
      </c>
      <c r="D295" s="389" t="s">
        <v>591</v>
      </c>
      <c r="E295" s="390" t="s">
        <v>35</v>
      </c>
      <c r="F295" s="391">
        <v>59588.0</v>
      </c>
      <c r="G295" s="391">
        <v>9484.0</v>
      </c>
      <c r="H295" s="391">
        <v>15.92</v>
      </c>
      <c r="I295" s="391">
        <v>7.85</v>
      </c>
      <c r="J295" s="391">
        <v>8.81</v>
      </c>
      <c r="K295" s="391">
        <v>14019.0</v>
      </c>
      <c r="L295" s="391">
        <v>178693.0</v>
      </c>
      <c r="M295" s="391">
        <v>0.2353</v>
      </c>
      <c r="N295" s="38">
        <v>1.4782</v>
      </c>
    </row>
    <row r="296">
      <c r="A296" s="389" t="s">
        <v>1967</v>
      </c>
      <c r="B296" s="389" t="s">
        <v>339</v>
      </c>
      <c r="C296" s="389" t="s">
        <v>9</v>
      </c>
      <c r="D296" s="389" t="s">
        <v>591</v>
      </c>
      <c r="E296" s="390" t="s">
        <v>37</v>
      </c>
      <c r="F296" s="391">
        <v>59588.0</v>
      </c>
      <c r="G296" s="391">
        <v>9120.0</v>
      </c>
      <c r="H296" s="391">
        <v>15.31</v>
      </c>
      <c r="I296" s="391">
        <v>6.5</v>
      </c>
      <c r="J296" s="391">
        <v>7.65</v>
      </c>
      <c r="K296" s="391">
        <v>11608.0</v>
      </c>
      <c r="L296" s="391">
        <v>178693.0</v>
      </c>
      <c r="M296" s="391">
        <v>0.1948</v>
      </c>
      <c r="N296" s="38">
        <v>1.2728</v>
      </c>
    </row>
    <row r="297">
      <c r="A297" s="389" t="s">
        <v>1967</v>
      </c>
      <c r="B297" s="389" t="s">
        <v>339</v>
      </c>
      <c r="C297" s="389" t="s">
        <v>9</v>
      </c>
      <c r="D297" s="389" t="s">
        <v>591</v>
      </c>
      <c r="E297" s="390" t="s">
        <v>369</v>
      </c>
      <c r="F297" s="391">
        <v>59588.0</v>
      </c>
      <c r="G297" s="391">
        <v>5148.0</v>
      </c>
      <c r="H297" s="391">
        <v>8.64</v>
      </c>
      <c r="I297" s="391">
        <v>3.25</v>
      </c>
      <c r="J297" s="391">
        <v>4.29</v>
      </c>
      <c r="K297" s="391">
        <v>5815.0</v>
      </c>
      <c r="L297" s="391">
        <v>178693.0</v>
      </c>
      <c r="M297" s="391">
        <v>0.0976</v>
      </c>
      <c r="N297" s="38">
        <v>1.1296</v>
      </c>
    </row>
    <row r="298">
      <c r="A298" s="389" t="s">
        <v>1967</v>
      </c>
      <c r="B298" s="389" t="s">
        <v>339</v>
      </c>
      <c r="C298" s="389" t="s">
        <v>9</v>
      </c>
      <c r="D298" s="389" t="s">
        <v>591</v>
      </c>
      <c r="E298" s="390" t="s">
        <v>282</v>
      </c>
      <c r="F298" s="391">
        <v>59588.0</v>
      </c>
      <c r="G298" s="391">
        <v>5350.0</v>
      </c>
      <c r="H298" s="391">
        <v>8.98</v>
      </c>
      <c r="I298" s="391">
        <v>3.17</v>
      </c>
      <c r="J298" s="391">
        <v>4.82</v>
      </c>
      <c r="K298" s="391">
        <v>5659.0</v>
      </c>
      <c r="L298" s="391">
        <v>178693.0</v>
      </c>
      <c r="M298" s="391">
        <v>0.095</v>
      </c>
      <c r="N298" s="38">
        <v>1.0578</v>
      </c>
    </row>
    <row r="299">
      <c r="A299" s="389" t="s">
        <v>1967</v>
      </c>
      <c r="B299" s="389" t="s">
        <v>339</v>
      </c>
      <c r="C299" s="389" t="s">
        <v>9</v>
      </c>
      <c r="D299" s="389" t="s">
        <v>591</v>
      </c>
      <c r="E299" s="390" t="s">
        <v>284</v>
      </c>
      <c r="F299" s="391">
        <v>59588.0</v>
      </c>
      <c r="G299" s="391">
        <v>4920.0</v>
      </c>
      <c r="H299" s="391">
        <v>8.26</v>
      </c>
      <c r="I299" s="391">
        <v>2.95</v>
      </c>
      <c r="J299" s="391">
        <v>4.2</v>
      </c>
      <c r="K299" s="391">
        <v>5267.0</v>
      </c>
      <c r="L299" s="391">
        <v>178693.0</v>
      </c>
      <c r="M299" s="391">
        <v>0.0884</v>
      </c>
      <c r="N299" s="38">
        <v>1.0705</v>
      </c>
    </row>
    <row r="300">
      <c r="A300" s="389" t="s">
        <v>1967</v>
      </c>
      <c r="B300" s="389" t="s">
        <v>339</v>
      </c>
      <c r="C300" s="389" t="s">
        <v>9</v>
      </c>
      <c r="D300" s="389" t="s">
        <v>591</v>
      </c>
      <c r="E300" s="390" t="s">
        <v>283</v>
      </c>
      <c r="F300" s="391">
        <v>59588.0</v>
      </c>
      <c r="G300" s="391">
        <v>4856.0</v>
      </c>
      <c r="H300" s="391">
        <v>8.15</v>
      </c>
      <c r="I300" s="391">
        <v>2.86</v>
      </c>
      <c r="J300" s="391">
        <v>4.22</v>
      </c>
      <c r="K300" s="391">
        <v>5107.0</v>
      </c>
      <c r="L300" s="391">
        <v>178693.0</v>
      </c>
      <c r="M300" s="391">
        <v>0.0857</v>
      </c>
      <c r="N300" s="38">
        <v>1.0517</v>
      </c>
    </row>
    <row r="301">
      <c r="A301" s="389" t="s">
        <v>1967</v>
      </c>
      <c r="B301" s="389" t="s">
        <v>339</v>
      </c>
      <c r="C301" s="389" t="s">
        <v>9</v>
      </c>
      <c r="D301" s="389" t="s">
        <v>591</v>
      </c>
      <c r="E301" s="390" t="s">
        <v>44</v>
      </c>
      <c r="F301" s="391">
        <v>59588.0</v>
      </c>
      <c r="G301" s="391">
        <v>3288.0</v>
      </c>
      <c r="H301" s="391">
        <v>5.52</v>
      </c>
      <c r="I301" s="391">
        <v>2.06</v>
      </c>
      <c r="J301" s="391">
        <v>2.42</v>
      </c>
      <c r="K301" s="391">
        <v>3678.0</v>
      </c>
      <c r="L301" s="391">
        <v>178693.0</v>
      </c>
      <c r="M301" s="391">
        <v>0.0617</v>
      </c>
      <c r="N301" s="38">
        <v>1.1186</v>
      </c>
    </row>
    <row r="302">
      <c r="A302" s="389" t="s">
        <v>1967</v>
      </c>
      <c r="B302" s="389" t="s">
        <v>339</v>
      </c>
      <c r="C302" s="389" t="s">
        <v>9</v>
      </c>
      <c r="D302" s="389" t="s">
        <v>591</v>
      </c>
      <c r="E302" s="390" t="s">
        <v>371</v>
      </c>
      <c r="F302" s="391">
        <v>59588.0</v>
      </c>
      <c r="G302" s="391">
        <v>1631.0</v>
      </c>
      <c r="H302" s="391">
        <v>2.74</v>
      </c>
      <c r="I302" s="391">
        <v>1.26</v>
      </c>
      <c r="J302" s="391">
        <v>1.55</v>
      </c>
      <c r="K302" s="391">
        <v>2244.0</v>
      </c>
      <c r="L302" s="391">
        <v>178693.0</v>
      </c>
      <c r="M302" s="391">
        <v>0.0377</v>
      </c>
      <c r="N302" s="38">
        <v>1.3758</v>
      </c>
    </row>
    <row r="303">
      <c r="A303" s="389" t="s">
        <v>1967</v>
      </c>
      <c r="B303" s="389" t="s">
        <v>339</v>
      </c>
      <c r="C303" s="389" t="s">
        <v>9</v>
      </c>
      <c r="D303" s="389" t="s">
        <v>591</v>
      </c>
      <c r="E303" s="390" t="s">
        <v>27</v>
      </c>
      <c r="F303" s="391">
        <v>59588.0</v>
      </c>
      <c r="G303" s="391">
        <v>1557.0</v>
      </c>
      <c r="H303" s="391">
        <v>2.61</v>
      </c>
      <c r="I303" s="391">
        <v>0.89</v>
      </c>
      <c r="J303" s="391">
        <v>1.27</v>
      </c>
      <c r="K303" s="391">
        <v>1588.0</v>
      </c>
      <c r="L303" s="391">
        <v>178693.0</v>
      </c>
      <c r="M303" s="391">
        <v>0.0266</v>
      </c>
      <c r="N303" s="38">
        <v>1.0199</v>
      </c>
    </row>
    <row r="304">
      <c r="A304" s="389" t="s">
        <v>1967</v>
      </c>
      <c r="B304" s="389" t="s">
        <v>339</v>
      </c>
      <c r="C304" s="389" t="s">
        <v>9</v>
      </c>
      <c r="D304" s="389" t="s">
        <v>591</v>
      </c>
      <c r="E304" s="390" t="s">
        <v>45</v>
      </c>
      <c r="F304" s="391">
        <v>59588.0</v>
      </c>
      <c r="G304" s="391">
        <v>682.0</v>
      </c>
      <c r="H304" s="391">
        <v>1.14</v>
      </c>
      <c r="I304" s="391">
        <v>0.39</v>
      </c>
      <c r="J304" s="391">
        <v>0.7</v>
      </c>
      <c r="K304" s="391">
        <v>700.0</v>
      </c>
      <c r="L304" s="391">
        <v>178693.0</v>
      </c>
      <c r="M304" s="391">
        <v>0.0117</v>
      </c>
      <c r="N304" s="38">
        <v>1.0264</v>
      </c>
    </row>
    <row r="305">
      <c r="A305" s="389" t="s">
        <v>1967</v>
      </c>
      <c r="B305" s="389" t="s">
        <v>339</v>
      </c>
      <c r="C305" s="389" t="s">
        <v>9</v>
      </c>
      <c r="D305" s="389" t="s">
        <v>591</v>
      </c>
      <c r="E305" s="390" t="s">
        <v>38</v>
      </c>
      <c r="F305" s="391">
        <v>59588.0</v>
      </c>
      <c r="G305" s="391">
        <v>560.0</v>
      </c>
      <c r="H305" s="391">
        <v>0.94</v>
      </c>
      <c r="I305" s="391">
        <v>0.32</v>
      </c>
      <c r="J305" s="391">
        <v>0.42</v>
      </c>
      <c r="K305" s="391">
        <v>580.0</v>
      </c>
      <c r="L305" s="391">
        <v>178693.0</v>
      </c>
      <c r="M305" s="391">
        <v>0.0097</v>
      </c>
      <c r="N305" s="38">
        <v>1.0357</v>
      </c>
    </row>
    <row r="306">
      <c r="A306" s="389" t="s">
        <v>1967</v>
      </c>
      <c r="B306" s="389" t="s">
        <v>339</v>
      </c>
      <c r="C306" s="389" t="s">
        <v>9</v>
      </c>
      <c r="D306" s="389" t="s">
        <v>591</v>
      </c>
      <c r="E306" s="390" t="s">
        <v>39</v>
      </c>
      <c r="F306" s="391">
        <v>59588.0</v>
      </c>
      <c r="G306" s="391">
        <v>314.0</v>
      </c>
      <c r="H306" s="391">
        <v>0.53</v>
      </c>
      <c r="I306" s="391">
        <v>0.19</v>
      </c>
      <c r="J306" s="391">
        <v>0.25</v>
      </c>
      <c r="K306" s="391">
        <v>340.0</v>
      </c>
      <c r="L306" s="391">
        <v>178693.0</v>
      </c>
      <c r="M306" s="391">
        <v>0.0057</v>
      </c>
      <c r="N306" s="38">
        <v>1.0828</v>
      </c>
    </row>
    <row r="307">
      <c r="A307" s="389" t="s">
        <v>1967</v>
      </c>
      <c r="B307" s="389" t="s">
        <v>339</v>
      </c>
      <c r="C307" s="389" t="s">
        <v>9</v>
      </c>
      <c r="D307" s="389" t="s">
        <v>591</v>
      </c>
      <c r="E307" s="390" t="s">
        <v>370</v>
      </c>
      <c r="F307" s="391">
        <v>59588.0</v>
      </c>
      <c r="G307" s="391">
        <v>335.0</v>
      </c>
      <c r="H307" s="391">
        <v>0.56</v>
      </c>
      <c r="I307" s="391">
        <v>0.19</v>
      </c>
      <c r="J307" s="391">
        <v>0.27</v>
      </c>
      <c r="K307" s="391">
        <v>342.0</v>
      </c>
      <c r="L307" s="391">
        <v>178693.0</v>
      </c>
      <c r="M307" s="391">
        <v>0.0057</v>
      </c>
      <c r="N307" s="38">
        <v>1.0209</v>
      </c>
    </row>
    <row r="308">
      <c r="A308" s="389" t="s">
        <v>1967</v>
      </c>
      <c r="B308" s="389" t="s">
        <v>339</v>
      </c>
      <c r="C308" s="389" t="s">
        <v>9</v>
      </c>
      <c r="D308" s="389" t="s">
        <v>591</v>
      </c>
      <c r="E308" s="390" t="s">
        <v>365</v>
      </c>
      <c r="F308" s="391">
        <v>59588.0</v>
      </c>
      <c r="G308" s="391">
        <v>117.0</v>
      </c>
      <c r="H308" s="391">
        <v>0.2</v>
      </c>
      <c r="I308" s="391">
        <v>0.07</v>
      </c>
      <c r="J308" s="391">
        <v>0.09</v>
      </c>
      <c r="K308" s="391">
        <v>127.0</v>
      </c>
      <c r="L308" s="391">
        <v>178693.0</v>
      </c>
      <c r="M308" s="391">
        <v>0.0021</v>
      </c>
      <c r="N308" s="38">
        <v>1.0855</v>
      </c>
    </row>
    <row r="309">
      <c r="A309" s="389" t="s">
        <v>1967</v>
      </c>
      <c r="B309" s="389" t="s">
        <v>339</v>
      </c>
      <c r="C309" s="389" t="s">
        <v>9</v>
      </c>
      <c r="D309" s="389" t="s">
        <v>591</v>
      </c>
      <c r="E309" s="390" t="s">
        <v>367</v>
      </c>
      <c r="F309" s="391">
        <v>59588.0</v>
      </c>
      <c r="G309" s="391">
        <v>90.0</v>
      </c>
      <c r="H309" s="391">
        <v>0.15</v>
      </c>
      <c r="I309" s="391">
        <v>0.06</v>
      </c>
      <c r="J309" s="391">
        <v>0.05</v>
      </c>
      <c r="K309" s="391">
        <v>114.0</v>
      </c>
      <c r="L309" s="391">
        <v>178693.0</v>
      </c>
      <c r="M309" s="391">
        <v>0.0019</v>
      </c>
      <c r="N309" s="38">
        <v>1.2667</v>
      </c>
    </row>
    <row r="310">
      <c r="A310" s="389" t="s">
        <v>1967</v>
      </c>
      <c r="B310" s="389" t="s">
        <v>339</v>
      </c>
      <c r="C310" s="389" t="s">
        <v>9</v>
      </c>
      <c r="D310" s="389" t="s">
        <v>591</v>
      </c>
      <c r="E310" s="390" t="s">
        <v>108</v>
      </c>
      <c r="F310" s="391">
        <v>59588.0</v>
      </c>
      <c r="G310" s="391">
        <v>46.0</v>
      </c>
      <c r="H310" s="391">
        <v>0.08</v>
      </c>
      <c r="I310" s="391">
        <v>0.04</v>
      </c>
      <c r="J310" s="391">
        <v>0.03</v>
      </c>
      <c r="K310" s="391">
        <v>75.0</v>
      </c>
      <c r="L310" s="391">
        <v>178693.0</v>
      </c>
      <c r="M310" s="391">
        <v>0.0013</v>
      </c>
      <c r="N310" s="38">
        <v>1.6304</v>
      </c>
    </row>
    <row r="311">
      <c r="A311" s="389" t="s">
        <v>1967</v>
      </c>
      <c r="B311" s="389" t="s">
        <v>339</v>
      </c>
      <c r="C311" s="389" t="s">
        <v>9</v>
      </c>
      <c r="D311" s="389" t="s">
        <v>591</v>
      </c>
      <c r="E311" s="390" t="s">
        <v>368</v>
      </c>
      <c r="F311" s="391">
        <v>59588.0</v>
      </c>
      <c r="G311" s="391">
        <v>35.0</v>
      </c>
      <c r="H311" s="391">
        <v>0.06</v>
      </c>
      <c r="I311" s="391">
        <v>0.02</v>
      </c>
      <c r="J311" s="391">
        <v>0.03</v>
      </c>
      <c r="K311" s="391">
        <v>41.0</v>
      </c>
      <c r="L311" s="391">
        <v>178693.0</v>
      </c>
      <c r="M311" s="391">
        <v>7.0E-4</v>
      </c>
      <c r="N311" s="38">
        <v>1.1714</v>
      </c>
    </row>
    <row r="312">
      <c r="A312" s="389" t="s">
        <v>1967</v>
      </c>
      <c r="B312" s="389" t="s">
        <v>339</v>
      </c>
      <c r="C312" s="389" t="s">
        <v>9</v>
      </c>
      <c r="D312" s="389" t="s">
        <v>591</v>
      </c>
      <c r="E312" s="390" t="s">
        <v>163</v>
      </c>
      <c r="F312" s="391">
        <v>59588.0</v>
      </c>
      <c r="G312" s="391">
        <v>5.0</v>
      </c>
      <c r="H312" s="391">
        <v>0.01</v>
      </c>
      <c r="I312" s="391">
        <v>0.0</v>
      </c>
      <c r="J312" s="391">
        <v>0.0</v>
      </c>
      <c r="K312" s="391">
        <v>5.0</v>
      </c>
      <c r="L312" s="391">
        <v>178693.0</v>
      </c>
      <c r="M312" s="391">
        <v>1.0E-4</v>
      </c>
      <c r="N312" s="38">
        <v>1.0</v>
      </c>
    </row>
    <row r="313">
      <c r="A313" s="389" t="s">
        <v>1967</v>
      </c>
      <c r="B313" s="389" t="s">
        <v>339</v>
      </c>
      <c r="C313" s="389" t="s">
        <v>358</v>
      </c>
      <c r="D313" s="389" t="s">
        <v>1968</v>
      </c>
      <c r="E313" s="390" t="s">
        <v>366</v>
      </c>
      <c r="F313" s="391">
        <v>5440.0</v>
      </c>
      <c r="G313" s="391">
        <v>4285.0</v>
      </c>
      <c r="H313" s="391">
        <v>78.77</v>
      </c>
      <c r="I313" s="391">
        <v>84.73</v>
      </c>
      <c r="J313" s="391">
        <v>78.45</v>
      </c>
      <c r="K313" s="391">
        <v>152640.0</v>
      </c>
      <c r="L313" s="391">
        <v>180150.0</v>
      </c>
      <c r="M313" s="391">
        <v>28.0588</v>
      </c>
      <c r="N313" s="38">
        <v>35.6219</v>
      </c>
    </row>
    <row r="314">
      <c r="A314" s="389" t="s">
        <v>1967</v>
      </c>
      <c r="B314" s="389" t="s">
        <v>339</v>
      </c>
      <c r="C314" s="389" t="s">
        <v>358</v>
      </c>
      <c r="D314" s="389" t="s">
        <v>1968</v>
      </c>
      <c r="E314" s="390" t="s">
        <v>371</v>
      </c>
      <c r="F314" s="391">
        <v>5440.0</v>
      </c>
      <c r="G314" s="391">
        <v>607.0</v>
      </c>
      <c r="H314" s="391">
        <v>11.16</v>
      </c>
      <c r="I314" s="391">
        <v>9.44</v>
      </c>
      <c r="J314" s="391">
        <v>10.53</v>
      </c>
      <c r="K314" s="391">
        <v>17005.0</v>
      </c>
      <c r="L314" s="391">
        <v>180150.0</v>
      </c>
      <c r="M314" s="391">
        <v>3.1259</v>
      </c>
      <c r="N314" s="38">
        <v>28.0148</v>
      </c>
    </row>
    <row r="315">
      <c r="A315" s="389" t="s">
        <v>1967</v>
      </c>
      <c r="B315" s="389" t="s">
        <v>339</v>
      </c>
      <c r="C315" s="389" t="s">
        <v>358</v>
      </c>
      <c r="D315" s="389" t="s">
        <v>1968</v>
      </c>
      <c r="E315" s="390" t="s">
        <v>369</v>
      </c>
      <c r="F315" s="391">
        <v>5440.0</v>
      </c>
      <c r="G315" s="391">
        <v>133.0</v>
      </c>
      <c r="H315" s="391">
        <v>2.44</v>
      </c>
      <c r="I315" s="391">
        <v>2.46</v>
      </c>
      <c r="J315" s="391">
        <v>2.43</v>
      </c>
      <c r="K315" s="391">
        <v>4425.0</v>
      </c>
      <c r="L315" s="391">
        <v>180150.0</v>
      </c>
      <c r="M315" s="391">
        <v>0.8134</v>
      </c>
      <c r="N315" s="38">
        <v>33.2707</v>
      </c>
    </row>
    <row r="316">
      <c r="A316" s="389" t="s">
        <v>1967</v>
      </c>
      <c r="B316" s="389" t="s">
        <v>339</v>
      </c>
      <c r="C316" s="389" t="s">
        <v>358</v>
      </c>
      <c r="D316" s="389" t="s">
        <v>1968</v>
      </c>
      <c r="E316" s="390" t="s">
        <v>368</v>
      </c>
      <c r="F316" s="391">
        <v>5440.0</v>
      </c>
      <c r="G316" s="391">
        <v>382.0</v>
      </c>
      <c r="H316" s="391">
        <v>7.02</v>
      </c>
      <c r="I316" s="391">
        <v>2.41</v>
      </c>
      <c r="J316" s="391">
        <v>6.57</v>
      </c>
      <c r="K316" s="391">
        <v>4345.0</v>
      </c>
      <c r="L316" s="391">
        <v>180150.0</v>
      </c>
      <c r="M316" s="391">
        <v>0.7987</v>
      </c>
      <c r="N316" s="38">
        <v>11.3743</v>
      </c>
    </row>
    <row r="317">
      <c r="A317" s="389" t="s">
        <v>1967</v>
      </c>
      <c r="B317" s="389" t="s">
        <v>339</v>
      </c>
      <c r="C317" s="389" t="s">
        <v>358</v>
      </c>
      <c r="D317" s="389" t="s">
        <v>1968</v>
      </c>
      <c r="E317" s="390" t="s">
        <v>163</v>
      </c>
      <c r="F317" s="391">
        <v>5440.0</v>
      </c>
      <c r="G317" s="391">
        <v>101.0</v>
      </c>
      <c r="H317" s="391">
        <v>1.86</v>
      </c>
      <c r="I317" s="391">
        <v>0.62</v>
      </c>
      <c r="J317" s="391">
        <v>1.62</v>
      </c>
      <c r="K317" s="391">
        <v>1110.0</v>
      </c>
      <c r="L317" s="391">
        <v>180150.0</v>
      </c>
      <c r="M317" s="391">
        <v>0.204</v>
      </c>
      <c r="N317" s="38">
        <v>10.9901</v>
      </c>
    </row>
    <row r="318">
      <c r="A318" s="389" t="s">
        <v>1967</v>
      </c>
      <c r="B318" s="389" t="s">
        <v>339</v>
      </c>
      <c r="C318" s="389" t="s">
        <v>358</v>
      </c>
      <c r="D318" s="389" t="s">
        <v>1968</v>
      </c>
      <c r="E318" s="390" t="s">
        <v>108</v>
      </c>
      <c r="F318" s="391">
        <v>5440.0</v>
      </c>
      <c r="G318" s="391">
        <v>18.0</v>
      </c>
      <c r="H318" s="391">
        <v>0.33</v>
      </c>
      <c r="I318" s="391">
        <v>0.21</v>
      </c>
      <c r="J318" s="391">
        <v>0.22</v>
      </c>
      <c r="K318" s="391">
        <v>380.0</v>
      </c>
      <c r="L318" s="391">
        <v>180150.0</v>
      </c>
      <c r="M318" s="391">
        <v>0.0699</v>
      </c>
      <c r="N318" s="38">
        <v>21.1111</v>
      </c>
    </row>
    <row r="319">
      <c r="A319" s="389" t="s">
        <v>1967</v>
      </c>
      <c r="B319" s="389" t="s">
        <v>339</v>
      </c>
      <c r="C319" s="389" t="s">
        <v>358</v>
      </c>
      <c r="D319" s="389" t="s">
        <v>1968</v>
      </c>
      <c r="E319" s="390" t="s">
        <v>30</v>
      </c>
      <c r="F319" s="391">
        <v>5440.0</v>
      </c>
      <c r="G319" s="391">
        <v>11.0</v>
      </c>
      <c r="H319" s="391">
        <v>0.2</v>
      </c>
      <c r="I319" s="391">
        <v>0.09</v>
      </c>
      <c r="J319" s="391">
        <v>0.15</v>
      </c>
      <c r="K319" s="391">
        <v>165.0</v>
      </c>
      <c r="L319" s="391">
        <v>180150.0</v>
      </c>
      <c r="M319" s="391">
        <v>0.0303</v>
      </c>
      <c r="N319" s="38">
        <v>15.0</v>
      </c>
    </row>
    <row r="320">
      <c r="A320" s="389" t="s">
        <v>1967</v>
      </c>
      <c r="B320" s="389" t="s">
        <v>339</v>
      </c>
      <c r="C320" s="389" t="s">
        <v>358</v>
      </c>
      <c r="D320" s="389" t="s">
        <v>1968</v>
      </c>
      <c r="E320" s="390" t="s">
        <v>35</v>
      </c>
      <c r="F320" s="391">
        <v>5440.0</v>
      </c>
      <c r="G320" s="391">
        <v>1.0</v>
      </c>
      <c r="H320" s="391">
        <v>0.02</v>
      </c>
      <c r="I320" s="391">
        <v>0.02</v>
      </c>
      <c r="J320" s="391">
        <v>0.0</v>
      </c>
      <c r="K320" s="391">
        <v>30.0</v>
      </c>
      <c r="L320" s="391">
        <v>180150.0</v>
      </c>
      <c r="M320" s="391">
        <v>0.0055</v>
      </c>
      <c r="N320" s="38">
        <v>30.0</v>
      </c>
    </row>
    <row r="321">
      <c r="A321" s="389" t="s">
        <v>1967</v>
      </c>
      <c r="B321" s="389" t="s">
        <v>339</v>
      </c>
      <c r="C321" s="389" t="s">
        <v>358</v>
      </c>
      <c r="D321" s="389" t="s">
        <v>1968</v>
      </c>
      <c r="E321" s="390" t="s">
        <v>373</v>
      </c>
      <c r="F321" s="391">
        <v>5440.0</v>
      </c>
      <c r="G321" s="391">
        <v>1.0</v>
      </c>
      <c r="H321" s="391">
        <v>0.02</v>
      </c>
      <c r="I321" s="391">
        <v>0.02</v>
      </c>
      <c r="J321" s="391">
        <v>0.02</v>
      </c>
      <c r="K321" s="391">
        <v>30.0</v>
      </c>
      <c r="L321" s="391">
        <v>180150.0</v>
      </c>
      <c r="M321" s="391">
        <v>0.0055</v>
      </c>
      <c r="N321" s="38">
        <v>30.0</v>
      </c>
    </row>
    <row r="322">
      <c r="A322" s="389" t="s">
        <v>1967</v>
      </c>
      <c r="B322" s="389" t="s">
        <v>339</v>
      </c>
      <c r="C322" s="389" t="s">
        <v>358</v>
      </c>
      <c r="D322" s="389" t="s">
        <v>1968</v>
      </c>
      <c r="E322" s="390" t="s">
        <v>37</v>
      </c>
      <c r="F322" s="391">
        <v>5440.0</v>
      </c>
      <c r="G322" s="391">
        <v>1.0</v>
      </c>
      <c r="H322" s="391">
        <v>0.02</v>
      </c>
      <c r="I322" s="391">
        <v>0.01</v>
      </c>
      <c r="J322" s="391">
        <v>0.0</v>
      </c>
      <c r="K322" s="391">
        <v>20.0</v>
      </c>
      <c r="L322" s="391">
        <v>180150.0</v>
      </c>
      <c r="M322" s="391">
        <v>0.0037</v>
      </c>
      <c r="N322" s="38">
        <v>20.0</v>
      </c>
    </row>
    <row r="323">
      <c r="A323" s="389" t="s">
        <v>1967</v>
      </c>
      <c r="B323" s="389" t="s">
        <v>339</v>
      </c>
      <c r="C323" s="389" t="s">
        <v>359</v>
      </c>
      <c r="D323" s="389" t="s">
        <v>1968</v>
      </c>
      <c r="E323" s="390" t="s">
        <v>366</v>
      </c>
      <c r="F323" s="391">
        <v>14954.0</v>
      </c>
      <c r="G323" s="391">
        <v>4793.0</v>
      </c>
      <c r="H323" s="391">
        <v>32.05</v>
      </c>
      <c r="I323" s="391">
        <v>64.18</v>
      </c>
      <c r="J323" s="391">
        <v>30.24</v>
      </c>
      <c r="K323" s="391">
        <v>337500.0</v>
      </c>
      <c r="L323" s="391">
        <v>525860.0</v>
      </c>
      <c r="M323" s="391">
        <v>22.5692</v>
      </c>
      <c r="N323" s="38">
        <v>70.4152</v>
      </c>
    </row>
    <row r="324">
      <c r="A324" s="389" t="s">
        <v>1967</v>
      </c>
      <c r="B324" s="389" t="s">
        <v>339</v>
      </c>
      <c r="C324" s="389" t="s">
        <v>359</v>
      </c>
      <c r="D324" s="389" t="s">
        <v>1968</v>
      </c>
      <c r="E324" s="390" t="s">
        <v>371</v>
      </c>
      <c r="F324" s="391">
        <v>14954.0</v>
      </c>
      <c r="G324" s="391">
        <v>7913.0</v>
      </c>
      <c r="H324" s="391">
        <v>52.92</v>
      </c>
      <c r="I324" s="391">
        <v>26.68</v>
      </c>
      <c r="J324" s="391">
        <v>46.32</v>
      </c>
      <c r="K324" s="391">
        <v>140295.0</v>
      </c>
      <c r="L324" s="391">
        <v>525860.0</v>
      </c>
      <c r="M324" s="391">
        <v>9.3818</v>
      </c>
      <c r="N324" s="38">
        <v>17.7297</v>
      </c>
    </row>
    <row r="325">
      <c r="A325" s="389" t="s">
        <v>1967</v>
      </c>
      <c r="B325" s="389" t="s">
        <v>339</v>
      </c>
      <c r="C325" s="389" t="s">
        <v>359</v>
      </c>
      <c r="D325" s="389" t="s">
        <v>1968</v>
      </c>
      <c r="E325" s="390" t="s">
        <v>368</v>
      </c>
      <c r="F325" s="391">
        <v>14954.0</v>
      </c>
      <c r="G325" s="391">
        <v>3024.0</v>
      </c>
      <c r="H325" s="391">
        <v>20.22</v>
      </c>
      <c r="I325" s="391">
        <v>6.67</v>
      </c>
      <c r="J325" s="391">
        <v>18.28</v>
      </c>
      <c r="K325" s="391">
        <v>35080.0</v>
      </c>
      <c r="L325" s="391">
        <v>525860.0</v>
      </c>
      <c r="M325" s="391">
        <v>2.3459</v>
      </c>
      <c r="N325" s="38">
        <v>11.6005</v>
      </c>
    </row>
    <row r="326">
      <c r="A326" s="389" t="s">
        <v>1967</v>
      </c>
      <c r="B326" s="389" t="s">
        <v>339</v>
      </c>
      <c r="C326" s="389" t="s">
        <v>359</v>
      </c>
      <c r="D326" s="389" t="s">
        <v>1968</v>
      </c>
      <c r="E326" s="390" t="s">
        <v>163</v>
      </c>
      <c r="F326" s="391">
        <v>14954.0</v>
      </c>
      <c r="G326" s="391">
        <v>597.0</v>
      </c>
      <c r="H326" s="391">
        <v>3.99</v>
      </c>
      <c r="I326" s="391">
        <v>1.17</v>
      </c>
      <c r="J326" s="391">
        <v>3.42</v>
      </c>
      <c r="K326" s="391">
        <v>6165.0</v>
      </c>
      <c r="L326" s="391">
        <v>525860.0</v>
      </c>
      <c r="M326" s="391">
        <v>0.4123</v>
      </c>
      <c r="N326" s="38">
        <v>10.3266</v>
      </c>
    </row>
    <row r="327">
      <c r="A327" s="389" t="s">
        <v>1967</v>
      </c>
      <c r="B327" s="389" t="s">
        <v>339</v>
      </c>
      <c r="C327" s="389" t="s">
        <v>359</v>
      </c>
      <c r="D327" s="389" t="s">
        <v>1968</v>
      </c>
      <c r="E327" s="390" t="s">
        <v>369</v>
      </c>
      <c r="F327" s="391">
        <v>14954.0</v>
      </c>
      <c r="G327" s="391">
        <v>134.0</v>
      </c>
      <c r="H327" s="391">
        <v>0.9</v>
      </c>
      <c r="I327" s="391">
        <v>0.84</v>
      </c>
      <c r="J327" s="391">
        <v>0.85</v>
      </c>
      <c r="K327" s="391">
        <v>4420.0</v>
      </c>
      <c r="L327" s="391">
        <v>525860.0</v>
      </c>
      <c r="M327" s="391">
        <v>0.2956</v>
      </c>
      <c r="N327" s="38">
        <v>32.9851</v>
      </c>
    </row>
    <row r="328">
      <c r="A328" s="389" t="s">
        <v>1967</v>
      </c>
      <c r="B328" s="389" t="s">
        <v>339</v>
      </c>
      <c r="C328" s="389" t="s">
        <v>359</v>
      </c>
      <c r="D328" s="389" t="s">
        <v>1968</v>
      </c>
      <c r="E328" s="390" t="s">
        <v>39</v>
      </c>
      <c r="F328" s="391">
        <v>14954.0</v>
      </c>
      <c r="G328" s="391">
        <v>108.0</v>
      </c>
      <c r="H328" s="391">
        <v>0.72</v>
      </c>
      <c r="I328" s="391">
        <v>0.23</v>
      </c>
      <c r="J328" s="391">
        <v>0.57</v>
      </c>
      <c r="K328" s="391">
        <v>1230.0</v>
      </c>
      <c r="L328" s="391">
        <v>525860.0</v>
      </c>
      <c r="M328" s="391">
        <v>0.0823</v>
      </c>
      <c r="N328" s="38">
        <v>11.3889</v>
      </c>
    </row>
    <row r="329">
      <c r="A329" s="389" t="s">
        <v>1967</v>
      </c>
      <c r="B329" s="389" t="s">
        <v>339</v>
      </c>
      <c r="C329" s="389" t="s">
        <v>359</v>
      </c>
      <c r="D329" s="389" t="s">
        <v>1968</v>
      </c>
      <c r="E329" s="390" t="s">
        <v>108</v>
      </c>
      <c r="F329" s="391">
        <v>14954.0</v>
      </c>
      <c r="G329" s="391">
        <v>40.0</v>
      </c>
      <c r="H329" s="391">
        <v>0.27</v>
      </c>
      <c r="I329" s="391">
        <v>0.14</v>
      </c>
      <c r="J329" s="391">
        <v>0.17</v>
      </c>
      <c r="K329" s="391">
        <v>760.0</v>
      </c>
      <c r="L329" s="391">
        <v>525860.0</v>
      </c>
      <c r="M329" s="391">
        <v>0.0508</v>
      </c>
      <c r="N329" s="38">
        <v>19.0</v>
      </c>
    </row>
    <row r="330">
      <c r="A330" s="389" t="s">
        <v>1967</v>
      </c>
      <c r="B330" s="389" t="s">
        <v>339</v>
      </c>
      <c r="C330" s="389" t="s">
        <v>359</v>
      </c>
      <c r="D330" s="389" t="s">
        <v>1968</v>
      </c>
      <c r="E330" s="390" t="s">
        <v>30</v>
      </c>
      <c r="F330" s="391">
        <v>14954.0</v>
      </c>
      <c r="G330" s="391">
        <v>21.0</v>
      </c>
      <c r="H330" s="391">
        <v>0.14</v>
      </c>
      <c r="I330" s="391">
        <v>0.06</v>
      </c>
      <c r="J330" s="391">
        <v>0.11</v>
      </c>
      <c r="K330" s="391">
        <v>315.0</v>
      </c>
      <c r="L330" s="391">
        <v>525860.0</v>
      </c>
      <c r="M330" s="391">
        <v>0.0211</v>
      </c>
      <c r="N330" s="38">
        <v>15.0</v>
      </c>
    </row>
    <row r="331">
      <c r="A331" s="389" t="s">
        <v>1967</v>
      </c>
      <c r="B331" s="389" t="s">
        <v>339</v>
      </c>
      <c r="C331" s="389" t="s">
        <v>359</v>
      </c>
      <c r="D331" s="389" t="s">
        <v>1968</v>
      </c>
      <c r="E331" s="390" t="s">
        <v>35</v>
      </c>
      <c r="F331" s="391">
        <v>14954.0</v>
      </c>
      <c r="G331" s="391">
        <v>2.0</v>
      </c>
      <c r="H331" s="391">
        <v>0.01</v>
      </c>
      <c r="I331" s="391">
        <v>0.01</v>
      </c>
      <c r="J331" s="391">
        <v>0.01</v>
      </c>
      <c r="K331" s="391">
        <v>45.0</v>
      </c>
      <c r="L331" s="391">
        <v>525860.0</v>
      </c>
      <c r="M331" s="391">
        <v>0.003</v>
      </c>
      <c r="N331" s="38">
        <v>22.5</v>
      </c>
    </row>
    <row r="332">
      <c r="A332" s="389" t="s">
        <v>1967</v>
      </c>
      <c r="B332" s="389" t="s">
        <v>339</v>
      </c>
      <c r="C332" s="389" t="s">
        <v>359</v>
      </c>
      <c r="D332" s="389" t="s">
        <v>1968</v>
      </c>
      <c r="E332" s="390" t="s">
        <v>37</v>
      </c>
      <c r="F332" s="391">
        <v>14954.0</v>
      </c>
      <c r="G332" s="391">
        <v>2.0</v>
      </c>
      <c r="H332" s="391">
        <v>0.01</v>
      </c>
      <c r="I332" s="391">
        <v>0.01</v>
      </c>
      <c r="J332" s="391">
        <v>0.01</v>
      </c>
      <c r="K332" s="391">
        <v>30.0</v>
      </c>
      <c r="L332" s="391">
        <v>525860.0</v>
      </c>
      <c r="M332" s="391">
        <v>0.002</v>
      </c>
      <c r="N332" s="38">
        <v>15.0</v>
      </c>
    </row>
    <row r="333">
      <c r="A333" s="389" t="s">
        <v>1967</v>
      </c>
      <c r="B333" s="389" t="s">
        <v>339</v>
      </c>
      <c r="C333" s="389" t="s">
        <v>359</v>
      </c>
      <c r="D333" s="389" t="s">
        <v>1968</v>
      </c>
      <c r="E333" s="390" t="s">
        <v>367</v>
      </c>
      <c r="F333" s="391">
        <v>14954.0</v>
      </c>
      <c r="G333" s="391">
        <v>2.0</v>
      </c>
      <c r="H333" s="391">
        <v>0.01</v>
      </c>
      <c r="I333" s="391">
        <v>0.0</v>
      </c>
      <c r="J333" s="391">
        <v>0.01</v>
      </c>
      <c r="K333" s="391">
        <v>20.0</v>
      </c>
      <c r="L333" s="391">
        <v>525860.0</v>
      </c>
      <c r="M333" s="391">
        <v>0.0013</v>
      </c>
      <c r="N333" s="38">
        <v>10.0</v>
      </c>
    </row>
    <row r="334">
      <c r="A334" s="389" t="s">
        <v>1967</v>
      </c>
      <c r="B334" s="389" t="s">
        <v>339</v>
      </c>
      <c r="C334" s="389" t="s">
        <v>360</v>
      </c>
      <c r="D334" s="389" t="s">
        <v>1968</v>
      </c>
      <c r="E334" s="390" t="s">
        <v>366</v>
      </c>
      <c r="F334" s="391">
        <v>21676.0</v>
      </c>
      <c r="G334" s="391">
        <v>5238.0</v>
      </c>
      <c r="H334" s="391">
        <v>24.16</v>
      </c>
      <c r="I334" s="391">
        <v>59.06</v>
      </c>
      <c r="J334" s="391">
        <v>22.42</v>
      </c>
      <c r="K334" s="391">
        <v>366420.0</v>
      </c>
      <c r="L334" s="391">
        <v>620405.0</v>
      </c>
      <c r="M334" s="391">
        <v>16.9044</v>
      </c>
      <c r="N334" s="38">
        <v>69.9542</v>
      </c>
    </row>
    <row r="335">
      <c r="A335" s="389" t="s">
        <v>1967</v>
      </c>
      <c r="B335" s="389" t="s">
        <v>339</v>
      </c>
      <c r="C335" s="389" t="s">
        <v>360</v>
      </c>
      <c r="D335" s="389" t="s">
        <v>1968</v>
      </c>
      <c r="E335" s="390" t="s">
        <v>371</v>
      </c>
      <c r="F335" s="391">
        <v>21676.0</v>
      </c>
      <c r="G335" s="391">
        <v>11671.0</v>
      </c>
      <c r="H335" s="391">
        <v>53.84</v>
      </c>
      <c r="I335" s="391">
        <v>25.41</v>
      </c>
      <c r="J335" s="391">
        <v>45.57</v>
      </c>
      <c r="K335" s="391">
        <v>157615.0</v>
      </c>
      <c r="L335" s="391">
        <v>620405.0</v>
      </c>
      <c r="M335" s="391">
        <v>7.2714</v>
      </c>
      <c r="N335" s="38">
        <v>13.5048</v>
      </c>
    </row>
    <row r="336">
      <c r="A336" s="389" t="s">
        <v>1967</v>
      </c>
      <c r="B336" s="389" t="s">
        <v>339</v>
      </c>
      <c r="C336" s="389" t="s">
        <v>360</v>
      </c>
      <c r="D336" s="389" t="s">
        <v>1968</v>
      </c>
      <c r="E336" s="390" t="s">
        <v>368</v>
      </c>
      <c r="F336" s="391">
        <v>21676.0</v>
      </c>
      <c r="G336" s="391">
        <v>6190.0</v>
      </c>
      <c r="H336" s="391">
        <v>28.56</v>
      </c>
      <c r="I336" s="391">
        <v>11.77</v>
      </c>
      <c r="J336" s="391">
        <v>24.97</v>
      </c>
      <c r="K336" s="391">
        <v>73040.0</v>
      </c>
      <c r="L336" s="391">
        <v>620405.0</v>
      </c>
      <c r="M336" s="391">
        <v>3.3696</v>
      </c>
      <c r="N336" s="38">
        <v>11.7997</v>
      </c>
    </row>
    <row r="337">
      <c r="A337" s="389" t="s">
        <v>1967</v>
      </c>
      <c r="B337" s="389" t="s">
        <v>339</v>
      </c>
      <c r="C337" s="389" t="s">
        <v>360</v>
      </c>
      <c r="D337" s="389" t="s">
        <v>1968</v>
      </c>
      <c r="E337" s="390" t="s">
        <v>163</v>
      </c>
      <c r="F337" s="391">
        <v>21676.0</v>
      </c>
      <c r="G337" s="391">
        <v>1269.0</v>
      </c>
      <c r="H337" s="391">
        <v>5.85</v>
      </c>
      <c r="I337" s="391">
        <v>2.11</v>
      </c>
      <c r="J337" s="391">
        <v>4.86</v>
      </c>
      <c r="K337" s="391">
        <v>13060.0</v>
      </c>
      <c r="L337" s="391">
        <v>620405.0</v>
      </c>
      <c r="M337" s="391">
        <v>0.6025</v>
      </c>
      <c r="N337" s="38">
        <v>10.2916</v>
      </c>
    </row>
    <row r="338">
      <c r="A338" s="389" t="s">
        <v>1967</v>
      </c>
      <c r="B338" s="389" t="s">
        <v>339</v>
      </c>
      <c r="C338" s="389" t="s">
        <v>360</v>
      </c>
      <c r="D338" s="389" t="s">
        <v>1968</v>
      </c>
      <c r="E338" s="390" t="s">
        <v>369</v>
      </c>
      <c r="F338" s="391">
        <v>21676.0</v>
      </c>
      <c r="G338" s="391">
        <v>137.0</v>
      </c>
      <c r="H338" s="391">
        <v>0.63</v>
      </c>
      <c r="I338" s="391">
        <v>0.72</v>
      </c>
      <c r="J338" s="391">
        <v>0.59</v>
      </c>
      <c r="K338" s="391">
        <v>4455.0</v>
      </c>
      <c r="L338" s="391">
        <v>620405.0</v>
      </c>
      <c r="M338" s="391">
        <v>0.2055</v>
      </c>
      <c r="N338" s="38">
        <v>32.5182</v>
      </c>
    </row>
    <row r="339">
      <c r="A339" s="389" t="s">
        <v>1967</v>
      </c>
      <c r="B339" s="389" t="s">
        <v>339</v>
      </c>
      <c r="C339" s="389" t="s">
        <v>360</v>
      </c>
      <c r="D339" s="389" t="s">
        <v>1968</v>
      </c>
      <c r="E339" s="390" t="s">
        <v>39</v>
      </c>
      <c r="F339" s="391">
        <v>21676.0</v>
      </c>
      <c r="G339" s="391">
        <v>314.0</v>
      </c>
      <c r="H339" s="391">
        <v>1.45</v>
      </c>
      <c r="I339" s="391">
        <v>0.55</v>
      </c>
      <c r="J339" s="391">
        <v>1.2</v>
      </c>
      <c r="K339" s="391">
        <v>3390.0</v>
      </c>
      <c r="L339" s="391">
        <v>620405.0</v>
      </c>
      <c r="M339" s="391">
        <v>0.1564</v>
      </c>
      <c r="N339" s="38">
        <v>10.7962</v>
      </c>
    </row>
    <row r="340">
      <c r="A340" s="389" t="s">
        <v>1967</v>
      </c>
      <c r="B340" s="389" t="s">
        <v>339</v>
      </c>
      <c r="C340" s="389" t="s">
        <v>360</v>
      </c>
      <c r="D340" s="389" t="s">
        <v>1968</v>
      </c>
      <c r="E340" s="390" t="s">
        <v>108</v>
      </c>
      <c r="F340" s="391">
        <v>21676.0</v>
      </c>
      <c r="G340" s="391">
        <v>38.0</v>
      </c>
      <c r="H340" s="391">
        <v>0.18</v>
      </c>
      <c r="I340" s="391">
        <v>0.22</v>
      </c>
      <c r="J340" s="391">
        <v>0.1</v>
      </c>
      <c r="K340" s="391">
        <v>1360.0</v>
      </c>
      <c r="L340" s="391">
        <v>620405.0</v>
      </c>
      <c r="M340" s="391">
        <v>0.0627</v>
      </c>
      <c r="N340" s="38">
        <v>35.7895</v>
      </c>
    </row>
    <row r="341">
      <c r="A341" s="389" t="s">
        <v>1967</v>
      </c>
      <c r="B341" s="389" t="s">
        <v>339</v>
      </c>
      <c r="C341" s="389" t="s">
        <v>360</v>
      </c>
      <c r="D341" s="389" t="s">
        <v>1968</v>
      </c>
      <c r="E341" s="390" t="s">
        <v>30</v>
      </c>
      <c r="F341" s="391">
        <v>21676.0</v>
      </c>
      <c r="G341" s="391">
        <v>67.0</v>
      </c>
      <c r="H341" s="391">
        <v>0.31</v>
      </c>
      <c r="I341" s="391">
        <v>0.16</v>
      </c>
      <c r="J341" s="391">
        <v>0.26</v>
      </c>
      <c r="K341" s="391">
        <v>1020.0</v>
      </c>
      <c r="L341" s="391">
        <v>620405.0</v>
      </c>
      <c r="M341" s="391">
        <v>0.0471</v>
      </c>
      <c r="N341" s="38">
        <v>15.2239</v>
      </c>
    </row>
    <row r="342">
      <c r="A342" s="389" t="s">
        <v>1967</v>
      </c>
      <c r="B342" s="389" t="s">
        <v>339</v>
      </c>
      <c r="C342" s="389" t="s">
        <v>360</v>
      </c>
      <c r="D342" s="389" t="s">
        <v>1968</v>
      </c>
      <c r="E342" s="390" t="s">
        <v>35</v>
      </c>
      <c r="F342" s="391">
        <v>21676.0</v>
      </c>
      <c r="G342" s="391">
        <v>1.0</v>
      </c>
      <c r="H342" s="391">
        <v>0.0</v>
      </c>
      <c r="I342" s="391">
        <v>0.0</v>
      </c>
      <c r="J342" s="391">
        <v>0.0</v>
      </c>
      <c r="K342" s="391">
        <v>15.0</v>
      </c>
      <c r="L342" s="391">
        <v>620405.0</v>
      </c>
      <c r="M342" s="391">
        <v>7.0E-4</v>
      </c>
      <c r="N342" s="38">
        <v>15.0</v>
      </c>
    </row>
    <row r="343">
      <c r="A343" s="389" t="s">
        <v>1967</v>
      </c>
      <c r="B343" s="389" t="s">
        <v>339</v>
      </c>
      <c r="C343" s="389" t="s">
        <v>360</v>
      </c>
      <c r="D343" s="389" t="s">
        <v>1968</v>
      </c>
      <c r="E343" s="390" t="s">
        <v>370</v>
      </c>
      <c r="F343" s="391">
        <v>21676.0</v>
      </c>
      <c r="G343" s="391">
        <v>2.0</v>
      </c>
      <c r="H343" s="391">
        <v>0.01</v>
      </c>
      <c r="I343" s="391">
        <v>0.0</v>
      </c>
      <c r="J343" s="391">
        <v>0.01</v>
      </c>
      <c r="K343" s="391">
        <v>30.0</v>
      </c>
      <c r="L343" s="391">
        <v>620405.0</v>
      </c>
      <c r="M343" s="391">
        <v>0.0014</v>
      </c>
      <c r="N343" s="38">
        <v>15.0</v>
      </c>
    </row>
    <row r="344">
      <c r="A344" s="389" t="s">
        <v>1967</v>
      </c>
      <c r="B344" s="389" t="s">
        <v>339</v>
      </c>
      <c r="C344" s="389" t="s">
        <v>12</v>
      </c>
      <c r="D344" s="389" t="s">
        <v>1968</v>
      </c>
      <c r="E344" s="390" t="s">
        <v>366</v>
      </c>
      <c r="F344" s="391">
        <v>82059.0</v>
      </c>
      <c r="G344" s="391">
        <v>64208.0</v>
      </c>
      <c r="H344" s="391">
        <v>78.25</v>
      </c>
      <c r="I344" s="391">
        <v>52.6</v>
      </c>
      <c r="J344" s="391">
        <v>51.07</v>
      </c>
      <c r="K344" s="391">
        <v>6778625.0</v>
      </c>
      <c r="L344" s="391">
        <v>1.2887777E7</v>
      </c>
      <c r="M344" s="391">
        <v>82.6067</v>
      </c>
      <c r="N344" s="38">
        <v>105.5729</v>
      </c>
    </row>
    <row r="345">
      <c r="A345" s="389" t="s">
        <v>1967</v>
      </c>
      <c r="B345" s="389" t="s">
        <v>339</v>
      </c>
      <c r="C345" s="389" t="s">
        <v>12</v>
      </c>
      <c r="D345" s="389" t="s">
        <v>1968</v>
      </c>
      <c r="E345" s="390" t="s">
        <v>44</v>
      </c>
      <c r="F345" s="391">
        <v>82059.0</v>
      </c>
      <c r="G345" s="391">
        <v>30156.0</v>
      </c>
      <c r="H345" s="391">
        <v>36.75</v>
      </c>
      <c r="I345" s="391">
        <v>26.72</v>
      </c>
      <c r="J345" s="391">
        <v>24.33</v>
      </c>
      <c r="K345" s="391">
        <v>3443540.0</v>
      </c>
      <c r="L345" s="391">
        <v>1.2887777E7</v>
      </c>
      <c r="M345" s="391">
        <v>41.9642</v>
      </c>
      <c r="N345" s="38">
        <v>114.1909</v>
      </c>
    </row>
    <row r="346">
      <c r="A346" s="389" t="s">
        <v>1967</v>
      </c>
      <c r="B346" s="389" t="s">
        <v>339</v>
      </c>
      <c r="C346" s="389" t="s">
        <v>12</v>
      </c>
      <c r="D346" s="389" t="s">
        <v>1968</v>
      </c>
      <c r="E346" s="390" t="s">
        <v>371</v>
      </c>
      <c r="F346" s="391">
        <v>82059.0</v>
      </c>
      <c r="G346" s="391">
        <v>19715.0</v>
      </c>
      <c r="H346" s="391">
        <v>24.03</v>
      </c>
      <c r="I346" s="391">
        <v>10.3</v>
      </c>
      <c r="J346" s="391">
        <v>11.68</v>
      </c>
      <c r="K346" s="391">
        <v>1327905.0</v>
      </c>
      <c r="L346" s="391">
        <v>1.2887777E7</v>
      </c>
      <c r="M346" s="391">
        <v>16.1823</v>
      </c>
      <c r="N346" s="38">
        <v>67.3551</v>
      </c>
    </row>
    <row r="347">
      <c r="A347" s="389" t="s">
        <v>1967</v>
      </c>
      <c r="B347" s="389" t="s">
        <v>339</v>
      </c>
      <c r="C347" s="389" t="s">
        <v>12</v>
      </c>
      <c r="D347" s="389" t="s">
        <v>1968</v>
      </c>
      <c r="E347" s="390" t="s">
        <v>39</v>
      </c>
      <c r="F347" s="391">
        <v>82059.0</v>
      </c>
      <c r="G347" s="391">
        <v>9203.0</v>
      </c>
      <c r="H347" s="391">
        <v>11.22</v>
      </c>
      <c r="I347" s="391">
        <v>4.85</v>
      </c>
      <c r="J347" s="391">
        <v>5.37</v>
      </c>
      <c r="K347" s="391">
        <v>624990.0</v>
      </c>
      <c r="L347" s="391">
        <v>1.2887777E7</v>
      </c>
      <c r="M347" s="391">
        <v>7.6163</v>
      </c>
      <c r="N347" s="38">
        <v>67.9116</v>
      </c>
    </row>
    <row r="348">
      <c r="A348" s="389" t="s">
        <v>1967</v>
      </c>
      <c r="B348" s="389" t="s">
        <v>339</v>
      </c>
      <c r="C348" s="389" t="s">
        <v>12</v>
      </c>
      <c r="D348" s="389" t="s">
        <v>1968</v>
      </c>
      <c r="E348" s="390" t="s">
        <v>363</v>
      </c>
      <c r="F348" s="391">
        <v>82059.0</v>
      </c>
      <c r="G348" s="391">
        <v>14568.0</v>
      </c>
      <c r="H348" s="391">
        <v>17.75</v>
      </c>
      <c r="I348" s="391">
        <v>3.36</v>
      </c>
      <c r="J348" s="391">
        <v>4.26</v>
      </c>
      <c r="K348" s="391">
        <v>433220.0</v>
      </c>
      <c r="L348" s="391">
        <v>1.2887777E7</v>
      </c>
      <c r="M348" s="391">
        <v>5.2794</v>
      </c>
      <c r="N348" s="38">
        <v>29.7378</v>
      </c>
    </row>
    <row r="349">
      <c r="A349" s="389" t="s">
        <v>1967</v>
      </c>
      <c r="B349" s="389" t="s">
        <v>339</v>
      </c>
      <c r="C349" s="389" t="s">
        <v>12</v>
      </c>
      <c r="D349" s="389" t="s">
        <v>1968</v>
      </c>
      <c r="E349" s="390" t="s">
        <v>368</v>
      </c>
      <c r="F349" s="391">
        <v>82059.0</v>
      </c>
      <c r="G349" s="391">
        <v>1913.0</v>
      </c>
      <c r="H349" s="391">
        <v>2.33</v>
      </c>
      <c r="I349" s="391">
        <v>0.63</v>
      </c>
      <c r="J349" s="391">
        <v>1.09</v>
      </c>
      <c r="K349" s="391">
        <v>80640.0</v>
      </c>
      <c r="L349" s="391">
        <v>1.2887777E7</v>
      </c>
      <c r="M349" s="391">
        <v>0.9827</v>
      </c>
      <c r="N349" s="38">
        <v>42.1537</v>
      </c>
    </row>
    <row r="350">
      <c r="A350" s="389" t="s">
        <v>1967</v>
      </c>
      <c r="B350" s="389" t="s">
        <v>339</v>
      </c>
      <c r="C350" s="389" t="s">
        <v>12</v>
      </c>
      <c r="D350" s="389" t="s">
        <v>1968</v>
      </c>
      <c r="E350" s="390" t="s">
        <v>369</v>
      </c>
      <c r="F350" s="391">
        <v>82059.0</v>
      </c>
      <c r="G350" s="391">
        <v>815.0</v>
      </c>
      <c r="H350" s="391">
        <v>0.99</v>
      </c>
      <c r="I350" s="391">
        <v>0.45</v>
      </c>
      <c r="J350" s="391">
        <v>0.42</v>
      </c>
      <c r="K350" s="391">
        <v>57812.0</v>
      </c>
      <c r="L350" s="391">
        <v>1.2887777E7</v>
      </c>
      <c r="M350" s="391">
        <v>0.7045</v>
      </c>
      <c r="N350" s="38">
        <v>70.935</v>
      </c>
    </row>
    <row r="351">
      <c r="A351" s="389" t="s">
        <v>1967</v>
      </c>
      <c r="B351" s="389" t="s">
        <v>339</v>
      </c>
      <c r="C351" s="389" t="s">
        <v>12</v>
      </c>
      <c r="D351" s="389" t="s">
        <v>1968</v>
      </c>
      <c r="E351" s="390" t="s">
        <v>38</v>
      </c>
      <c r="F351" s="391">
        <v>82059.0</v>
      </c>
      <c r="G351" s="391">
        <v>1247.0</v>
      </c>
      <c r="H351" s="391">
        <v>1.52</v>
      </c>
      <c r="I351" s="391">
        <v>0.38</v>
      </c>
      <c r="J351" s="391">
        <v>0.43</v>
      </c>
      <c r="K351" s="391">
        <v>49130.0</v>
      </c>
      <c r="L351" s="391">
        <v>1.2887777E7</v>
      </c>
      <c r="M351" s="391">
        <v>0.5987</v>
      </c>
      <c r="N351" s="38">
        <v>39.3986</v>
      </c>
    </row>
    <row r="352">
      <c r="A352" s="389" t="s">
        <v>1967</v>
      </c>
      <c r="B352" s="389" t="s">
        <v>339</v>
      </c>
      <c r="C352" s="389" t="s">
        <v>12</v>
      </c>
      <c r="D352" s="389" t="s">
        <v>1968</v>
      </c>
      <c r="E352" s="390" t="s">
        <v>370</v>
      </c>
      <c r="F352" s="391">
        <v>82059.0</v>
      </c>
      <c r="G352" s="391">
        <v>1039.0</v>
      </c>
      <c r="H352" s="391">
        <v>1.27</v>
      </c>
      <c r="I352" s="391">
        <v>0.21</v>
      </c>
      <c r="J352" s="391">
        <v>0.45</v>
      </c>
      <c r="K352" s="391">
        <v>26715.0</v>
      </c>
      <c r="L352" s="391">
        <v>1.2887777E7</v>
      </c>
      <c r="M352" s="391">
        <v>0.3256</v>
      </c>
      <c r="N352" s="38">
        <v>25.7122</v>
      </c>
    </row>
    <row r="353">
      <c r="A353" s="389" t="s">
        <v>1967</v>
      </c>
      <c r="B353" s="389" t="s">
        <v>339</v>
      </c>
      <c r="C353" s="389" t="s">
        <v>12</v>
      </c>
      <c r="D353" s="389" t="s">
        <v>1968</v>
      </c>
      <c r="E353" s="390" t="s">
        <v>163</v>
      </c>
      <c r="F353" s="391">
        <v>82059.0</v>
      </c>
      <c r="G353" s="391">
        <v>467.0</v>
      </c>
      <c r="H353" s="391">
        <v>0.57</v>
      </c>
      <c r="I353" s="391">
        <v>0.13</v>
      </c>
      <c r="J353" s="391">
        <v>0.24</v>
      </c>
      <c r="K353" s="391">
        <v>16570.0</v>
      </c>
      <c r="L353" s="391">
        <v>1.2887777E7</v>
      </c>
      <c r="M353" s="391">
        <v>0.2019</v>
      </c>
      <c r="N353" s="38">
        <v>35.4818</v>
      </c>
    </row>
    <row r="354">
      <c r="A354" s="389" t="s">
        <v>1967</v>
      </c>
      <c r="B354" s="389" t="s">
        <v>339</v>
      </c>
      <c r="C354" s="389" t="s">
        <v>12</v>
      </c>
      <c r="D354" s="389" t="s">
        <v>1968</v>
      </c>
      <c r="E354" s="390" t="s">
        <v>30</v>
      </c>
      <c r="F354" s="391">
        <v>82059.0</v>
      </c>
      <c r="G354" s="391">
        <v>465.0</v>
      </c>
      <c r="H354" s="391">
        <v>0.57</v>
      </c>
      <c r="I354" s="391">
        <v>0.12</v>
      </c>
      <c r="J354" s="391">
        <v>0.2</v>
      </c>
      <c r="K354" s="391">
        <v>15660.0</v>
      </c>
      <c r="L354" s="391">
        <v>1.2887777E7</v>
      </c>
      <c r="M354" s="391">
        <v>0.1908</v>
      </c>
      <c r="N354" s="38">
        <v>33.6774</v>
      </c>
    </row>
    <row r="355">
      <c r="A355" s="389" t="s">
        <v>1967</v>
      </c>
      <c r="B355" s="389" t="s">
        <v>339</v>
      </c>
      <c r="C355" s="389" t="s">
        <v>12</v>
      </c>
      <c r="D355" s="389" t="s">
        <v>1968</v>
      </c>
      <c r="E355" s="390" t="s">
        <v>367</v>
      </c>
      <c r="F355" s="391">
        <v>82059.0</v>
      </c>
      <c r="G355" s="391">
        <v>617.0</v>
      </c>
      <c r="H355" s="391">
        <v>0.75</v>
      </c>
      <c r="I355" s="391">
        <v>0.11</v>
      </c>
      <c r="J355" s="391">
        <v>0.25</v>
      </c>
      <c r="K355" s="391">
        <v>13930.0</v>
      </c>
      <c r="L355" s="391">
        <v>1.2887777E7</v>
      </c>
      <c r="M355" s="391">
        <v>0.1698</v>
      </c>
      <c r="N355" s="38">
        <v>22.577</v>
      </c>
    </row>
    <row r="356">
      <c r="A356" s="389" t="s">
        <v>1967</v>
      </c>
      <c r="B356" s="389" t="s">
        <v>339</v>
      </c>
      <c r="C356" s="389" t="s">
        <v>12</v>
      </c>
      <c r="D356" s="389" t="s">
        <v>1968</v>
      </c>
      <c r="E356" s="390" t="s">
        <v>365</v>
      </c>
      <c r="F356" s="391">
        <v>82059.0</v>
      </c>
      <c r="G356" s="391">
        <v>223.0</v>
      </c>
      <c r="H356" s="391">
        <v>0.27</v>
      </c>
      <c r="I356" s="391">
        <v>0.08</v>
      </c>
      <c r="J356" s="391">
        <v>0.11</v>
      </c>
      <c r="K356" s="391">
        <v>10560.0</v>
      </c>
      <c r="L356" s="391">
        <v>1.2887777E7</v>
      </c>
      <c r="M356" s="391">
        <v>0.1287</v>
      </c>
      <c r="N356" s="38">
        <v>47.3543</v>
      </c>
    </row>
    <row r="357">
      <c r="A357" s="389" t="s">
        <v>1967</v>
      </c>
      <c r="B357" s="389" t="s">
        <v>339</v>
      </c>
      <c r="C357" s="389" t="s">
        <v>12</v>
      </c>
      <c r="D357" s="389" t="s">
        <v>1968</v>
      </c>
      <c r="E357" s="390" t="s">
        <v>45</v>
      </c>
      <c r="F357" s="391">
        <v>82059.0</v>
      </c>
      <c r="G357" s="391">
        <v>121.0</v>
      </c>
      <c r="H357" s="391">
        <v>0.15</v>
      </c>
      <c r="I357" s="391">
        <v>0.05</v>
      </c>
      <c r="J357" s="391">
        <v>0.08</v>
      </c>
      <c r="K357" s="391">
        <v>6490.0</v>
      </c>
      <c r="L357" s="391">
        <v>1.2887777E7</v>
      </c>
      <c r="M357" s="391">
        <v>0.0791</v>
      </c>
      <c r="N357" s="38">
        <v>53.6364</v>
      </c>
    </row>
    <row r="358">
      <c r="A358" s="389" t="s">
        <v>1967</v>
      </c>
      <c r="B358" s="389" t="s">
        <v>339</v>
      </c>
      <c r="C358" s="389" t="s">
        <v>12</v>
      </c>
      <c r="D358" s="389" t="s">
        <v>1968</v>
      </c>
      <c r="E358" s="390" t="s">
        <v>27</v>
      </c>
      <c r="F358" s="391">
        <v>82059.0</v>
      </c>
      <c r="G358" s="391">
        <v>41.0</v>
      </c>
      <c r="H358" s="391">
        <v>0.05</v>
      </c>
      <c r="I358" s="391">
        <v>0.01</v>
      </c>
      <c r="J358" s="391">
        <v>0.01</v>
      </c>
      <c r="K358" s="391">
        <v>1600.0</v>
      </c>
      <c r="L358" s="391">
        <v>1.2887777E7</v>
      </c>
      <c r="M358" s="391">
        <v>0.0195</v>
      </c>
      <c r="N358" s="38">
        <v>39.0244</v>
      </c>
    </row>
    <row r="359">
      <c r="A359" s="389" t="s">
        <v>1967</v>
      </c>
      <c r="B359" s="389" t="s">
        <v>339</v>
      </c>
      <c r="C359" s="389" t="s">
        <v>12</v>
      </c>
      <c r="D359" s="389" t="s">
        <v>1968</v>
      </c>
      <c r="E359" s="390" t="s">
        <v>108</v>
      </c>
      <c r="F359" s="391">
        <v>82059.0</v>
      </c>
      <c r="G359" s="391">
        <v>13.0</v>
      </c>
      <c r="H359" s="391">
        <v>0.02</v>
      </c>
      <c r="I359" s="391">
        <v>0.0</v>
      </c>
      <c r="J359" s="391">
        <v>0.01</v>
      </c>
      <c r="K359" s="391">
        <v>280.0</v>
      </c>
      <c r="L359" s="391">
        <v>1.2887777E7</v>
      </c>
      <c r="M359" s="391">
        <v>0.0034</v>
      </c>
      <c r="N359" s="38">
        <v>21.5385</v>
      </c>
    </row>
    <row r="360">
      <c r="A360" s="389" t="s">
        <v>1967</v>
      </c>
      <c r="B360" s="389" t="s">
        <v>339</v>
      </c>
      <c r="C360" s="389" t="s">
        <v>12</v>
      </c>
      <c r="D360" s="389" t="s">
        <v>1968</v>
      </c>
      <c r="E360" s="390" t="s">
        <v>37</v>
      </c>
      <c r="F360" s="391">
        <v>82059.0</v>
      </c>
      <c r="G360" s="391">
        <v>2.0</v>
      </c>
      <c r="H360" s="391">
        <v>0.0</v>
      </c>
      <c r="I360" s="391">
        <v>0.0</v>
      </c>
      <c r="J360" s="391">
        <v>0.0</v>
      </c>
      <c r="K360" s="391">
        <v>110.0</v>
      </c>
      <c r="L360" s="391">
        <v>1.2887777E7</v>
      </c>
      <c r="M360" s="391">
        <v>0.0013</v>
      </c>
      <c r="N360" s="38">
        <v>55.0</v>
      </c>
    </row>
    <row r="361">
      <c r="A361" s="389" t="s">
        <v>1969</v>
      </c>
      <c r="B361" s="389" t="s">
        <v>137</v>
      </c>
      <c r="C361" s="389" t="s">
        <v>8</v>
      </c>
      <c r="D361" s="389" t="s">
        <v>591</v>
      </c>
      <c r="E361" s="390" t="s">
        <v>369</v>
      </c>
      <c r="F361" s="391">
        <v>136306.0</v>
      </c>
      <c r="G361" s="391">
        <v>105507.0</v>
      </c>
      <c r="H361" s="391">
        <v>77.4</v>
      </c>
      <c r="I361" s="391">
        <v>47.4</v>
      </c>
      <c r="J361" s="391">
        <v>53.48</v>
      </c>
      <c r="K361" s="391">
        <v>201295.0</v>
      </c>
      <c r="L361" s="391">
        <v>424694.0</v>
      </c>
      <c r="M361" s="391">
        <v>1.4768</v>
      </c>
      <c r="N361" s="38">
        <v>1.9079</v>
      </c>
    </row>
    <row r="362">
      <c r="A362" s="389" t="s">
        <v>1969</v>
      </c>
      <c r="B362" s="389" t="s">
        <v>137</v>
      </c>
      <c r="C362" s="389" t="s">
        <v>8</v>
      </c>
      <c r="D362" s="389" t="s">
        <v>591</v>
      </c>
      <c r="E362" s="390" t="s">
        <v>370</v>
      </c>
      <c r="F362" s="391">
        <v>136306.0</v>
      </c>
      <c r="G362" s="391">
        <v>58388.0</v>
      </c>
      <c r="H362" s="391">
        <v>42.84</v>
      </c>
      <c r="I362" s="391">
        <v>16.38</v>
      </c>
      <c r="J362" s="391">
        <v>16.53</v>
      </c>
      <c r="K362" s="391">
        <v>69547.0</v>
      </c>
      <c r="L362" s="391">
        <v>424694.0</v>
      </c>
      <c r="M362" s="391">
        <v>0.5102</v>
      </c>
      <c r="N362" s="38">
        <v>1.1911</v>
      </c>
    </row>
    <row r="363">
      <c r="A363" s="389" t="s">
        <v>1969</v>
      </c>
      <c r="B363" s="389" t="s">
        <v>137</v>
      </c>
      <c r="C363" s="389" t="s">
        <v>8</v>
      </c>
      <c r="D363" s="389" t="s">
        <v>591</v>
      </c>
      <c r="E363" s="390" t="s">
        <v>37</v>
      </c>
      <c r="F363" s="391">
        <v>136306.0</v>
      </c>
      <c r="G363" s="391">
        <v>32678.0</v>
      </c>
      <c r="H363" s="391">
        <v>23.97</v>
      </c>
      <c r="I363" s="391">
        <v>13.64</v>
      </c>
      <c r="J363" s="391">
        <v>11.32</v>
      </c>
      <c r="K363" s="391">
        <v>57912.0</v>
      </c>
      <c r="L363" s="391">
        <v>424694.0</v>
      </c>
      <c r="M363" s="391">
        <v>0.4249</v>
      </c>
      <c r="N363" s="38">
        <v>1.7722</v>
      </c>
    </row>
    <row r="364">
      <c r="A364" s="389" t="s">
        <v>1969</v>
      </c>
      <c r="B364" s="389" t="s">
        <v>137</v>
      </c>
      <c r="C364" s="389" t="s">
        <v>8</v>
      </c>
      <c r="D364" s="389" t="s">
        <v>591</v>
      </c>
      <c r="E364" s="390" t="s">
        <v>371</v>
      </c>
      <c r="F364" s="391">
        <v>136306.0</v>
      </c>
      <c r="G364" s="391">
        <v>28566.0</v>
      </c>
      <c r="H364" s="391">
        <v>20.96</v>
      </c>
      <c r="I364" s="391">
        <v>8.05</v>
      </c>
      <c r="J364" s="391">
        <v>6.43</v>
      </c>
      <c r="K364" s="391">
        <v>34198.0</v>
      </c>
      <c r="L364" s="391">
        <v>424694.0</v>
      </c>
      <c r="M364" s="391">
        <v>0.2509</v>
      </c>
      <c r="N364" s="38">
        <v>1.1972</v>
      </c>
    </row>
    <row r="365">
      <c r="A365" s="389" t="s">
        <v>1969</v>
      </c>
      <c r="B365" s="389" t="s">
        <v>137</v>
      </c>
      <c r="C365" s="389" t="s">
        <v>8</v>
      </c>
      <c r="D365" s="389" t="s">
        <v>591</v>
      </c>
      <c r="E365" s="390" t="s">
        <v>44</v>
      </c>
      <c r="F365" s="391">
        <v>136306.0</v>
      </c>
      <c r="G365" s="391">
        <v>21157.0</v>
      </c>
      <c r="H365" s="391">
        <v>15.52</v>
      </c>
      <c r="I365" s="391">
        <v>6.67</v>
      </c>
      <c r="J365" s="391">
        <v>5.25</v>
      </c>
      <c r="K365" s="391">
        <v>28327.0</v>
      </c>
      <c r="L365" s="391">
        <v>424694.0</v>
      </c>
      <c r="M365" s="391">
        <v>0.2078</v>
      </c>
      <c r="N365" s="38">
        <v>1.3389</v>
      </c>
    </row>
    <row r="366">
      <c r="A366" s="389" t="s">
        <v>1969</v>
      </c>
      <c r="B366" s="389" t="s">
        <v>137</v>
      </c>
      <c r="C366" s="389" t="s">
        <v>8</v>
      </c>
      <c r="D366" s="389" t="s">
        <v>591</v>
      </c>
      <c r="E366" s="390" t="s">
        <v>365</v>
      </c>
      <c r="F366" s="391">
        <v>136306.0</v>
      </c>
      <c r="G366" s="391">
        <v>12093.0</v>
      </c>
      <c r="H366" s="391">
        <v>8.87</v>
      </c>
      <c r="I366" s="391">
        <v>2.97</v>
      </c>
      <c r="J366" s="391">
        <v>3.01</v>
      </c>
      <c r="K366" s="391">
        <v>12622.0</v>
      </c>
      <c r="L366" s="391">
        <v>424694.0</v>
      </c>
      <c r="M366" s="391">
        <v>0.0926</v>
      </c>
      <c r="N366" s="38">
        <v>1.0437</v>
      </c>
    </row>
    <row r="367">
      <c r="A367" s="389" t="s">
        <v>1969</v>
      </c>
      <c r="B367" s="389" t="s">
        <v>137</v>
      </c>
      <c r="C367" s="389" t="s">
        <v>8</v>
      </c>
      <c r="D367" s="389" t="s">
        <v>591</v>
      </c>
      <c r="E367" s="390" t="s">
        <v>45</v>
      </c>
      <c r="F367" s="391">
        <v>136306.0</v>
      </c>
      <c r="G367" s="391">
        <v>8786.0</v>
      </c>
      <c r="H367" s="391">
        <v>6.45</v>
      </c>
      <c r="I367" s="391">
        <v>2.35</v>
      </c>
      <c r="J367" s="391">
        <v>1.66</v>
      </c>
      <c r="K367" s="391">
        <v>9960.0</v>
      </c>
      <c r="L367" s="391">
        <v>424694.0</v>
      </c>
      <c r="M367" s="391">
        <v>0.0731</v>
      </c>
      <c r="N367" s="38">
        <v>1.1336</v>
      </c>
    </row>
    <row r="368">
      <c r="A368" s="389" t="s">
        <v>1969</v>
      </c>
      <c r="B368" s="389" t="s">
        <v>137</v>
      </c>
      <c r="C368" s="389" t="s">
        <v>8</v>
      </c>
      <c r="D368" s="389" t="s">
        <v>591</v>
      </c>
      <c r="E368" s="390" t="s">
        <v>39</v>
      </c>
      <c r="F368" s="391">
        <v>136306.0</v>
      </c>
      <c r="G368" s="391">
        <v>4741.0</v>
      </c>
      <c r="H368" s="391">
        <v>3.48</v>
      </c>
      <c r="I368" s="391">
        <v>1.25</v>
      </c>
      <c r="J368" s="391">
        <v>1.22</v>
      </c>
      <c r="K368" s="391">
        <v>5307.0</v>
      </c>
      <c r="L368" s="391">
        <v>424694.0</v>
      </c>
      <c r="M368" s="391">
        <v>0.0389</v>
      </c>
      <c r="N368" s="38">
        <v>1.1194</v>
      </c>
    </row>
    <row r="369">
      <c r="A369" s="389" t="s">
        <v>1969</v>
      </c>
      <c r="B369" s="389" t="s">
        <v>137</v>
      </c>
      <c r="C369" s="389" t="s">
        <v>8</v>
      </c>
      <c r="D369" s="389" t="s">
        <v>591</v>
      </c>
      <c r="E369" s="390" t="s">
        <v>108</v>
      </c>
      <c r="F369" s="391">
        <v>136306.0</v>
      </c>
      <c r="G369" s="391">
        <v>4329.0</v>
      </c>
      <c r="H369" s="391">
        <v>3.18</v>
      </c>
      <c r="I369" s="391">
        <v>1.16</v>
      </c>
      <c r="J369" s="391">
        <v>0.96</v>
      </c>
      <c r="K369" s="391">
        <v>4940.0</v>
      </c>
      <c r="L369" s="391">
        <v>424694.0</v>
      </c>
      <c r="M369" s="391">
        <v>0.0362</v>
      </c>
      <c r="N369" s="38">
        <v>1.1411</v>
      </c>
    </row>
    <row r="370">
      <c r="A370" s="389" t="s">
        <v>1969</v>
      </c>
      <c r="B370" s="389" t="s">
        <v>137</v>
      </c>
      <c r="C370" s="389" t="s">
        <v>8</v>
      </c>
      <c r="D370" s="389" t="s">
        <v>591</v>
      </c>
      <c r="E370" s="390" t="s">
        <v>38</v>
      </c>
      <c r="F370" s="391">
        <v>136306.0</v>
      </c>
      <c r="G370" s="391">
        <v>522.0</v>
      </c>
      <c r="H370" s="391">
        <v>0.38</v>
      </c>
      <c r="I370" s="391">
        <v>0.13</v>
      </c>
      <c r="J370" s="391">
        <v>0.12</v>
      </c>
      <c r="K370" s="391">
        <v>538.0</v>
      </c>
      <c r="L370" s="391">
        <v>424694.0</v>
      </c>
      <c r="M370" s="391">
        <v>0.0039</v>
      </c>
      <c r="N370" s="38">
        <v>1.0307</v>
      </c>
    </row>
    <row r="371">
      <c r="A371" s="389" t="s">
        <v>1969</v>
      </c>
      <c r="B371" s="389" t="s">
        <v>137</v>
      </c>
      <c r="C371" s="389" t="s">
        <v>8</v>
      </c>
      <c r="D371" s="389" t="s">
        <v>591</v>
      </c>
      <c r="E371" s="390" t="s">
        <v>27</v>
      </c>
      <c r="F371" s="391">
        <v>136306.0</v>
      </c>
      <c r="G371" s="391">
        <v>15.0</v>
      </c>
      <c r="H371" s="391">
        <v>0.01</v>
      </c>
      <c r="I371" s="391">
        <v>0.0</v>
      </c>
      <c r="J371" s="391">
        <v>0.01</v>
      </c>
      <c r="K371" s="391">
        <v>21.0</v>
      </c>
      <c r="L371" s="391">
        <v>424694.0</v>
      </c>
      <c r="M371" s="391">
        <v>2.0E-4</v>
      </c>
      <c r="N371" s="38">
        <v>1.4</v>
      </c>
    </row>
    <row r="372">
      <c r="A372" s="389" t="s">
        <v>1969</v>
      </c>
      <c r="B372" s="389" t="s">
        <v>137</v>
      </c>
      <c r="C372" s="389" t="s">
        <v>8</v>
      </c>
      <c r="D372" s="389" t="s">
        <v>591</v>
      </c>
      <c r="E372" s="390" t="s">
        <v>30</v>
      </c>
      <c r="F372" s="391">
        <v>136306.0</v>
      </c>
      <c r="G372" s="391">
        <v>1.0</v>
      </c>
      <c r="H372" s="391">
        <v>0.0</v>
      </c>
      <c r="I372" s="391">
        <v>0.0</v>
      </c>
      <c r="J372" s="391">
        <v>0.0</v>
      </c>
      <c r="K372" s="391">
        <v>1.0</v>
      </c>
      <c r="L372" s="391">
        <v>424694.0</v>
      </c>
      <c r="M372" s="391">
        <v>0.0</v>
      </c>
      <c r="N372" s="38">
        <v>1.0</v>
      </c>
    </row>
    <row r="373">
      <c r="A373" s="389" t="s">
        <v>1969</v>
      </c>
      <c r="B373" s="389" t="s">
        <v>137</v>
      </c>
      <c r="C373" s="389" t="s">
        <v>8</v>
      </c>
      <c r="D373" s="389" t="s">
        <v>591</v>
      </c>
      <c r="E373" s="390" t="s">
        <v>372</v>
      </c>
      <c r="F373" s="391">
        <v>136306.0</v>
      </c>
      <c r="G373" s="391">
        <v>5.0</v>
      </c>
      <c r="H373" s="391">
        <v>0.0</v>
      </c>
      <c r="I373" s="391">
        <v>0.0</v>
      </c>
      <c r="J373" s="391">
        <v>0.0</v>
      </c>
      <c r="K373" s="391">
        <v>10.0</v>
      </c>
      <c r="L373" s="391">
        <v>424694.0</v>
      </c>
      <c r="M373" s="391">
        <v>1.0E-4</v>
      </c>
      <c r="N373" s="38">
        <v>2.0</v>
      </c>
    </row>
    <row r="374">
      <c r="A374" s="389" t="s">
        <v>1969</v>
      </c>
      <c r="B374" s="389" t="s">
        <v>137</v>
      </c>
      <c r="C374" s="389" t="s">
        <v>8</v>
      </c>
      <c r="D374" s="389" t="s">
        <v>591</v>
      </c>
      <c r="E374" s="390" t="s">
        <v>284</v>
      </c>
      <c r="F374" s="391">
        <v>136306.0</v>
      </c>
      <c r="G374" s="391">
        <v>1.0</v>
      </c>
      <c r="H374" s="391">
        <v>0.0</v>
      </c>
      <c r="I374" s="391">
        <v>0.0</v>
      </c>
      <c r="J374" s="391">
        <v>0.0</v>
      </c>
      <c r="K374" s="391">
        <v>2.0</v>
      </c>
      <c r="L374" s="391">
        <v>424694.0</v>
      </c>
      <c r="M374" s="391">
        <v>0.0</v>
      </c>
      <c r="N374" s="38">
        <v>2.0</v>
      </c>
    </row>
    <row r="375">
      <c r="A375" s="389" t="s">
        <v>1969</v>
      </c>
      <c r="B375" s="389" t="s">
        <v>137</v>
      </c>
      <c r="C375" s="389" t="s">
        <v>8</v>
      </c>
      <c r="D375" s="389" t="s">
        <v>591</v>
      </c>
      <c r="E375" s="390" t="s">
        <v>363</v>
      </c>
      <c r="F375" s="391">
        <v>136306.0</v>
      </c>
      <c r="G375" s="391">
        <v>1.0</v>
      </c>
      <c r="H375" s="391">
        <v>0.0</v>
      </c>
      <c r="I375" s="391">
        <v>0.0</v>
      </c>
      <c r="J375" s="391">
        <v>0.0</v>
      </c>
      <c r="K375" s="391">
        <v>1.0</v>
      </c>
      <c r="L375" s="391">
        <v>424694.0</v>
      </c>
      <c r="M375" s="391">
        <v>0.0</v>
      </c>
      <c r="N375" s="38">
        <v>1.0</v>
      </c>
    </row>
    <row r="376">
      <c r="A376" s="389" t="s">
        <v>1969</v>
      </c>
      <c r="B376" s="389" t="s">
        <v>137</v>
      </c>
      <c r="C376" s="389" t="s">
        <v>8</v>
      </c>
      <c r="D376" s="389" t="s">
        <v>591</v>
      </c>
      <c r="E376" s="390" t="s">
        <v>368</v>
      </c>
      <c r="F376" s="391">
        <v>136306.0</v>
      </c>
      <c r="G376" s="391">
        <v>4.0</v>
      </c>
      <c r="H376" s="391">
        <v>0.0</v>
      </c>
      <c r="I376" s="391">
        <v>0.0</v>
      </c>
      <c r="J376" s="391">
        <v>0.0</v>
      </c>
      <c r="K376" s="391">
        <v>4.0</v>
      </c>
      <c r="L376" s="391">
        <v>424694.0</v>
      </c>
      <c r="M376" s="391">
        <v>0.0</v>
      </c>
      <c r="N376" s="38">
        <v>1.0</v>
      </c>
    </row>
    <row r="377">
      <c r="A377" s="389" t="s">
        <v>1969</v>
      </c>
      <c r="B377" s="389" t="s">
        <v>137</v>
      </c>
      <c r="C377" s="389" t="s">
        <v>8</v>
      </c>
      <c r="D377" s="389" t="s">
        <v>591</v>
      </c>
      <c r="E377" s="390" t="s">
        <v>367</v>
      </c>
      <c r="F377" s="391">
        <v>136306.0</v>
      </c>
      <c r="G377" s="391">
        <v>4.0</v>
      </c>
      <c r="H377" s="391">
        <v>0.0</v>
      </c>
      <c r="I377" s="391">
        <v>0.0</v>
      </c>
      <c r="J377" s="391">
        <v>0.0</v>
      </c>
      <c r="K377" s="391">
        <v>9.0</v>
      </c>
      <c r="L377" s="391">
        <v>424694.0</v>
      </c>
      <c r="M377" s="391">
        <v>1.0E-4</v>
      </c>
      <c r="N377" s="38">
        <v>2.25</v>
      </c>
    </row>
    <row r="378">
      <c r="A378" s="389" t="s">
        <v>1969</v>
      </c>
      <c r="B378" s="389" t="s">
        <v>137</v>
      </c>
      <c r="C378" s="389" t="s">
        <v>7</v>
      </c>
      <c r="D378" s="389" t="s">
        <v>591</v>
      </c>
      <c r="E378" s="390" t="s">
        <v>371</v>
      </c>
      <c r="F378" s="391">
        <v>173760.0</v>
      </c>
      <c r="G378" s="391">
        <v>130248.0</v>
      </c>
      <c r="H378" s="391">
        <v>74.96</v>
      </c>
      <c r="I378" s="391">
        <v>27.61</v>
      </c>
      <c r="J378" s="391">
        <v>32.39</v>
      </c>
      <c r="K378" s="391">
        <v>297053.0</v>
      </c>
      <c r="L378" s="391">
        <v>1075887.0</v>
      </c>
      <c r="M378" s="391">
        <v>1.7096</v>
      </c>
      <c r="N378" s="38">
        <v>2.2807</v>
      </c>
    </row>
    <row r="379">
      <c r="A379" s="389" t="s">
        <v>1969</v>
      </c>
      <c r="B379" s="389" t="s">
        <v>137</v>
      </c>
      <c r="C379" s="389" t="s">
        <v>7</v>
      </c>
      <c r="D379" s="389" t="s">
        <v>591</v>
      </c>
      <c r="E379" s="390" t="s">
        <v>370</v>
      </c>
      <c r="F379" s="391">
        <v>173760.0</v>
      </c>
      <c r="G379" s="391">
        <v>105515.0</v>
      </c>
      <c r="H379" s="391">
        <v>60.72</v>
      </c>
      <c r="I379" s="391">
        <v>26.08</v>
      </c>
      <c r="J379" s="391">
        <v>22.28</v>
      </c>
      <c r="K379" s="391">
        <v>280551.0</v>
      </c>
      <c r="L379" s="391">
        <v>1075887.0</v>
      </c>
      <c r="M379" s="391">
        <v>1.6146</v>
      </c>
      <c r="N379" s="38">
        <v>2.6589</v>
      </c>
    </row>
    <row r="380">
      <c r="A380" s="389" t="s">
        <v>1969</v>
      </c>
      <c r="B380" s="389" t="s">
        <v>137</v>
      </c>
      <c r="C380" s="389" t="s">
        <v>7</v>
      </c>
      <c r="D380" s="389" t="s">
        <v>591</v>
      </c>
      <c r="E380" s="390" t="s">
        <v>369</v>
      </c>
      <c r="F380" s="391">
        <v>173760.0</v>
      </c>
      <c r="G380" s="391">
        <v>105794.0</v>
      </c>
      <c r="H380" s="391">
        <v>60.89</v>
      </c>
      <c r="I380" s="391">
        <v>18.74</v>
      </c>
      <c r="J380" s="391">
        <v>21.2</v>
      </c>
      <c r="K380" s="391">
        <v>201572.0</v>
      </c>
      <c r="L380" s="391">
        <v>1075887.0</v>
      </c>
      <c r="M380" s="391">
        <v>1.1601</v>
      </c>
      <c r="N380" s="38">
        <v>1.9053</v>
      </c>
    </row>
    <row r="381">
      <c r="A381" s="389" t="s">
        <v>1969</v>
      </c>
      <c r="B381" s="389" t="s">
        <v>137</v>
      </c>
      <c r="C381" s="389" t="s">
        <v>7</v>
      </c>
      <c r="D381" s="389" t="s">
        <v>591</v>
      </c>
      <c r="E381" s="390" t="s">
        <v>368</v>
      </c>
      <c r="F381" s="391">
        <v>173760.0</v>
      </c>
      <c r="G381" s="391">
        <v>79309.0</v>
      </c>
      <c r="H381" s="391">
        <v>45.64</v>
      </c>
      <c r="I381" s="391">
        <v>11.39</v>
      </c>
      <c r="J381" s="391">
        <v>10.6</v>
      </c>
      <c r="K381" s="391">
        <v>122562.0</v>
      </c>
      <c r="L381" s="391">
        <v>1075887.0</v>
      </c>
      <c r="M381" s="391">
        <v>0.7054</v>
      </c>
      <c r="N381" s="38">
        <v>1.5454</v>
      </c>
    </row>
    <row r="382">
      <c r="A382" s="389" t="s">
        <v>1969</v>
      </c>
      <c r="B382" s="389" t="s">
        <v>137</v>
      </c>
      <c r="C382" s="389" t="s">
        <v>7</v>
      </c>
      <c r="D382" s="389" t="s">
        <v>591</v>
      </c>
      <c r="E382" s="390" t="s">
        <v>163</v>
      </c>
      <c r="F382" s="391">
        <v>173760.0</v>
      </c>
      <c r="G382" s="391">
        <v>38774.0</v>
      </c>
      <c r="H382" s="391">
        <v>22.31</v>
      </c>
      <c r="I382" s="391">
        <v>3.72</v>
      </c>
      <c r="J382" s="391">
        <v>3.52</v>
      </c>
      <c r="K382" s="391">
        <v>40068.0</v>
      </c>
      <c r="L382" s="391">
        <v>1075887.0</v>
      </c>
      <c r="M382" s="391">
        <v>0.2306</v>
      </c>
      <c r="N382" s="38">
        <v>1.0334</v>
      </c>
    </row>
    <row r="383">
      <c r="A383" s="389" t="s">
        <v>1969</v>
      </c>
      <c r="B383" s="389" t="s">
        <v>137</v>
      </c>
      <c r="C383" s="389" t="s">
        <v>7</v>
      </c>
      <c r="D383" s="389" t="s">
        <v>591</v>
      </c>
      <c r="E383" s="390" t="s">
        <v>39</v>
      </c>
      <c r="F383" s="391">
        <v>173760.0</v>
      </c>
      <c r="G383" s="391">
        <v>27509.0</v>
      </c>
      <c r="H383" s="391">
        <v>15.83</v>
      </c>
      <c r="I383" s="391">
        <v>3.38</v>
      </c>
      <c r="J383" s="391">
        <v>2.76</v>
      </c>
      <c r="K383" s="391">
        <v>36360.0</v>
      </c>
      <c r="L383" s="391">
        <v>1075887.0</v>
      </c>
      <c r="M383" s="391">
        <v>0.2093</v>
      </c>
      <c r="N383" s="38">
        <v>1.3217</v>
      </c>
    </row>
    <row r="384">
      <c r="A384" s="389" t="s">
        <v>1969</v>
      </c>
      <c r="B384" s="389" t="s">
        <v>137</v>
      </c>
      <c r="C384" s="389" t="s">
        <v>7</v>
      </c>
      <c r="D384" s="389" t="s">
        <v>591</v>
      </c>
      <c r="E384" s="390" t="s">
        <v>44</v>
      </c>
      <c r="F384" s="391">
        <v>173760.0</v>
      </c>
      <c r="G384" s="391">
        <v>21157.0</v>
      </c>
      <c r="H384" s="391">
        <v>12.18</v>
      </c>
      <c r="I384" s="391">
        <v>2.63</v>
      </c>
      <c r="J384" s="391">
        <v>2.06</v>
      </c>
      <c r="K384" s="391">
        <v>28327.0</v>
      </c>
      <c r="L384" s="391">
        <v>1075887.0</v>
      </c>
      <c r="M384" s="391">
        <v>0.163</v>
      </c>
      <c r="N384" s="38">
        <v>1.3389</v>
      </c>
    </row>
    <row r="385">
      <c r="A385" s="389" t="s">
        <v>1969</v>
      </c>
      <c r="B385" s="389" t="s">
        <v>137</v>
      </c>
      <c r="C385" s="389" t="s">
        <v>7</v>
      </c>
      <c r="D385" s="389" t="s">
        <v>591</v>
      </c>
      <c r="E385" s="390" t="s">
        <v>37</v>
      </c>
      <c r="F385" s="391">
        <v>173760.0</v>
      </c>
      <c r="G385" s="391">
        <v>16500.0</v>
      </c>
      <c r="H385" s="391">
        <v>9.5</v>
      </c>
      <c r="I385" s="391">
        <v>2.11</v>
      </c>
      <c r="J385" s="391">
        <v>1.92</v>
      </c>
      <c r="K385" s="391">
        <v>22697.0</v>
      </c>
      <c r="L385" s="391">
        <v>1075887.0</v>
      </c>
      <c r="M385" s="391">
        <v>0.1306</v>
      </c>
      <c r="N385" s="38">
        <v>1.3756</v>
      </c>
    </row>
    <row r="386">
      <c r="A386" s="389" t="s">
        <v>1969</v>
      </c>
      <c r="B386" s="389" t="s">
        <v>137</v>
      </c>
      <c r="C386" s="389" t="s">
        <v>7</v>
      </c>
      <c r="D386" s="389" t="s">
        <v>591</v>
      </c>
      <c r="E386" s="390" t="s">
        <v>365</v>
      </c>
      <c r="F386" s="391">
        <v>173760.0</v>
      </c>
      <c r="G386" s="391">
        <v>14426.0</v>
      </c>
      <c r="H386" s="391">
        <v>8.3</v>
      </c>
      <c r="I386" s="391">
        <v>1.46</v>
      </c>
      <c r="J386" s="391">
        <v>1.26</v>
      </c>
      <c r="K386" s="391">
        <v>15665.0</v>
      </c>
      <c r="L386" s="391">
        <v>1075887.0</v>
      </c>
      <c r="M386" s="391">
        <v>0.0902</v>
      </c>
      <c r="N386" s="38">
        <v>1.0859</v>
      </c>
    </row>
    <row r="387">
      <c r="A387" s="389" t="s">
        <v>1969</v>
      </c>
      <c r="B387" s="389" t="s">
        <v>137</v>
      </c>
      <c r="C387" s="389" t="s">
        <v>7</v>
      </c>
      <c r="D387" s="389" t="s">
        <v>591</v>
      </c>
      <c r="E387" s="390" t="s">
        <v>30</v>
      </c>
      <c r="F387" s="391">
        <v>173760.0</v>
      </c>
      <c r="G387" s="391">
        <v>11160.0</v>
      </c>
      <c r="H387" s="391">
        <v>6.42</v>
      </c>
      <c r="I387" s="391">
        <v>1.07</v>
      </c>
      <c r="J387" s="391">
        <v>0.83</v>
      </c>
      <c r="K387" s="391">
        <v>11491.0</v>
      </c>
      <c r="L387" s="391">
        <v>1075887.0</v>
      </c>
      <c r="M387" s="391">
        <v>0.0661</v>
      </c>
      <c r="N387" s="38">
        <v>1.0297</v>
      </c>
    </row>
    <row r="388">
      <c r="A388" s="389" t="s">
        <v>1969</v>
      </c>
      <c r="B388" s="389" t="s">
        <v>137</v>
      </c>
      <c r="C388" s="389" t="s">
        <v>7</v>
      </c>
      <c r="D388" s="389" t="s">
        <v>591</v>
      </c>
      <c r="E388" s="390" t="s">
        <v>367</v>
      </c>
      <c r="F388" s="391">
        <v>173760.0</v>
      </c>
      <c r="G388" s="391">
        <v>7087.0</v>
      </c>
      <c r="H388" s="391">
        <v>4.08</v>
      </c>
      <c r="I388" s="391">
        <v>0.79</v>
      </c>
      <c r="J388" s="391">
        <v>0.49</v>
      </c>
      <c r="K388" s="391">
        <v>8546.0</v>
      </c>
      <c r="L388" s="391">
        <v>1075887.0</v>
      </c>
      <c r="M388" s="391">
        <v>0.0492</v>
      </c>
      <c r="N388" s="38">
        <v>1.2059</v>
      </c>
    </row>
    <row r="389">
      <c r="A389" s="389" t="s">
        <v>1969</v>
      </c>
      <c r="B389" s="389" t="s">
        <v>137</v>
      </c>
      <c r="C389" s="389" t="s">
        <v>7</v>
      </c>
      <c r="D389" s="389" t="s">
        <v>591</v>
      </c>
      <c r="E389" s="390" t="s">
        <v>45</v>
      </c>
      <c r="F389" s="391">
        <v>173760.0</v>
      </c>
      <c r="G389" s="391">
        <v>5095.0</v>
      </c>
      <c r="H389" s="391">
        <v>2.93</v>
      </c>
      <c r="I389" s="391">
        <v>0.51</v>
      </c>
      <c r="J389" s="391">
        <v>0.34</v>
      </c>
      <c r="K389" s="391">
        <v>5539.0</v>
      </c>
      <c r="L389" s="391">
        <v>1075887.0</v>
      </c>
      <c r="M389" s="391">
        <v>0.0319</v>
      </c>
      <c r="N389" s="38">
        <v>1.0871</v>
      </c>
    </row>
    <row r="390">
      <c r="A390" s="389" t="s">
        <v>1969</v>
      </c>
      <c r="B390" s="389" t="s">
        <v>137</v>
      </c>
      <c r="C390" s="389" t="s">
        <v>7</v>
      </c>
      <c r="D390" s="389" t="s">
        <v>591</v>
      </c>
      <c r="E390" s="390" t="s">
        <v>108</v>
      </c>
      <c r="F390" s="391">
        <v>173760.0</v>
      </c>
      <c r="G390" s="391">
        <v>3908.0</v>
      </c>
      <c r="H390" s="391">
        <v>2.25</v>
      </c>
      <c r="I390" s="391">
        <v>0.44</v>
      </c>
      <c r="J390" s="391">
        <v>0.27</v>
      </c>
      <c r="K390" s="391">
        <v>4710.0</v>
      </c>
      <c r="L390" s="391">
        <v>1075887.0</v>
      </c>
      <c r="M390" s="391">
        <v>0.0271</v>
      </c>
      <c r="N390" s="38">
        <v>1.2052</v>
      </c>
    </row>
    <row r="391">
      <c r="A391" s="389" t="s">
        <v>1969</v>
      </c>
      <c r="B391" s="389" t="s">
        <v>137</v>
      </c>
      <c r="C391" s="389" t="s">
        <v>7</v>
      </c>
      <c r="D391" s="389" t="s">
        <v>591</v>
      </c>
      <c r="E391" s="390" t="s">
        <v>38</v>
      </c>
      <c r="F391" s="391">
        <v>173760.0</v>
      </c>
      <c r="G391" s="391">
        <v>664.0</v>
      </c>
      <c r="H391" s="391">
        <v>0.38</v>
      </c>
      <c r="I391" s="391">
        <v>0.06</v>
      </c>
      <c r="J391" s="391">
        <v>0.07</v>
      </c>
      <c r="K391" s="391">
        <v>678.0</v>
      </c>
      <c r="L391" s="391">
        <v>1075887.0</v>
      </c>
      <c r="M391" s="391">
        <v>0.0039</v>
      </c>
      <c r="N391" s="38">
        <v>1.0211</v>
      </c>
    </row>
    <row r="392">
      <c r="A392" s="389" t="s">
        <v>1969</v>
      </c>
      <c r="B392" s="389" t="s">
        <v>137</v>
      </c>
      <c r="C392" s="389" t="s">
        <v>7</v>
      </c>
      <c r="D392" s="389" t="s">
        <v>591</v>
      </c>
      <c r="E392" s="390" t="s">
        <v>27</v>
      </c>
      <c r="F392" s="391">
        <v>173760.0</v>
      </c>
      <c r="G392" s="391">
        <v>48.0</v>
      </c>
      <c r="H392" s="391">
        <v>0.03</v>
      </c>
      <c r="I392" s="391">
        <v>0.01</v>
      </c>
      <c r="J392" s="391">
        <v>0.01</v>
      </c>
      <c r="K392" s="391">
        <v>59.0</v>
      </c>
      <c r="L392" s="391">
        <v>1075887.0</v>
      </c>
      <c r="M392" s="391">
        <v>3.0E-4</v>
      </c>
      <c r="N392" s="38">
        <v>1.2292</v>
      </c>
    </row>
    <row r="393">
      <c r="A393" s="389" t="s">
        <v>1969</v>
      </c>
      <c r="B393" s="389" t="s">
        <v>137</v>
      </c>
      <c r="C393" s="389" t="s">
        <v>7</v>
      </c>
      <c r="D393" s="389" t="s">
        <v>591</v>
      </c>
      <c r="E393" s="390" t="s">
        <v>372</v>
      </c>
      <c r="F393" s="391">
        <v>173760.0</v>
      </c>
      <c r="G393" s="391">
        <v>1.0</v>
      </c>
      <c r="H393" s="391">
        <v>0.0</v>
      </c>
      <c r="I393" s="391">
        <v>0.0</v>
      </c>
      <c r="J393" s="391">
        <v>0.0</v>
      </c>
      <c r="K393" s="391">
        <v>2.0</v>
      </c>
      <c r="L393" s="391">
        <v>1075887.0</v>
      </c>
      <c r="M393" s="391">
        <v>0.0</v>
      </c>
      <c r="N393" s="38">
        <v>2.0</v>
      </c>
    </row>
    <row r="394">
      <c r="A394" s="389" t="s">
        <v>1969</v>
      </c>
      <c r="B394" s="389" t="s">
        <v>137</v>
      </c>
      <c r="C394" s="389" t="s">
        <v>7</v>
      </c>
      <c r="D394" s="389" t="s">
        <v>591</v>
      </c>
      <c r="E394" s="390" t="s">
        <v>366</v>
      </c>
      <c r="F394" s="391">
        <v>173760.0</v>
      </c>
      <c r="G394" s="391">
        <v>1.0</v>
      </c>
      <c r="H394" s="391">
        <v>0.0</v>
      </c>
      <c r="I394" s="391">
        <v>0.0</v>
      </c>
      <c r="J394" s="391">
        <v>0.0</v>
      </c>
      <c r="K394" s="391">
        <v>1.0</v>
      </c>
      <c r="L394" s="391">
        <v>1075887.0</v>
      </c>
      <c r="M394" s="391">
        <v>0.0</v>
      </c>
      <c r="N394" s="38">
        <v>1.0</v>
      </c>
    </row>
    <row r="395">
      <c r="A395" s="389" t="s">
        <v>1969</v>
      </c>
      <c r="B395" s="389" t="s">
        <v>137</v>
      </c>
      <c r="C395" s="389" t="s">
        <v>7</v>
      </c>
      <c r="D395" s="389" t="s">
        <v>591</v>
      </c>
      <c r="E395" s="390" t="s">
        <v>283</v>
      </c>
      <c r="F395" s="391">
        <v>173760.0</v>
      </c>
      <c r="G395" s="391">
        <v>4.0</v>
      </c>
      <c r="H395" s="391">
        <v>0.0</v>
      </c>
      <c r="I395" s="391">
        <v>0.0</v>
      </c>
      <c r="J395" s="391">
        <v>0.0</v>
      </c>
      <c r="K395" s="391">
        <v>6.0</v>
      </c>
      <c r="L395" s="391">
        <v>1075887.0</v>
      </c>
      <c r="M395" s="391">
        <v>0.0</v>
      </c>
      <c r="N395" s="38">
        <v>1.5</v>
      </c>
    </row>
    <row r="396">
      <c r="A396" s="389" t="s">
        <v>1969</v>
      </c>
      <c r="B396" s="389" t="s">
        <v>137</v>
      </c>
      <c r="C396" s="389" t="s">
        <v>11</v>
      </c>
      <c r="D396" s="389" t="s">
        <v>591</v>
      </c>
      <c r="E396" s="390" t="s">
        <v>37</v>
      </c>
      <c r="F396" s="391">
        <v>101457.0</v>
      </c>
      <c r="G396" s="391">
        <v>55258.0</v>
      </c>
      <c r="H396" s="391">
        <v>54.46</v>
      </c>
      <c r="I396" s="391">
        <v>36.1</v>
      </c>
      <c r="J396" s="391">
        <v>36.21</v>
      </c>
      <c r="K396" s="391">
        <v>101587.0</v>
      </c>
      <c r="L396" s="391">
        <v>281414.0</v>
      </c>
      <c r="M396" s="391">
        <v>1.0013</v>
      </c>
      <c r="N396" s="38">
        <v>1.8384</v>
      </c>
    </row>
    <row r="397">
      <c r="A397" s="389" t="s">
        <v>1969</v>
      </c>
      <c r="B397" s="389" t="s">
        <v>137</v>
      </c>
      <c r="C397" s="389" t="s">
        <v>11</v>
      </c>
      <c r="D397" s="389" t="s">
        <v>591</v>
      </c>
      <c r="E397" s="390" t="s">
        <v>370</v>
      </c>
      <c r="F397" s="391">
        <v>101457.0</v>
      </c>
      <c r="G397" s="391">
        <v>58390.0</v>
      </c>
      <c r="H397" s="391">
        <v>57.55</v>
      </c>
      <c r="I397" s="391">
        <v>24.72</v>
      </c>
      <c r="J397" s="391">
        <v>29.86</v>
      </c>
      <c r="K397" s="391">
        <v>69555.0</v>
      </c>
      <c r="L397" s="391">
        <v>281414.0</v>
      </c>
      <c r="M397" s="391">
        <v>0.6856</v>
      </c>
      <c r="N397" s="38">
        <v>1.1912</v>
      </c>
    </row>
    <row r="398">
      <c r="A398" s="389" t="s">
        <v>1969</v>
      </c>
      <c r="B398" s="389" t="s">
        <v>137</v>
      </c>
      <c r="C398" s="389" t="s">
        <v>11</v>
      </c>
      <c r="D398" s="389" t="s">
        <v>591</v>
      </c>
      <c r="E398" s="390" t="s">
        <v>363</v>
      </c>
      <c r="F398" s="391">
        <v>101457.0</v>
      </c>
      <c r="G398" s="391">
        <v>18205.0</v>
      </c>
      <c r="H398" s="391">
        <v>17.94</v>
      </c>
      <c r="I398" s="391">
        <v>13.02</v>
      </c>
      <c r="J398" s="391">
        <v>8.42</v>
      </c>
      <c r="K398" s="391">
        <v>36639.0</v>
      </c>
      <c r="L398" s="391">
        <v>281414.0</v>
      </c>
      <c r="M398" s="391">
        <v>0.3611</v>
      </c>
      <c r="N398" s="38">
        <v>2.0126</v>
      </c>
    </row>
    <row r="399">
      <c r="A399" s="389" t="s">
        <v>1969</v>
      </c>
      <c r="B399" s="389" t="s">
        <v>137</v>
      </c>
      <c r="C399" s="389" t="s">
        <v>11</v>
      </c>
      <c r="D399" s="389" t="s">
        <v>591</v>
      </c>
      <c r="E399" s="390" t="s">
        <v>366</v>
      </c>
      <c r="F399" s="391">
        <v>101457.0</v>
      </c>
      <c r="G399" s="391">
        <v>20414.0</v>
      </c>
      <c r="H399" s="391">
        <v>20.12</v>
      </c>
      <c r="I399" s="391">
        <v>7.71</v>
      </c>
      <c r="J399" s="391">
        <v>6.8</v>
      </c>
      <c r="K399" s="391">
        <v>21702.0</v>
      </c>
      <c r="L399" s="391">
        <v>281414.0</v>
      </c>
      <c r="M399" s="391">
        <v>0.2139</v>
      </c>
      <c r="N399" s="38">
        <v>1.0631</v>
      </c>
    </row>
    <row r="400">
      <c r="A400" s="389" t="s">
        <v>1969</v>
      </c>
      <c r="B400" s="389" t="s">
        <v>137</v>
      </c>
      <c r="C400" s="389" t="s">
        <v>11</v>
      </c>
      <c r="D400" s="389" t="s">
        <v>591</v>
      </c>
      <c r="E400" s="390" t="s">
        <v>365</v>
      </c>
      <c r="F400" s="391">
        <v>101457.0</v>
      </c>
      <c r="G400" s="391">
        <v>17153.0</v>
      </c>
      <c r="H400" s="391">
        <v>16.91</v>
      </c>
      <c r="I400" s="391">
        <v>6.26</v>
      </c>
      <c r="J400" s="391">
        <v>8.01</v>
      </c>
      <c r="K400" s="391">
        <v>17619.0</v>
      </c>
      <c r="L400" s="391">
        <v>281414.0</v>
      </c>
      <c r="M400" s="391">
        <v>0.1737</v>
      </c>
      <c r="N400" s="38">
        <v>1.0272</v>
      </c>
    </row>
    <row r="401">
      <c r="A401" s="389" t="s">
        <v>1969</v>
      </c>
      <c r="B401" s="389" t="s">
        <v>137</v>
      </c>
      <c r="C401" s="389" t="s">
        <v>11</v>
      </c>
      <c r="D401" s="389" t="s">
        <v>591</v>
      </c>
      <c r="E401" s="390" t="s">
        <v>108</v>
      </c>
      <c r="F401" s="391">
        <v>101457.0</v>
      </c>
      <c r="G401" s="391">
        <v>7653.0</v>
      </c>
      <c r="H401" s="391">
        <v>7.54</v>
      </c>
      <c r="I401" s="391">
        <v>3.34</v>
      </c>
      <c r="J401" s="391">
        <v>2.91</v>
      </c>
      <c r="K401" s="391">
        <v>9389.0</v>
      </c>
      <c r="L401" s="391">
        <v>281414.0</v>
      </c>
      <c r="M401" s="391">
        <v>0.0925</v>
      </c>
      <c r="N401" s="38">
        <v>1.2268</v>
      </c>
    </row>
    <row r="402">
      <c r="A402" s="389" t="s">
        <v>1969</v>
      </c>
      <c r="B402" s="389" t="s">
        <v>137</v>
      </c>
      <c r="C402" s="389" t="s">
        <v>11</v>
      </c>
      <c r="D402" s="389" t="s">
        <v>591</v>
      </c>
      <c r="E402" s="390" t="s">
        <v>45</v>
      </c>
      <c r="F402" s="391">
        <v>101457.0</v>
      </c>
      <c r="G402" s="391">
        <v>6920.0</v>
      </c>
      <c r="H402" s="391">
        <v>6.82</v>
      </c>
      <c r="I402" s="391">
        <v>2.96</v>
      </c>
      <c r="J402" s="391">
        <v>2.83</v>
      </c>
      <c r="K402" s="391">
        <v>8338.0</v>
      </c>
      <c r="L402" s="391">
        <v>281414.0</v>
      </c>
      <c r="M402" s="391">
        <v>0.0822</v>
      </c>
      <c r="N402" s="38">
        <v>1.2049</v>
      </c>
    </row>
    <row r="403">
      <c r="A403" s="389" t="s">
        <v>1969</v>
      </c>
      <c r="B403" s="389" t="s">
        <v>137</v>
      </c>
      <c r="C403" s="389" t="s">
        <v>11</v>
      </c>
      <c r="D403" s="389" t="s">
        <v>591</v>
      </c>
      <c r="E403" s="390" t="s">
        <v>35</v>
      </c>
      <c r="F403" s="391">
        <v>101457.0</v>
      </c>
      <c r="G403" s="391">
        <v>4369.0</v>
      </c>
      <c r="H403" s="391">
        <v>4.31</v>
      </c>
      <c r="I403" s="391">
        <v>2.83</v>
      </c>
      <c r="J403" s="391">
        <v>1.98</v>
      </c>
      <c r="K403" s="391">
        <v>7972.0</v>
      </c>
      <c r="L403" s="391">
        <v>281414.0</v>
      </c>
      <c r="M403" s="391">
        <v>0.0786</v>
      </c>
      <c r="N403" s="38">
        <v>1.8247</v>
      </c>
    </row>
    <row r="404">
      <c r="A404" s="389" t="s">
        <v>1969</v>
      </c>
      <c r="B404" s="389" t="s">
        <v>137</v>
      </c>
      <c r="C404" s="389" t="s">
        <v>11</v>
      </c>
      <c r="D404" s="389" t="s">
        <v>591</v>
      </c>
      <c r="E404" s="390" t="s">
        <v>369</v>
      </c>
      <c r="F404" s="391">
        <v>101457.0</v>
      </c>
      <c r="G404" s="391">
        <v>6197.0</v>
      </c>
      <c r="H404" s="391">
        <v>6.11</v>
      </c>
      <c r="I404" s="391">
        <v>2.32</v>
      </c>
      <c r="J404" s="391">
        <v>2.01</v>
      </c>
      <c r="K404" s="391">
        <v>6522.0</v>
      </c>
      <c r="L404" s="391">
        <v>281414.0</v>
      </c>
      <c r="M404" s="391">
        <v>0.0643</v>
      </c>
      <c r="N404" s="38">
        <v>1.0524</v>
      </c>
    </row>
    <row r="405">
      <c r="A405" s="389" t="s">
        <v>1969</v>
      </c>
      <c r="B405" s="389" t="s">
        <v>137</v>
      </c>
      <c r="C405" s="389" t="s">
        <v>11</v>
      </c>
      <c r="D405" s="389" t="s">
        <v>591</v>
      </c>
      <c r="E405" s="390" t="s">
        <v>39</v>
      </c>
      <c r="F405" s="391">
        <v>101457.0</v>
      </c>
      <c r="G405" s="391">
        <v>607.0</v>
      </c>
      <c r="H405" s="391">
        <v>0.6</v>
      </c>
      <c r="I405" s="391">
        <v>0.23</v>
      </c>
      <c r="J405" s="391">
        <v>0.23</v>
      </c>
      <c r="K405" s="391">
        <v>659.0</v>
      </c>
      <c r="L405" s="391">
        <v>281414.0</v>
      </c>
      <c r="M405" s="391">
        <v>0.0065</v>
      </c>
      <c r="N405" s="38">
        <v>1.0857</v>
      </c>
    </row>
    <row r="406">
      <c r="A406" s="389" t="s">
        <v>1969</v>
      </c>
      <c r="B406" s="389" t="s">
        <v>137</v>
      </c>
      <c r="C406" s="389" t="s">
        <v>11</v>
      </c>
      <c r="D406" s="389" t="s">
        <v>591</v>
      </c>
      <c r="E406" s="390" t="s">
        <v>284</v>
      </c>
      <c r="F406" s="391">
        <v>101457.0</v>
      </c>
      <c r="G406" s="391">
        <v>462.0</v>
      </c>
      <c r="H406" s="391">
        <v>0.46</v>
      </c>
      <c r="I406" s="391">
        <v>0.17</v>
      </c>
      <c r="J406" s="391">
        <v>0.21</v>
      </c>
      <c r="K406" s="391">
        <v>488.0</v>
      </c>
      <c r="L406" s="391">
        <v>281414.0</v>
      </c>
      <c r="M406" s="391">
        <v>0.0048</v>
      </c>
      <c r="N406" s="38">
        <v>1.0563</v>
      </c>
    </row>
    <row r="407">
      <c r="A407" s="389" t="s">
        <v>1969</v>
      </c>
      <c r="B407" s="389" t="s">
        <v>137</v>
      </c>
      <c r="C407" s="389" t="s">
        <v>11</v>
      </c>
      <c r="D407" s="389" t="s">
        <v>591</v>
      </c>
      <c r="E407" s="390" t="s">
        <v>283</v>
      </c>
      <c r="F407" s="391">
        <v>101457.0</v>
      </c>
      <c r="G407" s="391">
        <v>398.0</v>
      </c>
      <c r="H407" s="391">
        <v>0.39</v>
      </c>
      <c r="I407" s="391">
        <v>0.15</v>
      </c>
      <c r="J407" s="391">
        <v>0.25</v>
      </c>
      <c r="K407" s="391">
        <v>419.0</v>
      </c>
      <c r="L407" s="391">
        <v>281414.0</v>
      </c>
      <c r="M407" s="391">
        <v>0.0041</v>
      </c>
      <c r="N407" s="38">
        <v>1.0528</v>
      </c>
    </row>
    <row r="408">
      <c r="A408" s="389" t="s">
        <v>1969</v>
      </c>
      <c r="B408" s="389" t="s">
        <v>137</v>
      </c>
      <c r="C408" s="389" t="s">
        <v>11</v>
      </c>
      <c r="D408" s="389" t="s">
        <v>591</v>
      </c>
      <c r="E408" s="390" t="s">
        <v>282</v>
      </c>
      <c r="F408" s="391">
        <v>101457.0</v>
      </c>
      <c r="G408" s="391">
        <v>392.0</v>
      </c>
      <c r="H408" s="391">
        <v>0.39</v>
      </c>
      <c r="I408" s="391">
        <v>0.14</v>
      </c>
      <c r="J408" s="391">
        <v>0.21</v>
      </c>
      <c r="K408" s="391">
        <v>408.0</v>
      </c>
      <c r="L408" s="391">
        <v>281414.0</v>
      </c>
      <c r="M408" s="391">
        <v>0.004</v>
      </c>
      <c r="N408" s="38">
        <v>1.0408</v>
      </c>
    </row>
    <row r="409">
      <c r="A409" s="389" t="s">
        <v>1969</v>
      </c>
      <c r="B409" s="389" t="s">
        <v>137</v>
      </c>
      <c r="C409" s="389" t="s">
        <v>11</v>
      </c>
      <c r="D409" s="389" t="s">
        <v>591</v>
      </c>
      <c r="E409" s="390" t="s">
        <v>27</v>
      </c>
      <c r="F409" s="391">
        <v>101457.0</v>
      </c>
      <c r="G409" s="391">
        <v>66.0</v>
      </c>
      <c r="H409" s="391">
        <v>0.07</v>
      </c>
      <c r="I409" s="391">
        <v>0.02</v>
      </c>
      <c r="J409" s="391">
        <v>0.03</v>
      </c>
      <c r="K409" s="391">
        <v>68.0</v>
      </c>
      <c r="L409" s="391">
        <v>281414.0</v>
      </c>
      <c r="M409" s="391">
        <v>7.0E-4</v>
      </c>
      <c r="N409" s="38">
        <v>1.0303</v>
      </c>
    </row>
    <row r="410">
      <c r="A410" s="389" t="s">
        <v>1969</v>
      </c>
      <c r="B410" s="389" t="s">
        <v>137</v>
      </c>
      <c r="C410" s="389" t="s">
        <v>11</v>
      </c>
      <c r="D410" s="389" t="s">
        <v>591</v>
      </c>
      <c r="E410" s="390" t="s">
        <v>38</v>
      </c>
      <c r="F410" s="391">
        <v>101457.0</v>
      </c>
      <c r="G410" s="391">
        <v>29.0</v>
      </c>
      <c r="H410" s="391">
        <v>0.03</v>
      </c>
      <c r="I410" s="391">
        <v>0.01</v>
      </c>
      <c r="J410" s="391">
        <v>0.02</v>
      </c>
      <c r="K410" s="391">
        <v>29.0</v>
      </c>
      <c r="L410" s="391">
        <v>281414.0</v>
      </c>
      <c r="M410" s="391">
        <v>3.0E-4</v>
      </c>
      <c r="N410" s="38">
        <v>1.0</v>
      </c>
    </row>
    <row r="411">
      <c r="A411" s="389" t="s">
        <v>1969</v>
      </c>
      <c r="B411" s="389" t="s">
        <v>137</v>
      </c>
      <c r="C411" s="389" t="s">
        <v>11</v>
      </c>
      <c r="D411" s="389" t="s">
        <v>591</v>
      </c>
      <c r="E411" s="390" t="s">
        <v>367</v>
      </c>
      <c r="F411" s="391">
        <v>101457.0</v>
      </c>
      <c r="G411" s="391">
        <v>3.0</v>
      </c>
      <c r="H411" s="391">
        <v>0.0</v>
      </c>
      <c r="I411" s="391">
        <v>0.0</v>
      </c>
      <c r="J411" s="391">
        <v>0.0</v>
      </c>
      <c r="K411" s="391">
        <v>10.0</v>
      </c>
      <c r="L411" s="391">
        <v>281414.0</v>
      </c>
      <c r="M411" s="391">
        <v>1.0E-4</v>
      </c>
      <c r="N411" s="38">
        <v>3.3333</v>
      </c>
    </row>
    <row r="412">
      <c r="A412" s="389" t="s">
        <v>1969</v>
      </c>
      <c r="B412" s="389" t="s">
        <v>137</v>
      </c>
      <c r="C412" s="389" t="s">
        <v>11</v>
      </c>
      <c r="D412" s="389" t="s">
        <v>591</v>
      </c>
      <c r="E412" s="390" t="s">
        <v>372</v>
      </c>
      <c r="F412" s="391">
        <v>101457.0</v>
      </c>
      <c r="G412" s="391">
        <v>1.0</v>
      </c>
      <c r="H412" s="391">
        <v>0.0</v>
      </c>
      <c r="I412" s="391">
        <v>0.0</v>
      </c>
      <c r="J412" s="391">
        <v>0.0</v>
      </c>
      <c r="K412" s="391">
        <v>2.0</v>
      </c>
      <c r="L412" s="391">
        <v>281414.0</v>
      </c>
      <c r="M412" s="391">
        <v>0.0</v>
      </c>
      <c r="N412" s="38">
        <v>2.0</v>
      </c>
    </row>
    <row r="413">
      <c r="A413" s="389" t="s">
        <v>1969</v>
      </c>
      <c r="B413" s="389" t="s">
        <v>137</v>
      </c>
      <c r="C413" s="389" t="s">
        <v>11</v>
      </c>
      <c r="D413" s="389" t="s">
        <v>591</v>
      </c>
      <c r="E413" s="390" t="s">
        <v>371</v>
      </c>
      <c r="F413" s="391">
        <v>101457.0</v>
      </c>
      <c r="G413" s="391">
        <v>3.0</v>
      </c>
      <c r="H413" s="391">
        <v>0.0</v>
      </c>
      <c r="I413" s="391">
        <v>0.0</v>
      </c>
      <c r="J413" s="391">
        <v>0.0</v>
      </c>
      <c r="K413" s="391">
        <v>4.0</v>
      </c>
      <c r="L413" s="391">
        <v>281414.0</v>
      </c>
      <c r="M413" s="391">
        <v>0.0</v>
      </c>
      <c r="N413" s="38">
        <v>1.3333</v>
      </c>
    </row>
    <row r="414">
      <c r="A414" s="389" t="s">
        <v>1969</v>
      </c>
      <c r="B414" s="389" t="s">
        <v>137</v>
      </c>
      <c r="C414" s="389" t="s">
        <v>11</v>
      </c>
      <c r="D414" s="389" t="s">
        <v>591</v>
      </c>
      <c r="E414" s="390" t="s">
        <v>368</v>
      </c>
      <c r="F414" s="391">
        <v>101457.0</v>
      </c>
      <c r="G414" s="391">
        <v>4.0</v>
      </c>
      <c r="H414" s="391">
        <v>0.0</v>
      </c>
      <c r="I414" s="391">
        <v>0.0</v>
      </c>
      <c r="J414" s="391">
        <v>0.0</v>
      </c>
      <c r="K414" s="391">
        <v>4.0</v>
      </c>
      <c r="L414" s="391">
        <v>281414.0</v>
      </c>
      <c r="M414" s="391">
        <v>0.0</v>
      </c>
      <c r="N414" s="38">
        <v>1.0</v>
      </c>
    </row>
    <row r="415">
      <c r="A415" s="389" t="s">
        <v>1969</v>
      </c>
      <c r="B415" s="389" t="s">
        <v>137</v>
      </c>
      <c r="C415" s="389" t="s">
        <v>357</v>
      </c>
      <c r="D415" s="389" t="s">
        <v>357</v>
      </c>
      <c r="E415" s="390" t="s">
        <v>366</v>
      </c>
      <c r="F415" s="391">
        <v>189319.0</v>
      </c>
      <c r="G415" s="391">
        <v>165968.0</v>
      </c>
      <c r="H415" s="391">
        <v>87.67</v>
      </c>
      <c r="I415" s="391">
        <v>37.26</v>
      </c>
      <c r="J415" s="391">
        <v>37.53</v>
      </c>
      <c r="K415" s="391">
        <v>2.574154E7</v>
      </c>
      <c r="L415" s="391">
        <v>6.9094608E7</v>
      </c>
      <c r="M415" s="391">
        <v>135.9691</v>
      </c>
      <c r="N415" s="38">
        <v>155.0994</v>
      </c>
    </row>
    <row r="416">
      <c r="A416" s="389" t="s">
        <v>1969</v>
      </c>
      <c r="B416" s="389" t="s">
        <v>137</v>
      </c>
      <c r="C416" s="389" t="s">
        <v>357</v>
      </c>
      <c r="D416" s="389" t="s">
        <v>357</v>
      </c>
      <c r="E416" s="390" t="s">
        <v>370</v>
      </c>
      <c r="F416" s="391">
        <v>189319.0</v>
      </c>
      <c r="G416" s="391">
        <v>154346.0</v>
      </c>
      <c r="H416" s="391">
        <v>81.53</v>
      </c>
      <c r="I416" s="391">
        <v>18.71</v>
      </c>
      <c r="J416" s="391">
        <v>20.85</v>
      </c>
      <c r="K416" s="391">
        <v>1.292669E7</v>
      </c>
      <c r="L416" s="391">
        <v>6.9094608E7</v>
      </c>
      <c r="M416" s="391">
        <v>68.2799</v>
      </c>
      <c r="N416" s="38">
        <v>83.7514</v>
      </c>
    </row>
    <row r="417">
      <c r="A417" s="389" t="s">
        <v>1969</v>
      </c>
      <c r="B417" s="389" t="s">
        <v>137</v>
      </c>
      <c r="C417" s="389" t="s">
        <v>357</v>
      </c>
      <c r="D417" s="389" t="s">
        <v>357</v>
      </c>
      <c r="E417" s="390" t="s">
        <v>37</v>
      </c>
      <c r="F417" s="391">
        <v>189319.0</v>
      </c>
      <c r="G417" s="391">
        <v>59519.0</v>
      </c>
      <c r="H417" s="391">
        <v>31.44</v>
      </c>
      <c r="I417" s="391">
        <v>10.56</v>
      </c>
      <c r="J417" s="391">
        <v>8.42</v>
      </c>
      <c r="K417" s="391">
        <v>7298010.0</v>
      </c>
      <c r="L417" s="391">
        <v>6.9094608E7</v>
      </c>
      <c r="M417" s="391">
        <v>38.5487</v>
      </c>
      <c r="N417" s="38">
        <v>122.6165</v>
      </c>
    </row>
    <row r="418">
      <c r="A418" s="389" t="s">
        <v>1969</v>
      </c>
      <c r="B418" s="389" t="s">
        <v>137</v>
      </c>
      <c r="C418" s="389" t="s">
        <v>357</v>
      </c>
      <c r="D418" s="389" t="s">
        <v>357</v>
      </c>
      <c r="E418" s="390" t="s">
        <v>371</v>
      </c>
      <c r="F418" s="391">
        <v>189319.0</v>
      </c>
      <c r="G418" s="391">
        <v>132483.0</v>
      </c>
      <c r="H418" s="391">
        <v>69.98</v>
      </c>
      <c r="I418" s="391">
        <v>7.02</v>
      </c>
      <c r="J418" s="391">
        <v>11.92</v>
      </c>
      <c r="K418" s="391">
        <v>4851760.0</v>
      </c>
      <c r="L418" s="391">
        <v>6.9094608E7</v>
      </c>
      <c r="M418" s="391">
        <v>25.6274</v>
      </c>
      <c r="N418" s="38">
        <v>36.6218</v>
      </c>
    </row>
    <row r="419">
      <c r="A419" s="389" t="s">
        <v>1969</v>
      </c>
      <c r="B419" s="389" t="s">
        <v>137</v>
      </c>
      <c r="C419" s="389" t="s">
        <v>357</v>
      </c>
      <c r="D419" s="389" t="s">
        <v>357</v>
      </c>
      <c r="E419" s="390" t="s">
        <v>35</v>
      </c>
      <c r="F419" s="391">
        <v>189319.0</v>
      </c>
      <c r="G419" s="391">
        <v>33280.0</v>
      </c>
      <c r="H419" s="391">
        <v>17.58</v>
      </c>
      <c r="I419" s="391">
        <v>5.84</v>
      </c>
      <c r="J419" s="391">
        <v>4.02</v>
      </c>
      <c r="K419" s="391">
        <v>4033810.0</v>
      </c>
      <c r="L419" s="391">
        <v>6.9094608E7</v>
      </c>
      <c r="M419" s="391">
        <v>21.3069</v>
      </c>
      <c r="N419" s="38">
        <v>121.2082</v>
      </c>
    </row>
    <row r="420">
      <c r="A420" s="389" t="s">
        <v>1969</v>
      </c>
      <c r="B420" s="389" t="s">
        <v>137</v>
      </c>
      <c r="C420" s="389" t="s">
        <v>357</v>
      </c>
      <c r="D420" s="389" t="s">
        <v>357</v>
      </c>
      <c r="E420" s="390" t="s">
        <v>365</v>
      </c>
      <c r="F420" s="391">
        <v>189319.0</v>
      </c>
      <c r="G420" s="391">
        <v>77432.0</v>
      </c>
      <c r="H420" s="391">
        <v>40.9</v>
      </c>
      <c r="I420" s="391">
        <v>5.45</v>
      </c>
      <c r="J420" s="391">
        <v>5.9</v>
      </c>
      <c r="K420" s="391">
        <v>3763365.0</v>
      </c>
      <c r="L420" s="391">
        <v>6.9094608E7</v>
      </c>
      <c r="M420" s="391">
        <v>19.8784</v>
      </c>
      <c r="N420" s="38">
        <v>48.6022</v>
      </c>
    </row>
    <row r="421">
      <c r="A421" s="389" t="s">
        <v>1969</v>
      </c>
      <c r="B421" s="389" t="s">
        <v>137</v>
      </c>
      <c r="C421" s="389" t="s">
        <v>357</v>
      </c>
      <c r="D421" s="389" t="s">
        <v>357</v>
      </c>
      <c r="E421" s="390" t="s">
        <v>363</v>
      </c>
      <c r="F421" s="391">
        <v>189319.0</v>
      </c>
      <c r="G421" s="391">
        <v>40984.0</v>
      </c>
      <c r="H421" s="391">
        <v>21.65</v>
      </c>
      <c r="I421" s="391">
        <v>5.14</v>
      </c>
      <c r="J421" s="391">
        <v>2.98</v>
      </c>
      <c r="K421" s="391">
        <v>3551700.0</v>
      </c>
      <c r="L421" s="391">
        <v>6.9094608E7</v>
      </c>
      <c r="M421" s="391">
        <v>18.7604</v>
      </c>
      <c r="N421" s="38">
        <v>86.6606</v>
      </c>
    </row>
    <row r="422">
      <c r="A422" s="389" t="s">
        <v>1969</v>
      </c>
      <c r="B422" s="389" t="s">
        <v>137</v>
      </c>
      <c r="C422" s="389" t="s">
        <v>357</v>
      </c>
      <c r="D422" s="389" t="s">
        <v>357</v>
      </c>
      <c r="E422" s="390" t="s">
        <v>45</v>
      </c>
      <c r="F422" s="391">
        <v>189319.0</v>
      </c>
      <c r="G422" s="391">
        <v>24549.0</v>
      </c>
      <c r="H422" s="391">
        <v>12.97</v>
      </c>
      <c r="I422" s="391">
        <v>2.57</v>
      </c>
      <c r="J422" s="391">
        <v>1.82</v>
      </c>
      <c r="K422" s="391">
        <v>1772575.0</v>
      </c>
      <c r="L422" s="391">
        <v>6.9094608E7</v>
      </c>
      <c r="M422" s="391">
        <v>9.3629</v>
      </c>
      <c r="N422" s="38">
        <v>72.2056</v>
      </c>
    </row>
    <row r="423">
      <c r="A423" s="389" t="s">
        <v>1969</v>
      </c>
      <c r="B423" s="389" t="s">
        <v>137</v>
      </c>
      <c r="C423" s="389" t="s">
        <v>357</v>
      </c>
      <c r="D423" s="389" t="s">
        <v>357</v>
      </c>
      <c r="E423" s="390" t="s">
        <v>367</v>
      </c>
      <c r="F423" s="391">
        <v>189319.0</v>
      </c>
      <c r="G423" s="391">
        <v>53721.0</v>
      </c>
      <c r="H423" s="391">
        <v>28.38</v>
      </c>
      <c r="I423" s="391">
        <v>2.51</v>
      </c>
      <c r="J423" s="391">
        <v>2.24</v>
      </c>
      <c r="K423" s="391">
        <v>1731930.0</v>
      </c>
      <c r="L423" s="391">
        <v>6.9094608E7</v>
      </c>
      <c r="M423" s="391">
        <v>9.1482</v>
      </c>
      <c r="N423" s="38">
        <v>32.2393</v>
      </c>
    </row>
    <row r="424">
      <c r="A424" s="389" t="s">
        <v>1969</v>
      </c>
      <c r="B424" s="389" t="s">
        <v>137</v>
      </c>
      <c r="C424" s="389" t="s">
        <v>357</v>
      </c>
      <c r="D424" s="389" t="s">
        <v>357</v>
      </c>
      <c r="E424" s="390" t="s">
        <v>369</v>
      </c>
      <c r="F424" s="391">
        <v>189319.0</v>
      </c>
      <c r="G424" s="391">
        <v>30348.0</v>
      </c>
      <c r="H424" s="391">
        <v>16.03</v>
      </c>
      <c r="I424" s="391">
        <v>2.02</v>
      </c>
      <c r="J424" s="391">
        <v>1.54</v>
      </c>
      <c r="K424" s="391">
        <v>1395023.0</v>
      </c>
      <c r="L424" s="391">
        <v>6.9094608E7</v>
      </c>
      <c r="M424" s="391">
        <v>7.3686</v>
      </c>
      <c r="N424" s="38">
        <v>45.9675</v>
      </c>
    </row>
    <row r="425">
      <c r="A425" s="389" t="s">
        <v>1969</v>
      </c>
      <c r="B425" s="389" t="s">
        <v>137</v>
      </c>
      <c r="C425" s="389" t="s">
        <v>357</v>
      </c>
      <c r="D425" s="389" t="s">
        <v>357</v>
      </c>
      <c r="E425" s="390" t="s">
        <v>108</v>
      </c>
      <c r="F425" s="391">
        <v>189319.0</v>
      </c>
      <c r="G425" s="391">
        <v>12707.0</v>
      </c>
      <c r="H425" s="391">
        <v>6.71</v>
      </c>
      <c r="I425" s="391">
        <v>0.75</v>
      </c>
      <c r="J425" s="391">
        <v>0.69</v>
      </c>
      <c r="K425" s="391">
        <v>521615.0</v>
      </c>
      <c r="L425" s="391">
        <v>6.9094608E7</v>
      </c>
      <c r="M425" s="391">
        <v>2.7552</v>
      </c>
      <c r="N425" s="38">
        <v>41.0494</v>
      </c>
    </row>
    <row r="426">
      <c r="A426" s="389" t="s">
        <v>1969</v>
      </c>
      <c r="B426" s="389" t="s">
        <v>137</v>
      </c>
      <c r="C426" s="389" t="s">
        <v>357</v>
      </c>
      <c r="D426" s="389" t="s">
        <v>357</v>
      </c>
      <c r="E426" s="390" t="s">
        <v>39</v>
      </c>
      <c r="F426" s="391">
        <v>189319.0</v>
      </c>
      <c r="G426" s="391">
        <v>27836.0</v>
      </c>
      <c r="H426" s="391">
        <v>14.7</v>
      </c>
      <c r="I426" s="391">
        <v>0.6</v>
      </c>
      <c r="J426" s="391">
        <v>0.6</v>
      </c>
      <c r="K426" s="391">
        <v>411995.0</v>
      </c>
      <c r="L426" s="391">
        <v>6.9094608E7</v>
      </c>
      <c r="M426" s="391">
        <v>2.1762</v>
      </c>
      <c r="N426" s="38">
        <v>14.8008</v>
      </c>
    </row>
    <row r="427">
      <c r="A427" s="389" t="s">
        <v>1969</v>
      </c>
      <c r="B427" s="389" t="s">
        <v>137</v>
      </c>
      <c r="C427" s="389" t="s">
        <v>357</v>
      </c>
      <c r="D427" s="389" t="s">
        <v>357</v>
      </c>
      <c r="E427" s="390" t="s">
        <v>284</v>
      </c>
      <c r="F427" s="391">
        <v>189319.0</v>
      </c>
      <c r="G427" s="391">
        <v>3018.0</v>
      </c>
      <c r="H427" s="391">
        <v>1.59</v>
      </c>
      <c r="I427" s="391">
        <v>0.41</v>
      </c>
      <c r="J427" s="391">
        <v>0.36</v>
      </c>
      <c r="K427" s="391">
        <v>285875.0</v>
      </c>
      <c r="L427" s="391">
        <v>6.9094608E7</v>
      </c>
      <c r="M427" s="391">
        <v>1.51</v>
      </c>
      <c r="N427" s="38">
        <v>94.7233</v>
      </c>
    </row>
    <row r="428">
      <c r="A428" s="389" t="s">
        <v>1969</v>
      </c>
      <c r="B428" s="389" t="s">
        <v>137</v>
      </c>
      <c r="C428" s="389" t="s">
        <v>357</v>
      </c>
      <c r="D428" s="389" t="s">
        <v>357</v>
      </c>
      <c r="E428" s="390" t="s">
        <v>282</v>
      </c>
      <c r="F428" s="391">
        <v>189319.0</v>
      </c>
      <c r="G428" s="391">
        <v>2944.0</v>
      </c>
      <c r="H428" s="391">
        <v>1.56</v>
      </c>
      <c r="I428" s="391">
        <v>0.38</v>
      </c>
      <c r="J428" s="391">
        <v>0.36</v>
      </c>
      <c r="K428" s="391">
        <v>263450.0</v>
      </c>
      <c r="L428" s="391">
        <v>6.9094608E7</v>
      </c>
      <c r="M428" s="391">
        <v>1.3916</v>
      </c>
      <c r="N428" s="38">
        <v>89.4871</v>
      </c>
    </row>
    <row r="429">
      <c r="A429" s="389" t="s">
        <v>1969</v>
      </c>
      <c r="B429" s="389" t="s">
        <v>137</v>
      </c>
      <c r="C429" s="389" t="s">
        <v>357</v>
      </c>
      <c r="D429" s="389" t="s">
        <v>357</v>
      </c>
      <c r="E429" s="390" t="s">
        <v>283</v>
      </c>
      <c r="F429" s="391">
        <v>189319.0</v>
      </c>
      <c r="G429" s="391">
        <v>2809.0</v>
      </c>
      <c r="H429" s="391">
        <v>1.48</v>
      </c>
      <c r="I429" s="391">
        <v>0.37</v>
      </c>
      <c r="J429" s="391">
        <v>0.38</v>
      </c>
      <c r="K429" s="391">
        <v>256575.0</v>
      </c>
      <c r="L429" s="391">
        <v>6.9094608E7</v>
      </c>
      <c r="M429" s="391">
        <v>1.3553</v>
      </c>
      <c r="N429" s="38">
        <v>91.3403</v>
      </c>
    </row>
    <row r="430">
      <c r="A430" s="389" t="s">
        <v>1969</v>
      </c>
      <c r="B430" s="389" t="s">
        <v>137</v>
      </c>
      <c r="C430" s="389" t="s">
        <v>357</v>
      </c>
      <c r="D430" s="389" t="s">
        <v>357</v>
      </c>
      <c r="E430" s="390" t="s">
        <v>368</v>
      </c>
      <c r="F430" s="391">
        <v>189319.0</v>
      </c>
      <c r="G430" s="391">
        <v>3602.0</v>
      </c>
      <c r="H430" s="391">
        <v>1.9</v>
      </c>
      <c r="I430" s="391">
        <v>0.15</v>
      </c>
      <c r="J430" s="391">
        <v>0.16</v>
      </c>
      <c r="K430" s="391">
        <v>103325.0</v>
      </c>
      <c r="L430" s="391">
        <v>6.9094608E7</v>
      </c>
      <c r="M430" s="391">
        <v>0.5458</v>
      </c>
      <c r="N430" s="38">
        <v>28.6855</v>
      </c>
    </row>
    <row r="431">
      <c r="A431" s="389" t="s">
        <v>1969</v>
      </c>
      <c r="B431" s="389" t="s">
        <v>137</v>
      </c>
      <c r="C431" s="389" t="s">
        <v>357</v>
      </c>
      <c r="D431" s="389" t="s">
        <v>357</v>
      </c>
      <c r="E431" s="390" t="s">
        <v>27</v>
      </c>
      <c r="F431" s="391">
        <v>189319.0</v>
      </c>
      <c r="G431" s="391">
        <v>697.0</v>
      </c>
      <c r="H431" s="391">
        <v>0.37</v>
      </c>
      <c r="I431" s="391">
        <v>0.08</v>
      </c>
      <c r="J431" s="391">
        <v>0.06</v>
      </c>
      <c r="K431" s="391">
        <v>54970.0</v>
      </c>
      <c r="L431" s="391">
        <v>6.9094608E7</v>
      </c>
      <c r="M431" s="391">
        <v>0.2904</v>
      </c>
      <c r="N431" s="38">
        <v>78.8666</v>
      </c>
    </row>
    <row r="432">
      <c r="A432" s="389" t="s">
        <v>1969</v>
      </c>
      <c r="B432" s="389" t="s">
        <v>137</v>
      </c>
      <c r="C432" s="389" t="s">
        <v>357</v>
      </c>
      <c r="D432" s="389" t="s">
        <v>357</v>
      </c>
      <c r="E432" s="390" t="s">
        <v>38</v>
      </c>
      <c r="F432" s="391">
        <v>189319.0</v>
      </c>
      <c r="G432" s="391">
        <v>299.0</v>
      </c>
      <c r="H432" s="391">
        <v>0.16</v>
      </c>
      <c r="I432" s="391">
        <v>0.07</v>
      </c>
      <c r="J432" s="391">
        <v>0.06</v>
      </c>
      <c r="K432" s="391">
        <v>45900.0</v>
      </c>
      <c r="L432" s="391">
        <v>6.9094608E7</v>
      </c>
      <c r="M432" s="391">
        <v>0.2424</v>
      </c>
      <c r="N432" s="38">
        <v>153.5117</v>
      </c>
    </row>
    <row r="433">
      <c r="A433" s="389" t="s">
        <v>1969</v>
      </c>
      <c r="B433" s="389" t="s">
        <v>137</v>
      </c>
      <c r="C433" s="389" t="s">
        <v>357</v>
      </c>
      <c r="D433" s="389" t="s">
        <v>357</v>
      </c>
      <c r="E433" s="390" t="s">
        <v>30</v>
      </c>
      <c r="F433" s="391">
        <v>189319.0</v>
      </c>
      <c r="G433" s="391">
        <v>1533.0</v>
      </c>
      <c r="H433" s="391">
        <v>0.81</v>
      </c>
      <c r="I433" s="391">
        <v>0.06</v>
      </c>
      <c r="J433" s="391">
        <v>0.05</v>
      </c>
      <c r="K433" s="391">
        <v>40025.0</v>
      </c>
      <c r="L433" s="391">
        <v>6.9094608E7</v>
      </c>
      <c r="M433" s="391">
        <v>0.2114</v>
      </c>
      <c r="N433" s="38">
        <v>26.1089</v>
      </c>
    </row>
    <row r="434">
      <c r="A434" s="389" t="s">
        <v>1969</v>
      </c>
      <c r="B434" s="389" t="s">
        <v>137</v>
      </c>
      <c r="C434" s="389" t="s">
        <v>357</v>
      </c>
      <c r="D434" s="389" t="s">
        <v>357</v>
      </c>
      <c r="E434" s="390" t="s">
        <v>163</v>
      </c>
      <c r="F434" s="391">
        <v>189319.0</v>
      </c>
      <c r="G434" s="391">
        <v>1716.0</v>
      </c>
      <c r="H434" s="391">
        <v>0.91</v>
      </c>
      <c r="I434" s="391">
        <v>0.06</v>
      </c>
      <c r="J434" s="391">
        <v>0.07</v>
      </c>
      <c r="K434" s="391">
        <v>44475.0</v>
      </c>
      <c r="L434" s="391">
        <v>6.9094608E7</v>
      </c>
      <c r="M434" s="391">
        <v>0.2349</v>
      </c>
      <c r="N434" s="38">
        <v>25.9178</v>
      </c>
    </row>
    <row r="435">
      <c r="A435" s="389" t="s">
        <v>1969</v>
      </c>
      <c r="B435" s="389" t="s">
        <v>137</v>
      </c>
      <c r="C435" s="389" t="s">
        <v>6</v>
      </c>
      <c r="D435" s="389" t="s">
        <v>591</v>
      </c>
      <c r="E435" s="390" t="s">
        <v>370</v>
      </c>
      <c r="F435" s="391">
        <v>164090.0</v>
      </c>
      <c r="G435" s="391">
        <v>106378.0</v>
      </c>
      <c r="H435" s="391">
        <v>64.83</v>
      </c>
      <c r="I435" s="391">
        <v>28.83</v>
      </c>
      <c r="J435" s="391">
        <v>26.38</v>
      </c>
      <c r="K435" s="391">
        <v>281015.0</v>
      </c>
      <c r="L435" s="391">
        <v>974890.0</v>
      </c>
      <c r="M435" s="391">
        <v>1.7126</v>
      </c>
      <c r="N435" s="38">
        <v>2.6417</v>
      </c>
    </row>
    <row r="436">
      <c r="A436" s="389" t="s">
        <v>1969</v>
      </c>
      <c r="B436" s="389" t="s">
        <v>137</v>
      </c>
      <c r="C436" s="389" t="s">
        <v>6</v>
      </c>
      <c r="D436" s="389" t="s">
        <v>591</v>
      </c>
      <c r="E436" s="390" t="s">
        <v>371</v>
      </c>
      <c r="F436" s="391">
        <v>164090.0</v>
      </c>
      <c r="G436" s="391">
        <v>101789.0</v>
      </c>
      <c r="H436" s="391">
        <v>62.03</v>
      </c>
      <c r="I436" s="391">
        <v>25.3</v>
      </c>
      <c r="J436" s="391">
        <v>23.86</v>
      </c>
      <c r="K436" s="391">
        <v>246609.0</v>
      </c>
      <c r="L436" s="391">
        <v>974890.0</v>
      </c>
      <c r="M436" s="391">
        <v>1.5029</v>
      </c>
      <c r="N436" s="38">
        <v>2.4227</v>
      </c>
    </row>
    <row r="437">
      <c r="A437" s="389" t="s">
        <v>1969</v>
      </c>
      <c r="B437" s="389" t="s">
        <v>137</v>
      </c>
      <c r="C437" s="389" t="s">
        <v>6</v>
      </c>
      <c r="D437" s="389" t="s">
        <v>591</v>
      </c>
      <c r="E437" s="390" t="s">
        <v>369</v>
      </c>
      <c r="F437" s="391">
        <v>164090.0</v>
      </c>
      <c r="G437" s="391">
        <v>106866.0</v>
      </c>
      <c r="H437" s="391">
        <v>65.13</v>
      </c>
      <c r="I437" s="391">
        <v>20.91</v>
      </c>
      <c r="J437" s="391">
        <v>27.03</v>
      </c>
      <c r="K437" s="391">
        <v>203897.0</v>
      </c>
      <c r="L437" s="391">
        <v>974890.0</v>
      </c>
      <c r="M437" s="391">
        <v>1.2426</v>
      </c>
      <c r="N437" s="38">
        <v>1.908</v>
      </c>
    </row>
    <row r="438">
      <c r="A438" s="389" t="s">
        <v>1969</v>
      </c>
      <c r="B438" s="389" t="s">
        <v>137</v>
      </c>
      <c r="C438" s="389" t="s">
        <v>6</v>
      </c>
      <c r="D438" s="389" t="s">
        <v>591</v>
      </c>
      <c r="E438" s="390" t="s">
        <v>39</v>
      </c>
      <c r="F438" s="391">
        <v>164090.0</v>
      </c>
      <c r="G438" s="391">
        <v>82059.0</v>
      </c>
      <c r="H438" s="391">
        <v>50.01</v>
      </c>
      <c r="I438" s="391">
        <v>15.81</v>
      </c>
      <c r="J438" s="391">
        <v>14.96</v>
      </c>
      <c r="K438" s="391">
        <v>154100.0</v>
      </c>
      <c r="L438" s="391">
        <v>974890.0</v>
      </c>
      <c r="M438" s="391">
        <v>0.9391</v>
      </c>
      <c r="N438" s="38">
        <v>1.8779</v>
      </c>
    </row>
    <row r="439">
      <c r="A439" s="389" t="s">
        <v>1969</v>
      </c>
      <c r="B439" s="389" t="s">
        <v>137</v>
      </c>
      <c r="C439" s="389" t="s">
        <v>6</v>
      </c>
      <c r="D439" s="389" t="s">
        <v>591</v>
      </c>
      <c r="E439" s="390" t="s">
        <v>367</v>
      </c>
      <c r="F439" s="391">
        <v>164090.0</v>
      </c>
      <c r="G439" s="391">
        <v>20712.0</v>
      </c>
      <c r="H439" s="391">
        <v>12.62</v>
      </c>
      <c r="I439" s="391">
        <v>3.06</v>
      </c>
      <c r="J439" s="391">
        <v>2.19</v>
      </c>
      <c r="K439" s="391">
        <v>29868.0</v>
      </c>
      <c r="L439" s="391">
        <v>974890.0</v>
      </c>
      <c r="M439" s="391">
        <v>0.182</v>
      </c>
      <c r="N439" s="38">
        <v>1.4421</v>
      </c>
    </row>
    <row r="440">
      <c r="A440" s="389" t="s">
        <v>1969</v>
      </c>
      <c r="B440" s="389" t="s">
        <v>137</v>
      </c>
      <c r="C440" s="389" t="s">
        <v>6</v>
      </c>
      <c r="D440" s="389" t="s">
        <v>591</v>
      </c>
      <c r="E440" s="390" t="s">
        <v>44</v>
      </c>
      <c r="F440" s="391">
        <v>164090.0</v>
      </c>
      <c r="G440" s="391">
        <v>21157.0</v>
      </c>
      <c r="H440" s="391">
        <v>12.89</v>
      </c>
      <c r="I440" s="391">
        <v>2.91</v>
      </c>
      <c r="J440" s="391">
        <v>2.45</v>
      </c>
      <c r="K440" s="391">
        <v>28327.0</v>
      </c>
      <c r="L440" s="391">
        <v>974890.0</v>
      </c>
      <c r="M440" s="391">
        <v>0.1726</v>
      </c>
      <c r="N440" s="38">
        <v>1.3389</v>
      </c>
    </row>
    <row r="441">
      <c r="A441" s="389" t="s">
        <v>1969</v>
      </c>
      <c r="B441" s="389" t="s">
        <v>137</v>
      </c>
      <c r="C441" s="389" t="s">
        <v>6</v>
      </c>
      <c r="D441" s="389" t="s">
        <v>591</v>
      </c>
      <c r="E441" s="390" t="s">
        <v>365</v>
      </c>
      <c r="F441" s="391">
        <v>164090.0</v>
      </c>
      <c r="G441" s="391">
        <v>12936.0</v>
      </c>
      <c r="H441" s="391">
        <v>7.88</v>
      </c>
      <c r="I441" s="391">
        <v>1.38</v>
      </c>
      <c r="J441" s="391">
        <v>1.45</v>
      </c>
      <c r="K441" s="391">
        <v>13407.0</v>
      </c>
      <c r="L441" s="391">
        <v>974890.0</v>
      </c>
      <c r="M441" s="391">
        <v>0.0817</v>
      </c>
      <c r="N441" s="38">
        <v>1.0364</v>
      </c>
    </row>
    <row r="442">
      <c r="A442" s="389" t="s">
        <v>1969</v>
      </c>
      <c r="B442" s="389" t="s">
        <v>137</v>
      </c>
      <c r="C442" s="389" t="s">
        <v>6</v>
      </c>
      <c r="D442" s="389" t="s">
        <v>591</v>
      </c>
      <c r="E442" s="390" t="s">
        <v>37</v>
      </c>
      <c r="F442" s="391">
        <v>164090.0</v>
      </c>
      <c r="G442" s="391">
        <v>8915.0</v>
      </c>
      <c r="H442" s="391">
        <v>5.43</v>
      </c>
      <c r="I442" s="391">
        <v>1.14</v>
      </c>
      <c r="J442" s="391">
        <v>1.09</v>
      </c>
      <c r="K442" s="391">
        <v>11117.0</v>
      </c>
      <c r="L442" s="391">
        <v>974890.0</v>
      </c>
      <c r="M442" s="391">
        <v>0.0677</v>
      </c>
      <c r="N442" s="38">
        <v>1.247</v>
      </c>
    </row>
    <row r="443">
      <c r="A443" s="389" t="s">
        <v>1969</v>
      </c>
      <c r="B443" s="389" t="s">
        <v>137</v>
      </c>
      <c r="C443" s="389" t="s">
        <v>6</v>
      </c>
      <c r="D443" s="389" t="s">
        <v>591</v>
      </c>
      <c r="E443" s="390" t="s">
        <v>45</v>
      </c>
      <c r="F443" s="391">
        <v>164090.0</v>
      </c>
      <c r="G443" s="391">
        <v>2382.0</v>
      </c>
      <c r="H443" s="391">
        <v>1.45</v>
      </c>
      <c r="I443" s="391">
        <v>0.26</v>
      </c>
      <c r="J443" s="391">
        <v>0.16</v>
      </c>
      <c r="K443" s="391">
        <v>2523.0</v>
      </c>
      <c r="L443" s="391">
        <v>974890.0</v>
      </c>
      <c r="M443" s="391">
        <v>0.0154</v>
      </c>
      <c r="N443" s="38">
        <v>1.0592</v>
      </c>
    </row>
    <row r="444">
      <c r="A444" s="389" t="s">
        <v>1969</v>
      </c>
      <c r="B444" s="389" t="s">
        <v>137</v>
      </c>
      <c r="C444" s="389" t="s">
        <v>6</v>
      </c>
      <c r="D444" s="389" t="s">
        <v>591</v>
      </c>
      <c r="E444" s="390" t="s">
        <v>108</v>
      </c>
      <c r="F444" s="391">
        <v>164090.0</v>
      </c>
      <c r="G444" s="391">
        <v>1821.0</v>
      </c>
      <c r="H444" s="391">
        <v>1.11</v>
      </c>
      <c r="I444" s="391">
        <v>0.23</v>
      </c>
      <c r="J444" s="391">
        <v>0.14</v>
      </c>
      <c r="K444" s="391">
        <v>2244.0</v>
      </c>
      <c r="L444" s="391">
        <v>974890.0</v>
      </c>
      <c r="M444" s="391">
        <v>0.0137</v>
      </c>
      <c r="N444" s="38">
        <v>1.2323</v>
      </c>
    </row>
    <row r="445">
      <c r="A445" s="389" t="s">
        <v>1969</v>
      </c>
      <c r="B445" s="389" t="s">
        <v>137</v>
      </c>
      <c r="C445" s="389" t="s">
        <v>6</v>
      </c>
      <c r="D445" s="389" t="s">
        <v>591</v>
      </c>
      <c r="E445" s="390" t="s">
        <v>38</v>
      </c>
      <c r="F445" s="391">
        <v>164090.0</v>
      </c>
      <c r="G445" s="391">
        <v>783.0</v>
      </c>
      <c r="H445" s="391">
        <v>0.48</v>
      </c>
      <c r="I445" s="391">
        <v>0.08</v>
      </c>
      <c r="J445" s="391">
        <v>0.1</v>
      </c>
      <c r="K445" s="391">
        <v>797.0</v>
      </c>
      <c r="L445" s="391">
        <v>974890.0</v>
      </c>
      <c r="M445" s="391">
        <v>0.0049</v>
      </c>
      <c r="N445" s="38">
        <v>1.0179</v>
      </c>
    </row>
    <row r="446">
      <c r="A446" s="389" t="s">
        <v>1969</v>
      </c>
      <c r="B446" s="389" t="s">
        <v>137</v>
      </c>
      <c r="C446" s="389" t="s">
        <v>6</v>
      </c>
      <c r="D446" s="389" t="s">
        <v>591</v>
      </c>
      <c r="E446" s="390" t="s">
        <v>368</v>
      </c>
      <c r="F446" s="391">
        <v>164090.0</v>
      </c>
      <c r="G446" s="391">
        <v>591.0</v>
      </c>
      <c r="H446" s="391">
        <v>0.36</v>
      </c>
      <c r="I446" s="391">
        <v>0.07</v>
      </c>
      <c r="J446" s="391">
        <v>0.11</v>
      </c>
      <c r="K446" s="391">
        <v>638.0</v>
      </c>
      <c r="L446" s="391">
        <v>974890.0</v>
      </c>
      <c r="M446" s="391">
        <v>0.0039</v>
      </c>
      <c r="N446" s="38">
        <v>1.0795</v>
      </c>
    </row>
    <row r="447">
      <c r="A447" s="389" t="s">
        <v>1969</v>
      </c>
      <c r="B447" s="389" t="s">
        <v>137</v>
      </c>
      <c r="C447" s="389" t="s">
        <v>6</v>
      </c>
      <c r="D447" s="389" t="s">
        <v>591</v>
      </c>
      <c r="E447" s="390" t="s">
        <v>163</v>
      </c>
      <c r="F447" s="391">
        <v>164090.0</v>
      </c>
      <c r="G447" s="391">
        <v>149.0</v>
      </c>
      <c r="H447" s="391">
        <v>0.09</v>
      </c>
      <c r="I447" s="391">
        <v>0.02</v>
      </c>
      <c r="J447" s="391">
        <v>0.03</v>
      </c>
      <c r="K447" s="391">
        <v>152.0</v>
      </c>
      <c r="L447" s="391">
        <v>974890.0</v>
      </c>
      <c r="M447" s="391">
        <v>9.0E-4</v>
      </c>
      <c r="N447" s="38">
        <v>1.0201</v>
      </c>
    </row>
    <row r="448">
      <c r="A448" s="389" t="s">
        <v>1969</v>
      </c>
      <c r="B448" s="389" t="s">
        <v>137</v>
      </c>
      <c r="C448" s="389" t="s">
        <v>6</v>
      </c>
      <c r="D448" s="389" t="s">
        <v>591</v>
      </c>
      <c r="E448" s="390" t="s">
        <v>30</v>
      </c>
      <c r="F448" s="391">
        <v>164090.0</v>
      </c>
      <c r="G448" s="391">
        <v>66.0</v>
      </c>
      <c r="H448" s="391">
        <v>0.04</v>
      </c>
      <c r="I448" s="391">
        <v>0.01</v>
      </c>
      <c r="J448" s="391">
        <v>0.01</v>
      </c>
      <c r="K448" s="391">
        <v>66.0</v>
      </c>
      <c r="L448" s="391">
        <v>974890.0</v>
      </c>
      <c r="M448" s="391">
        <v>4.0E-4</v>
      </c>
      <c r="N448" s="38">
        <v>1.0</v>
      </c>
    </row>
    <row r="449">
      <c r="A449" s="389" t="s">
        <v>1969</v>
      </c>
      <c r="B449" s="389" t="s">
        <v>137</v>
      </c>
      <c r="C449" s="389" t="s">
        <v>6</v>
      </c>
      <c r="D449" s="389" t="s">
        <v>591</v>
      </c>
      <c r="E449" s="390" t="s">
        <v>27</v>
      </c>
      <c r="F449" s="391">
        <v>164090.0</v>
      </c>
      <c r="G449" s="391">
        <v>104.0</v>
      </c>
      <c r="H449" s="391">
        <v>0.06</v>
      </c>
      <c r="I449" s="391">
        <v>0.01</v>
      </c>
      <c r="J449" s="391">
        <v>0.04</v>
      </c>
      <c r="K449" s="391">
        <v>122.0</v>
      </c>
      <c r="L449" s="391">
        <v>974890.0</v>
      </c>
      <c r="M449" s="391">
        <v>7.0E-4</v>
      </c>
      <c r="N449" s="38">
        <v>1.1731</v>
      </c>
    </row>
    <row r="450">
      <c r="A450" s="389" t="s">
        <v>1969</v>
      </c>
      <c r="B450" s="389" t="s">
        <v>137</v>
      </c>
      <c r="C450" s="389" t="s">
        <v>6</v>
      </c>
      <c r="D450" s="389" t="s">
        <v>591</v>
      </c>
      <c r="E450" s="390" t="s">
        <v>282</v>
      </c>
      <c r="F450" s="391">
        <v>164090.0</v>
      </c>
      <c r="G450" s="391">
        <v>2.0</v>
      </c>
      <c r="H450" s="391">
        <v>0.0</v>
      </c>
      <c r="I450" s="391">
        <v>0.0</v>
      </c>
      <c r="J450" s="391">
        <v>0.0</v>
      </c>
      <c r="K450" s="391">
        <v>2.0</v>
      </c>
      <c r="L450" s="391">
        <v>974890.0</v>
      </c>
      <c r="M450" s="391">
        <v>0.0</v>
      </c>
      <c r="N450" s="38">
        <v>1.0</v>
      </c>
    </row>
    <row r="451">
      <c r="A451" s="389" t="s">
        <v>1969</v>
      </c>
      <c r="B451" s="389" t="s">
        <v>137</v>
      </c>
      <c r="C451" s="389" t="s">
        <v>6</v>
      </c>
      <c r="D451" s="389" t="s">
        <v>591</v>
      </c>
      <c r="E451" s="390" t="s">
        <v>283</v>
      </c>
      <c r="F451" s="391">
        <v>164090.0</v>
      </c>
      <c r="G451" s="391">
        <v>5.0</v>
      </c>
      <c r="H451" s="391">
        <v>0.0</v>
      </c>
      <c r="I451" s="391">
        <v>0.0</v>
      </c>
      <c r="J451" s="391">
        <v>0.0</v>
      </c>
      <c r="K451" s="391">
        <v>5.0</v>
      </c>
      <c r="L451" s="391">
        <v>974890.0</v>
      </c>
      <c r="M451" s="391">
        <v>0.0</v>
      </c>
      <c r="N451" s="38">
        <v>1.0</v>
      </c>
    </row>
    <row r="452">
      <c r="A452" s="389" t="s">
        <v>1969</v>
      </c>
      <c r="B452" s="389" t="s">
        <v>137</v>
      </c>
      <c r="C452" s="389" t="s">
        <v>6</v>
      </c>
      <c r="D452" s="389" t="s">
        <v>591</v>
      </c>
      <c r="E452" s="390" t="s">
        <v>284</v>
      </c>
      <c r="F452" s="391">
        <v>164090.0</v>
      </c>
      <c r="G452" s="391">
        <v>1.0</v>
      </c>
      <c r="H452" s="391">
        <v>0.0</v>
      </c>
      <c r="I452" s="391">
        <v>0.0</v>
      </c>
      <c r="J452" s="391">
        <v>0.0</v>
      </c>
      <c r="K452" s="391">
        <v>1.0</v>
      </c>
      <c r="L452" s="391">
        <v>974890.0</v>
      </c>
      <c r="M452" s="391">
        <v>0.0</v>
      </c>
      <c r="N452" s="38">
        <v>1.0</v>
      </c>
    </row>
    <row r="453">
      <c r="A453" s="389" t="s">
        <v>1969</v>
      </c>
      <c r="B453" s="389" t="s">
        <v>137</v>
      </c>
      <c r="C453" s="389" t="s">
        <v>10</v>
      </c>
      <c r="D453" s="389" t="s">
        <v>591</v>
      </c>
      <c r="E453" s="390" t="s">
        <v>370</v>
      </c>
      <c r="F453" s="391">
        <v>130165.0</v>
      </c>
      <c r="G453" s="391">
        <v>82050.0</v>
      </c>
      <c r="H453" s="391">
        <v>63.04</v>
      </c>
      <c r="I453" s="391">
        <v>22.86</v>
      </c>
      <c r="J453" s="391">
        <v>26.6</v>
      </c>
      <c r="K453" s="391">
        <v>142616.0</v>
      </c>
      <c r="L453" s="391">
        <v>623848.0</v>
      </c>
      <c r="M453" s="391">
        <v>1.0957</v>
      </c>
      <c r="N453" s="38">
        <v>1.7382</v>
      </c>
    </row>
    <row r="454">
      <c r="A454" s="389" t="s">
        <v>1969</v>
      </c>
      <c r="B454" s="389" t="s">
        <v>137</v>
      </c>
      <c r="C454" s="389" t="s">
        <v>10</v>
      </c>
      <c r="D454" s="389" t="s">
        <v>591</v>
      </c>
      <c r="E454" s="390" t="s">
        <v>366</v>
      </c>
      <c r="F454" s="391">
        <v>130165.0</v>
      </c>
      <c r="G454" s="391">
        <v>66995.0</v>
      </c>
      <c r="H454" s="391">
        <v>51.47</v>
      </c>
      <c r="I454" s="391">
        <v>22.35</v>
      </c>
      <c r="J454" s="391">
        <v>19.32</v>
      </c>
      <c r="K454" s="391">
        <v>139426.0</v>
      </c>
      <c r="L454" s="391">
        <v>623848.0</v>
      </c>
      <c r="M454" s="391">
        <v>1.0711</v>
      </c>
      <c r="N454" s="38">
        <v>2.0811</v>
      </c>
    </row>
    <row r="455">
      <c r="A455" s="389" t="s">
        <v>1969</v>
      </c>
      <c r="B455" s="389" t="s">
        <v>137</v>
      </c>
      <c r="C455" s="389" t="s">
        <v>10</v>
      </c>
      <c r="D455" s="389" t="s">
        <v>591</v>
      </c>
      <c r="E455" s="390" t="s">
        <v>363</v>
      </c>
      <c r="F455" s="391">
        <v>130165.0</v>
      </c>
      <c r="G455" s="391">
        <v>26846.0</v>
      </c>
      <c r="H455" s="391">
        <v>20.62</v>
      </c>
      <c r="I455" s="391">
        <v>12.61</v>
      </c>
      <c r="J455" s="391">
        <v>7.6</v>
      </c>
      <c r="K455" s="391">
        <v>78665.0</v>
      </c>
      <c r="L455" s="391">
        <v>623848.0</v>
      </c>
      <c r="M455" s="391">
        <v>0.6043</v>
      </c>
      <c r="N455" s="38">
        <v>2.9302</v>
      </c>
    </row>
    <row r="456">
      <c r="A456" s="389" t="s">
        <v>1969</v>
      </c>
      <c r="B456" s="389" t="s">
        <v>137</v>
      </c>
      <c r="C456" s="389" t="s">
        <v>10</v>
      </c>
      <c r="D456" s="389" t="s">
        <v>591</v>
      </c>
      <c r="E456" s="390" t="s">
        <v>37</v>
      </c>
      <c r="F456" s="391">
        <v>130165.0</v>
      </c>
      <c r="G456" s="391">
        <v>38459.0</v>
      </c>
      <c r="H456" s="391">
        <v>29.55</v>
      </c>
      <c r="I456" s="391">
        <v>10.3</v>
      </c>
      <c r="J456" s="391">
        <v>11.16</v>
      </c>
      <c r="K456" s="391">
        <v>64230.0</v>
      </c>
      <c r="L456" s="391">
        <v>623848.0</v>
      </c>
      <c r="M456" s="391">
        <v>0.4935</v>
      </c>
      <c r="N456" s="38">
        <v>1.6701</v>
      </c>
    </row>
    <row r="457">
      <c r="A457" s="389" t="s">
        <v>1969</v>
      </c>
      <c r="B457" s="389" t="s">
        <v>137</v>
      </c>
      <c r="C457" s="389" t="s">
        <v>10</v>
      </c>
      <c r="D457" s="389" t="s">
        <v>591</v>
      </c>
      <c r="E457" s="390" t="s">
        <v>371</v>
      </c>
      <c r="F457" s="391">
        <v>130165.0</v>
      </c>
      <c r="G457" s="391">
        <v>45452.0</v>
      </c>
      <c r="H457" s="391">
        <v>34.92</v>
      </c>
      <c r="I457" s="391">
        <v>8.45</v>
      </c>
      <c r="J457" s="391">
        <v>8.93</v>
      </c>
      <c r="K457" s="391">
        <v>52721.0</v>
      </c>
      <c r="L457" s="391">
        <v>623848.0</v>
      </c>
      <c r="M457" s="391">
        <v>0.405</v>
      </c>
      <c r="N457" s="38">
        <v>1.1599</v>
      </c>
    </row>
    <row r="458">
      <c r="A458" s="389" t="s">
        <v>1969</v>
      </c>
      <c r="B458" s="389" t="s">
        <v>137</v>
      </c>
      <c r="C458" s="389" t="s">
        <v>10</v>
      </c>
      <c r="D458" s="389" t="s">
        <v>591</v>
      </c>
      <c r="E458" s="390" t="s">
        <v>365</v>
      </c>
      <c r="F458" s="391">
        <v>130165.0</v>
      </c>
      <c r="G458" s="391">
        <v>38602.0</v>
      </c>
      <c r="H458" s="391">
        <v>29.66</v>
      </c>
      <c r="I458" s="391">
        <v>6.67</v>
      </c>
      <c r="J458" s="391">
        <v>8.98</v>
      </c>
      <c r="K458" s="391">
        <v>41626.0</v>
      </c>
      <c r="L458" s="391">
        <v>623848.0</v>
      </c>
      <c r="M458" s="391">
        <v>0.3198</v>
      </c>
      <c r="N458" s="38">
        <v>1.0783</v>
      </c>
    </row>
    <row r="459">
      <c r="A459" s="389" t="s">
        <v>1969</v>
      </c>
      <c r="B459" s="389" t="s">
        <v>137</v>
      </c>
      <c r="C459" s="389" t="s">
        <v>10</v>
      </c>
      <c r="D459" s="389" t="s">
        <v>591</v>
      </c>
      <c r="E459" s="390" t="s">
        <v>35</v>
      </c>
      <c r="F459" s="391">
        <v>130165.0</v>
      </c>
      <c r="G459" s="391">
        <v>8680.0</v>
      </c>
      <c r="H459" s="391">
        <v>6.67</v>
      </c>
      <c r="I459" s="391">
        <v>4.64</v>
      </c>
      <c r="J459" s="391">
        <v>3.08</v>
      </c>
      <c r="K459" s="391">
        <v>28960.0</v>
      </c>
      <c r="L459" s="391">
        <v>623848.0</v>
      </c>
      <c r="M459" s="391">
        <v>0.2225</v>
      </c>
      <c r="N459" s="38">
        <v>3.3364</v>
      </c>
    </row>
    <row r="460">
      <c r="A460" s="389" t="s">
        <v>1969</v>
      </c>
      <c r="B460" s="389" t="s">
        <v>137</v>
      </c>
      <c r="C460" s="389" t="s">
        <v>10</v>
      </c>
      <c r="D460" s="389" t="s">
        <v>591</v>
      </c>
      <c r="E460" s="390" t="s">
        <v>369</v>
      </c>
      <c r="F460" s="391">
        <v>130165.0</v>
      </c>
      <c r="G460" s="391">
        <v>14339.0</v>
      </c>
      <c r="H460" s="391">
        <v>11.02</v>
      </c>
      <c r="I460" s="391">
        <v>2.7</v>
      </c>
      <c r="J460" s="391">
        <v>3.36</v>
      </c>
      <c r="K460" s="391">
        <v>16851.0</v>
      </c>
      <c r="L460" s="391">
        <v>623848.0</v>
      </c>
      <c r="M460" s="391">
        <v>0.1295</v>
      </c>
      <c r="N460" s="38">
        <v>1.1752</v>
      </c>
    </row>
    <row r="461">
      <c r="A461" s="389" t="s">
        <v>1969</v>
      </c>
      <c r="B461" s="389" t="s">
        <v>137</v>
      </c>
      <c r="C461" s="389" t="s">
        <v>10</v>
      </c>
      <c r="D461" s="389" t="s">
        <v>591</v>
      </c>
      <c r="E461" s="390" t="s">
        <v>108</v>
      </c>
      <c r="F461" s="391">
        <v>130165.0</v>
      </c>
      <c r="G461" s="391">
        <v>9628.0</v>
      </c>
      <c r="H461" s="391">
        <v>7.4</v>
      </c>
      <c r="I461" s="391">
        <v>2.11</v>
      </c>
      <c r="J461" s="391">
        <v>2.32</v>
      </c>
      <c r="K461" s="391">
        <v>13172.0</v>
      </c>
      <c r="L461" s="391">
        <v>623848.0</v>
      </c>
      <c r="M461" s="391">
        <v>0.1012</v>
      </c>
      <c r="N461" s="38">
        <v>1.3681</v>
      </c>
    </row>
    <row r="462">
      <c r="A462" s="389" t="s">
        <v>1969</v>
      </c>
      <c r="B462" s="389" t="s">
        <v>137</v>
      </c>
      <c r="C462" s="389" t="s">
        <v>10</v>
      </c>
      <c r="D462" s="389" t="s">
        <v>591</v>
      </c>
      <c r="E462" s="390" t="s">
        <v>45</v>
      </c>
      <c r="F462" s="391">
        <v>130165.0</v>
      </c>
      <c r="G462" s="391">
        <v>10529.0</v>
      </c>
      <c r="H462" s="391">
        <v>8.09</v>
      </c>
      <c r="I462" s="391">
        <v>1.98</v>
      </c>
      <c r="J462" s="391">
        <v>1.86</v>
      </c>
      <c r="K462" s="391">
        <v>12354.0</v>
      </c>
      <c r="L462" s="391">
        <v>623848.0</v>
      </c>
      <c r="M462" s="391">
        <v>0.0949</v>
      </c>
      <c r="N462" s="38">
        <v>1.1733</v>
      </c>
    </row>
    <row r="463">
      <c r="A463" s="389" t="s">
        <v>1969</v>
      </c>
      <c r="B463" s="389" t="s">
        <v>137</v>
      </c>
      <c r="C463" s="389" t="s">
        <v>10</v>
      </c>
      <c r="D463" s="389" t="s">
        <v>591</v>
      </c>
      <c r="E463" s="390" t="s">
        <v>284</v>
      </c>
      <c r="F463" s="391">
        <v>130165.0</v>
      </c>
      <c r="G463" s="391">
        <v>7703.0</v>
      </c>
      <c r="H463" s="391">
        <v>5.92</v>
      </c>
      <c r="I463" s="391">
        <v>1.37</v>
      </c>
      <c r="J463" s="391">
        <v>1.73</v>
      </c>
      <c r="K463" s="391">
        <v>8570.0</v>
      </c>
      <c r="L463" s="391">
        <v>623848.0</v>
      </c>
      <c r="M463" s="391">
        <v>0.0658</v>
      </c>
      <c r="N463" s="38">
        <v>1.1126</v>
      </c>
    </row>
    <row r="464">
      <c r="A464" s="389" t="s">
        <v>1969</v>
      </c>
      <c r="B464" s="389" t="s">
        <v>137</v>
      </c>
      <c r="C464" s="389" t="s">
        <v>10</v>
      </c>
      <c r="D464" s="389" t="s">
        <v>591</v>
      </c>
      <c r="E464" s="390" t="s">
        <v>282</v>
      </c>
      <c r="F464" s="391">
        <v>130165.0</v>
      </c>
      <c r="G464" s="391">
        <v>7912.0</v>
      </c>
      <c r="H464" s="391">
        <v>6.08</v>
      </c>
      <c r="I464" s="391">
        <v>1.36</v>
      </c>
      <c r="J464" s="391">
        <v>1.78</v>
      </c>
      <c r="K464" s="391">
        <v>8505.0</v>
      </c>
      <c r="L464" s="391">
        <v>623848.0</v>
      </c>
      <c r="M464" s="391">
        <v>0.0653</v>
      </c>
      <c r="N464" s="38">
        <v>1.0749</v>
      </c>
    </row>
    <row r="465">
      <c r="A465" s="389" t="s">
        <v>1969</v>
      </c>
      <c r="B465" s="389" t="s">
        <v>137</v>
      </c>
      <c r="C465" s="389" t="s">
        <v>10</v>
      </c>
      <c r="D465" s="389" t="s">
        <v>591</v>
      </c>
      <c r="E465" s="390" t="s">
        <v>283</v>
      </c>
      <c r="F465" s="391">
        <v>130165.0</v>
      </c>
      <c r="G465" s="391">
        <v>7776.0</v>
      </c>
      <c r="H465" s="391">
        <v>5.97</v>
      </c>
      <c r="I465" s="391">
        <v>1.33</v>
      </c>
      <c r="J465" s="391">
        <v>1.91</v>
      </c>
      <c r="K465" s="391">
        <v>8292.0</v>
      </c>
      <c r="L465" s="391">
        <v>623848.0</v>
      </c>
      <c r="M465" s="391">
        <v>0.0637</v>
      </c>
      <c r="N465" s="38">
        <v>1.0664</v>
      </c>
    </row>
    <row r="466">
      <c r="A466" s="389" t="s">
        <v>1969</v>
      </c>
      <c r="B466" s="389" t="s">
        <v>137</v>
      </c>
      <c r="C466" s="389" t="s">
        <v>10</v>
      </c>
      <c r="D466" s="389" t="s">
        <v>591</v>
      </c>
      <c r="E466" s="390" t="s">
        <v>39</v>
      </c>
      <c r="F466" s="391">
        <v>130165.0</v>
      </c>
      <c r="G466" s="391">
        <v>4741.0</v>
      </c>
      <c r="H466" s="391">
        <v>3.64</v>
      </c>
      <c r="I466" s="391">
        <v>0.85</v>
      </c>
      <c r="J466" s="391">
        <v>0.9</v>
      </c>
      <c r="K466" s="391">
        <v>5307.0</v>
      </c>
      <c r="L466" s="391">
        <v>623848.0</v>
      </c>
      <c r="M466" s="391">
        <v>0.0408</v>
      </c>
      <c r="N466" s="38">
        <v>1.1194</v>
      </c>
    </row>
    <row r="467">
      <c r="A467" s="389" t="s">
        <v>1969</v>
      </c>
      <c r="B467" s="389" t="s">
        <v>137</v>
      </c>
      <c r="C467" s="389" t="s">
        <v>10</v>
      </c>
      <c r="D467" s="389" t="s">
        <v>591</v>
      </c>
      <c r="E467" s="390" t="s">
        <v>27</v>
      </c>
      <c r="F467" s="391">
        <v>130165.0</v>
      </c>
      <c r="G467" s="391">
        <v>2196.0</v>
      </c>
      <c r="H467" s="391">
        <v>1.69</v>
      </c>
      <c r="I467" s="391">
        <v>0.36</v>
      </c>
      <c r="J467" s="391">
        <v>0.38</v>
      </c>
      <c r="K467" s="391">
        <v>2240.0</v>
      </c>
      <c r="L467" s="391">
        <v>623848.0</v>
      </c>
      <c r="M467" s="391">
        <v>0.0172</v>
      </c>
      <c r="N467" s="38">
        <v>1.02</v>
      </c>
    </row>
    <row r="468">
      <c r="A468" s="389" t="s">
        <v>1969</v>
      </c>
      <c r="B468" s="389" t="s">
        <v>137</v>
      </c>
      <c r="C468" s="389" t="s">
        <v>10</v>
      </c>
      <c r="D468" s="389" t="s">
        <v>591</v>
      </c>
      <c r="E468" s="390" t="s">
        <v>38</v>
      </c>
      <c r="F468" s="391">
        <v>130165.0</v>
      </c>
      <c r="G468" s="391">
        <v>282.0</v>
      </c>
      <c r="H468" s="391">
        <v>0.22</v>
      </c>
      <c r="I468" s="391">
        <v>0.05</v>
      </c>
      <c r="J468" s="391">
        <v>0.08</v>
      </c>
      <c r="K468" s="391">
        <v>290.0</v>
      </c>
      <c r="L468" s="391">
        <v>623848.0</v>
      </c>
      <c r="M468" s="391">
        <v>0.0022</v>
      </c>
      <c r="N468" s="38">
        <v>1.0284</v>
      </c>
    </row>
    <row r="469">
      <c r="A469" s="389" t="s">
        <v>1969</v>
      </c>
      <c r="B469" s="389" t="s">
        <v>137</v>
      </c>
      <c r="C469" s="389" t="s">
        <v>10</v>
      </c>
      <c r="D469" s="389" t="s">
        <v>591</v>
      </c>
      <c r="E469" s="390" t="s">
        <v>30</v>
      </c>
      <c r="F469" s="391">
        <v>130165.0</v>
      </c>
      <c r="G469" s="391">
        <v>2.0</v>
      </c>
      <c r="H469" s="391">
        <v>0.0</v>
      </c>
      <c r="I469" s="391">
        <v>0.0</v>
      </c>
      <c r="J469" s="391">
        <v>0.0</v>
      </c>
      <c r="K469" s="391">
        <v>2.0</v>
      </c>
      <c r="L469" s="391">
        <v>623848.0</v>
      </c>
      <c r="M469" s="391">
        <v>0.0</v>
      </c>
      <c r="N469" s="38">
        <v>1.0</v>
      </c>
    </row>
    <row r="470">
      <c r="A470" s="389" t="s">
        <v>1969</v>
      </c>
      <c r="B470" s="389" t="s">
        <v>137</v>
      </c>
      <c r="C470" s="389" t="s">
        <v>10</v>
      </c>
      <c r="D470" s="389" t="s">
        <v>591</v>
      </c>
      <c r="E470" s="390" t="s">
        <v>373</v>
      </c>
      <c r="F470" s="391">
        <v>130165.0</v>
      </c>
      <c r="G470" s="391">
        <v>2.0</v>
      </c>
      <c r="H470" s="391">
        <v>0.0</v>
      </c>
      <c r="I470" s="391">
        <v>0.0</v>
      </c>
      <c r="J470" s="391">
        <v>0.0</v>
      </c>
      <c r="K470" s="391">
        <v>2.0</v>
      </c>
      <c r="L470" s="391">
        <v>623848.0</v>
      </c>
      <c r="M470" s="391">
        <v>0.0</v>
      </c>
      <c r="N470" s="38">
        <v>1.0</v>
      </c>
    </row>
    <row r="471">
      <c r="A471" s="389" t="s">
        <v>1969</v>
      </c>
      <c r="B471" s="389" t="s">
        <v>137</v>
      </c>
      <c r="C471" s="389" t="s">
        <v>10</v>
      </c>
      <c r="D471" s="389" t="s">
        <v>591</v>
      </c>
      <c r="E471" s="390" t="s">
        <v>367</v>
      </c>
      <c r="F471" s="391">
        <v>130165.0</v>
      </c>
      <c r="G471" s="391">
        <v>6.0</v>
      </c>
      <c r="H471" s="391">
        <v>0.0</v>
      </c>
      <c r="I471" s="391">
        <v>0.0</v>
      </c>
      <c r="J471" s="391">
        <v>0.0</v>
      </c>
      <c r="K471" s="391">
        <v>18.0</v>
      </c>
      <c r="L471" s="391">
        <v>623848.0</v>
      </c>
      <c r="M471" s="391">
        <v>1.0E-4</v>
      </c>
      <c r="N471" s="38">
        <v>3.0</v>
      </c>
    </row>
    <row r="472">
      <c r="A472" s="389" t="s">
        <v>1969</v>
      </c>
      <c r="B472" s="389" t="s">
        <v>137</v>
      </c>
      <c r="C472" s="389" t="s">
        <v>10</v>
      </c>
      <c r="D472" s="389" t="s">
        <v>591</v>
      </c>
      <c r="E472" s="390" t="s">
        <v>163</v>
      </c>
      <c r="F472" s="391">
        <v>130165.0</v>
      </c>
      <c r="G472" s="391">
        <v>1.0</v>
      </c>
      <c r="H472" s="391">
        <v>0.0</v>
      </c>
      <c r="I472" s="391">
        <v>0.0</v>
      </c>
      <c r="J472" s="391">
        <v>0.0</v>
      </c>
      <c r="K472" s="391">
        <v>1.0</v>
      </c>
      <c r="L472" s="391">
        <v>623848.0</v>
      </c>
      <c r="M472" s="391">
        <v>0.0</v>
      </c>
      <c r="N472" s="38">
        <v>1.0</v>
      </c>
    </row>
    <row r="473">
      <c r="A473" s="389" t="s">
        <v>1969</v>
      </c>
      <c r="B473" s="389" t="s">
        <v>137</v>
      </c>
      <c r="C473" s="389" t="s">
        <v>9</v>
      </c>
      <c r="D473" s="389" t="s">
        <v>591</v>
      </c>
      <c r="E473" s="390" t="s">
        <v>366</v>
      </c>
      <c r="F473" s="391">
        <v>136610.0</v>
      </c>
      <c r="G473" s="391">
        <v>82412.0</v>
      </c>
      <c r="H473" s="391">
        <v>60.33</v>
      </c>
      <c r="I473" s="391">
        <v>27.84</v>
      </c>
      <c r="J473" s="391">
        <v>25.15</v>
      </c>
      <c r="K473" s="391">
        <v>213897.0</v>
      </c>
      <c r="L473" s="391">
        <v>768322.0</v>
      </c>
      <c r="M473" s="391">
        <v>1.5657</v>
      </c>
      <c r="N473" s="38">
        <v>2.5955</v>
      </c>
    </row>
    <row r="474">
      <c r="A474" s="389" t="s">
        <v>1969</v>
      </c>
      <c r="B474" s="389" t="s">
        <v>137</v>
      </c>
      <c r="C474" s="389" t="s">
        <v>9</v>
      </c>
      <c r="D474" s="389" t="s">
        <v>591</v>
      </c>
      <c r="E474" s="390" t="s">
        <v>370</v>
      </c>
      <c r="F474" s="391">
        <v>136610.0</v>
      </c>
      <c r="G474" s="391">
        <v>81528.0</v>
      </c>
      <c r="H474" s="391">
        <v>59.68</v>
      </c>
      <c r="I474" s="391">
        <v>18.51</v>
      </c>
      <c r="J474" s="391">
        <v>20.91</v>
      </c>
      <c r="K474" s="391">
        <v>142201.0</v>
      </c>
      <c r="L474" s="391">
        <v>768322.0</v>
      </c>
      <c r="M474" s="391">
        <v>1.0409</v>
      </c>
      <c r="N474" s="38">
        <v>1.7442</v>
      </c>
    </row>
    <row r="475">
      <c r="A475" s="389" t="s">
        <v>1969</v>
      </c>
      <c r="B475" s="389" t="s">
        <v>137</v>
      </c>
      <c r="C475" s="389" t="s">
        <v>9</v>
      </c>
      <c r="D475" s="389" t="s">
        <v>591</v>
      </c>
      <c r="E475" s="390" t="s">
        <v>363</v>
      </c>
      <c r="F475" s="391">
        <v>136610.0</v>
      </c>
      <c r="G475" s="391">
        <v>26637.0</v>
      </c>
      <c r="H475" s="391">
        <v>19.5</v>
      </c>
      <c r="I475" s="391">
        <v>10.2</v>
      </c>
      <c r="J475" s="391">
        <v>6.19</v>
      </c>
      <c r="K475" s="391">
        <v>78347.0</v>
      </c>
      <c r="L475" s="391">
        <v>768322.0</v>
      </c>
      <c r="M475" s="391">
        <v>0.5735</v>
      </c>
      <c r="N475" s="38">
        <v>2.9413</v>
      </c>
    </row>
    <row r="476">
      <c r="A476" s="389" t="s">
        <v>1969</v>
      </c>
      <c r="B476" s="389" t="s">
        <v>137</v>
      </c>
      <c r="C476" s="389" t="s">
        <v>9</v>
      </c>
      <c r="D476" s="389" t="s">
        <v>591</v>
      </c>
      <c r="E476" s="390" t="s">
        <v>35</v>
      </c>
      <c r="F476" s="391">
        <v>136610.0</v>
      </c>
      <c r="G476" s="391">
        <v>28276.0</v>
      </c>
      <c r="H476" s="391">
        <v>20.7</v>
      </c>
      <c r="I476" s="391">
        <v>7.63</v>
      </c>
      <c r="J476" s="391">
        <v>7.42</v>
      </c>
      <c r="K476" s="391">
        <v>58640.0</v>
      </c>
      <c r="L476" s="391">
        <v>768322.0</v>
      </c>
      <c r="M476" s="391">
        <v>0.4293</v>
      </c>
      <c r="N476" s="38">
        <v>2.0738</v>
      </c>
    </row>
    <row r="477">
      <c r="A477" s="389" t="s">
        <v>1969</v>
      </c>
      <c r="B477" s="389" t="s">
        <v>137</v>
      </c>
      <c r="C477" s="389" t="s">
        <v>9</v>
      </c>
      <c r="D477" s="389" t="s">
        <v>591</v>
      </c>
      <c r="E477" s="390" t="s">
        <v>37</v>
      </c>
      <c r="F477" s="391">
        <v>136610.0</v>
      </c>
      <c r="G477" s="391">
        <v>31513.0</v>
      </c>
      <c r="H477" s="391">
        <v>23.07</v>
      </c>
      <c r="I477" s="391">
        <v>6.19</v>
      </c>
      <c r="J477" s="391">
        <v>6.73</v>
      </c>
      <c r="K477" s="391">
        <v>47539.0</v>
      </c>
      <c r="L477" s="391">
        <v>768322.0</v>
      </c>
      <c r="M477" s="391">
        <v>0.348</v>
      </c>
      <c r="N477" s="38">
        <v>1.5086</v>
      </c>
    </row>
    <row r="478">
      <c r="A478" s="389" t="s">
        <v>1969</v>
      </c>
      <c r="B478" s="389" t="s">
        <v>137</v>
      </c>
      <c r="C478" s="389" t="s">
        <v>9</v>
      </c>
      <c r="D478" s="389" t="s">
        <v>591</v>
      </c>
      <c r="E478" s="390" t="s">
        <v>369</v>
      </c>
      <c r="F478" s="391">
        <v>136610.0</v>
      </c>
      <c r="G478" s="391">
        <v>30770.0</v>
      </c>
      <c r="H478" s="391">
        <v>22.52</v>
      </c>
      <c r="I478" s="391">
        <v>4.82</v>
      </c>
      <c r="J478" s="391">
        <v>5.87</v>
      </c>
      <c r="K478" s="391">
        <v>37064.0</v>
      </c>
      <c r="L478" s="391">
        <v>768322.0</v>
      </c>
      <c r="M478" s="391">
        <v>0.2713</v>
      </c>
      <c r="N478" s="38">
        <v>1.2045</v>
      </c>
    </row>
    <row r="479">
      <c r="A479" s="389" t="s">
        <v>1969</v>
      </c>
      <c r="B479" s="389" t="s">
        <v>137</v>
      </c>
      <c r="C479" s="389" t="s">
        <v>9</v>
      </c>
      <c r="D479" s="389" t="s">
        <v>591</v>
      </c>
      <c r="E479" s="390" t="s">
        <v>282</v>
      </c>
      <c r="F479" s="391">
        <v>136610.0</v>
      </c>
      <c r="G479" s="391">
        <v>26070.0</v>
      </c>
      <c r="H479" s="391">
        <v>19.08</v>
      </c>
      <c r="I479" s="391">
        <v>3.98</v>
      </c>
      <c r="J479" s="391">
        <v>4.58</v>
      </c>
      <c r="K479" s="391">
        <v>30580.0</v>
      </c>
      <c r="L479" s="391">
        <v>768322.0</v>
      </c>
      <c r="M479" s="391">
        <v>0.2238</v>
      </c>
      <c r="N479" s="38">
        <v>1.173</v>
      </c>
    </row>
    <row r="480">
      <c r="A480" s="389" t="s">
        <v>1969</v>
      </c>
      <c r="B480" s="389" t="s">
        <v>137</v>
      </c>
      <c r="C480" s="389" t="s">
        <v>9</v>
      </c>
      <c r="D480" s="389" t="s">
        <v>591</v>
      </c>
      <c r="E480" s="390" t="s">
        <v>283</v>
      </c>
      <c r="F480" s="391">
        <v>136610.0</v>
      </c>
      <c r="G480" s="391">
        <v>25647.0</v>
      </c>
      <c r="H480" s="391">
        <v>18.77</v>
      </c>
      <c r="I480" s="391">
        <v>3.87</v>
      </c>
      <c r="J480" s="391">
        <v>4.57</v>
      </c>
      <c r="K480" s="391">
        <v>29704.0</v>
      </c>
      <c r="L480" s="391">
        <v>768322.0</v>
      </c>
      <c r="M480" s="391">
        <v>0.2174</v>
      </c>
      <c r="N480" s="38">
        <v>1.1582</v>
      </c>
    </row>
    <row r="481">
      <c r="A481" s="389" t="s">
        <v>1969</v>
      </c>
      <c r="B481" s="389" t="s">
        <v>137</v>
      </c>
      <c r="C481" s="389" t="s">
        <v>9</v>
      </c>
      <c r="D481" s="389" t="s">
        <v>591</v>
      </c>
      <c r="E481" s="390" t="s">
        <v>44</v>
      </c>
      <c r="F481" s="391">
        <v>136610.0</v>
      </c>
      <c r="G481" s="391">
        <v>21157.0</v>
      </c>
      <c r="H481" s="391">
        <v>15.49</v>
      </c>
      <c r="I481" s="391">
        <v>3.69</v>
      </c>
      <c r="J481" s="391">
        <v>3.56</v>
      </c>
      <c r="K481" s="391">
        <v>28327.0</v>
      </c>
      <c r="L481" s="391">
        <v>768322.0</v>
      </c>
      <c r="M481" s="391">
        <v>0.2074</v>
      </c>
      <c r="N481" s="38">
        <v>1.3389</v>
      </c>
    </row>
    <row r="482">
      <c r="A482" s="389" t="s">
        <v>1969</v>
      </c>
      <c r="B482" s="389" t="s">
        <v>137</v>
      </c>
      <c r="C482" s="389" t="s">
        <v>9</v>
      </c>
      <c r="D482" s="389" t="s">
        <v>591</v>
      </c>
      <c r="E482" s="390" t="s">
        <v>365</v>
      </c>
      <c r="F482" s="391">
        <v>136610.0</v>
      </c>
      <c r="G482" s="391">
        <v>26631.0</v>
      </c>
      <c r="H482" s="391">
        <v>19.49</v>
      </c>
      <c r="I482" s="391">
        <v>3.66</v>
      </c>
      <c r="J482" s="391">
        <v>4.6</v>
      </c>
      <c r="K482" s="391">
        <v>28152.0</v>
      </c>
      <c r="L482" s="391">
        <v>768322.0</v>
      </c>
      <c r="M482" s="391">
        <v>0.2061</v>
      </c>
      <c r="N482" s="38">
        <v>1.0571</v>
      </c>
    </row>
    <row r="483">
      <c r="A483" s="389" t="s">
        <v>1969</v>
      </c>
      <c r="B483" s="389" t="s">
        <v>137</v>
      </c>
      <c r="C483" s="389" t="s">
        <v>9</v>
      </c>
      <c r="D483" s="389" t="s">
        <v>591</v>
      </c>
      <c r="E483" s="390" t="s">
        <v>284</v>
      </c>
      <c r="F483" s="391">
        <v>136610.0</v>
      </c>
      <c r="G483" s="391">
        <v>23065.0</v>
      </c>
      <c r="H483" s="391">
        <v>16.88</v>
      </c>
      <c r="I483" s="391">
        <v>3.65</v>
      </c>
      <c r="J483" s="391">
        <v>4.38</v>
      </c>
      <c r="K483" s="391">
        <v>28010.0</v>
      </c>
      <c r="L483" s="391">
        <v>768322.0</v>
      </c>
      <c r="M483" s="391">
        <v>0.205</v>
      </c>
      <c r="N483" s="38">
        <v>1.2144</v>
      </c>
    </row>
    <row r="484">
      <c r="A484" s="389" t="s">
        <v>1969</v>
      </c>
      <c r="B484" s="389" t="s">
        <v>137</v>
      </c>
      <c r="C484" s="389" t="s">
        <v>9</v>
      </c>
      <c r="D484" s="389" t="s">
        <v>591</v>
      </c>
      <c r="E484" s="390" t="s">
        <v>371</v>
      </c>
      <c r="F484" s="391">
        <v>136610.0</v>
      </c>
      <c r="G484" s="391">
        <v>12237.0</v>
      </c>
      <c r="H484" s="391">
        <v>8.96</v>
      </c>
      <c r="I484" s="391">
        <v>1.87</v>
      </c>
      <c r="J484" s="391">
        <v>2.31</v>
      </c>
      <c r="K484" s="391">
        <v>14391.0</v>
      </c>
      <c r="L484" s="391">
        <v>768322.0</v>
      </c>
      <c r="M484" s="391">
        <v>0.1053</v>
      </c>
      <c r="N484" s="38">
        <v>1.176</v>
      </c>
    </row>
    <row r="485">
      <c r="A485" s="389" t="s">
        <v>1969</v>
      </c>
      <c r="B485" s="389" t="s">
        <v>137</v>
      </c>
      <c r="C485" s="389" t="s">
        <v>9</v>
      </c>
      <c r="D485" s="389" t="s">
        <v>591</v>
      </c>
      <c r="E485" s="390" t="s">
        <v>45</v>
      </c>
      <c r="F485" s="391">
        <v>136610.0</v>
      </c>
      <c r="G485" s="391">
        <v>11079.0</v>
      </c>
      <c r="H485" s="391">
        <v>8.11</v>
      </c>
      <c r="I485" s="391">
        <v>1.67</v>
      </c>
      <c r="J485" s="391">
        <v>1.48</v>
      </c>
      <c r="K485" s="391">
        <v>12843.0</v>
      </c>
      <c r="L485" s="391">
        <v>768322.0</v>
      </c>
      <c r="M485" s="391">
        <v>0.094</v>
      </c>
      <c r="N485" s="38">
        <v>1.1592</v>
      </c>
    </row>
    <row r="486">
      <c r="A486" s="389" t="s">
        <v>1969</v>
      </c>
      <c r="B486" s="389" t="s">
        <v>137</v>
      </c>
      <c r="C486" s="389" t="s">
        <v>9</v>
      </c>
      <c r="D486" s="389" t="s">
        <v>591</v>
      </c>
      <c r="E486" s="390" t="s">
        <v>367</v>
      </c>
      <c r="F486" s="391">
        <v>136610.0</v>
      </c>
      <c r="G486" s="391">
        <v>7094.0</v>
      </c>
      <c r="H486" s="391">
        <v>5.19</v>
      </c>
      <c r="I486" s="391">
        <v>1.11</v>
      </c>
      <c r="J486" s="391">
        <v>0.8</v>
      </c>
      <c r="K486" s="391">
        <v>8562.0</v>
      </c>
      <c r="L486" s="391">
        <v>768322.0</v>
      </c>
      <c r="M486" s="391">
        <v>0.0627</v>
      </c>
      <c r="N486" s="38">
        <v>1.2069</v>
      </c>
    </row>
    <row r="487">
      <c r="A487" s="389" t="s">
        <v>1969</v>
      </c>
      <c r="B487" s="389" t="s">
        <v>137</v>
      </c>
      <c r="C487" s="389" t="s">
        <v>9</v>
      </c>
      <c r="D487" s="389" t="s">
        <v>591</v>
      </c>
      <c r="E487" s="390" t="s">
        <v>27</v>
      </c>
      <c r="F487" s="391">
        <v>136610.0</v>
      </c>
      <c r="G487" s="391">
        <v>7324.0</v>
      </c>
      <c r="H487" s="391">
        <v>5.36</v>
      </c>
      <c r="I487" s="391">
        <v>0.97</v>
      </c>
      <c r="J487" s="391">
        <v>0.92</v>
      </c>
      <c r="K487" s="391">
        <v>7468.0</v>
      </c>
      <c r="L487" s="391">
        <v>768322.0</v>
      </c>
      <c r="M487" s="391">
        <v>0.0547</v>
      </c>
      <c r="N487" s="38">
        <v>1.0197</v>
      </c>
    </row>
    <row r="488">
      <c r="A488" s="389" t="s">
        <v>1969</v>
      </c>
      <c r="B488" s="389" t="s">
        <v>137</v>
      </c>
      <c r="C488" s="389" t="s">
        <v>9</v>
      </c>
      <c r="D488" s="389" t="s">
        <v>591</v>
      </c>
      <c r="E488" s="390" t="s">
        <v>39</v>
      </c>
      <c r="F488" s="391">
        <v>136610.0</v>
      </c>
      <c r="G488" s="391">
        <v>1324.0</v>
      </c>
      <c r="H488" s="391">
        <v>0.97</v>
      </c>
      <c r="I488" s="391">
        <v>0.19</v>
      </c>
      <c r="J488" s="391">
        <v>0.3</v>
      </c>
      <c r="K488" s="391">
        <v>1469.0</v>
      </c>
      <c r="L488" s="391">
        <v>768322.0</v>
      </c>
      <c r="M488" s="391">
        <v>0.0108</v>
      </c>
      <c r="N488" s="38">
        <v>1.1095</v>
      </c>
    </row>
    <row r="489">
      <c r="A489" s="389" t="s">
        <v>1969</v>
      </c>
      <c r="B489" s="389" t="s">
        <v>137</v>
      </c>
      <c r="C489" s="389" t="s">
        <v>9</v>
      </c>
      <c r="D489" s="389" t="s">
        <v>591</v>
      </c>
      <c r="E489" s="390" t="s">
        <v>38</v>
      </c>
      <c r="F489" s="391">
        <v>136610.0</v>
      </c>
      <c r="G489" s="391">
        <v>862.0</v>
      </c>
      <c r="H489" s="391">
        <v>0.63</v>
      </c>
      <c r="I489" s="391">
        <v>0.12</v>
      </c>
      <c r="J489" s="391">
        <v>0.2</v>
      </c>
      <c r="K489" s="391">
        <v>886.0</v>
      </c>
      <c r="L489" s="391">
        <v>768322.0</v>
      </c>
      <c r="M489" s="391">
        <v>0.0065</v>
      </c>
      <c r="N489" s="38">
        <v>1.0278</v>
      </c>
    </row>
    <row r="490">
      <c r="A490" s="389" t="s">
        <v>1969</v>
      </c>
      <c r="B490" s="389" t="s">
        <v>137</v>
      </c>
      <c r="C490" s="389" t="s">
        <v>9</v>
      </c>
      <c r="D490" s="389" t="s">
        <v>591</v>
      </c>
      <c r="E490" s="390" t="s">
        <v>108</v>
      </c>
      <c r="F490" s="391">
        <v>136610.0</v>
      </c>
      <c r="G490" s="391">
        <v>171.0</v>
      </c>
      <c r="H490" s="391">
        <v>0.13</v>
      </c>
      <c r="I490" s="391">
        <v>0.03</v>
      </c>
      <c r="J490" s="391">
        <v>0.03</v>
      </c>
      <c r="K490" s="391">
        <v>214.0</v>
      </c>
      <c r="L490" s="391">
        <v>768322.0</v>
      </c>
      <c r="M490" s="391">
        <v>0.0016</v>
      </c>
      <c r="N490" s="38">
        <v>1.2515</v>
      </c>
    </row>
    <row r="491">
      <c r="A491" s="389" t="s">
        <v>1969</v>
      </c>
      <c r="B491" s="389" t="s">
        <v>137</v>
      </c>
      <c r="C491" s="389" t="s">
        <v>9</v>
      </c>
      <c r="D491" s="389" t="s">
        <v>591</v>
      </c>
      <c r="E491" s="390" t="s">
        <v>373</v>
      </c>
      <c r="F491" s="391">
        <v>136610.0</v>
      </c>
      <c r="G491" s="391">
        <v>1.0</v>
      </c>
      <c r="H491" s="391">
        <v>0.0</v>
      </c>
      <c r="I491" s="391">
        <v>0.0</v>
      </c>
      <c r="J491" s="391">
        <v>0.0</v>
      </c>
      <c r="K491" s="391">
        <v>1.0</v>
      </c>
      <c r="L491" s="391">
        <v>768322.0</v>
      </c>
      <c r="M491" s="391">
        <v>0.0</v>
      </c>
      <c r="N491" s="38">
        <v>1.0</v>
      </c>
    </row>
    <row r="492">
      <c r="A492" s="389" t="s">
        <v>1969</v>
      </c>
      <c r="B492" s="389" t="s">
        <v>137</v>
      </c>
      <c r="C492" s="389" t="s">
        <v>9</v>
      </c>
      <c r="D492" s="389" t="s">
        <v>591</v>
      </c>
      <c r="E492" s="390" t="s">
        <v>163</v>
      </c>
      <c r="F492" s="391">
        <v>136610.0</v>
      </c>
      <c r="G492" s="391">
        <v>6.0</v>
      </c>
      <c r="H492" s="391">
        <v>0.0</v>
      </c>
      <c r="I492" s="391">
        <v>0.0</v>
      </c>
      <c r="J492" s="391">
        <v>0.0</v>
      </c>
      <c r="K492" s="391">
        <v>7.0</v>
      </c>
      <c r="L492" s="391">
        <v>768322.0</v>
      </c>
      <c r="M492" s="391">
        <v>1.0E-4</v>
      </c>
      <c r="N492" s="38">
        <v>1.1667</v>
      </c>
    </row>
    <row r="493">
      <c r="A493" s="389" t="s">
        <v>1969</v>
      </c>
      <c r="B493" s="389" t="s">
        <v>137</v>
      </c>
      <c r="C493" s="389" t="s">
        <v>9</v>
      </c>
      <c r="D493" s="389" t="s">
        <v>591</v>
      </c>
      <c r="E493" s="390" t="s">
        <v>368</v>
      </c>
      <c r="F493" s="391">
        <v>136610.0</v>
      </c>
      <c r="G493" s="391">
        <v>17.0</v>
      </c>
      <c r="H493" s="391">
        <v>0.01</v>
      </c>
      <c r="I493" s="391">
        <v>0.0</v>
      </c>
      <c r="J493" s="391">
        <v>0.01</v>
      </c>
      <c r="K493" s="391">
        <v>20.0</v>
      </c>
      <c r="L493" s="391">
        <v>768322.0</v>
      </c>
      <c r="M493" s="391">
        <v>1.0E-4</v>
      </c>
      <c r="N493" s="38">
        <v>1.1765</v>
      </c>
    </row>
    <row r="494">
      <c r="A494" s="389" t="s">
        <v>1969</v>
      </c>
      <c r="B494" s="389" t="s">
        <v>137</v>
      </c>
      <c r="C494" s="389" t="s">
        <v>358</v>
      </c>
      <c r="D494" s="389" t="s">
        <v>1968</v>
      </c>
      <c r="E494" s="390" t="s">
        <v>366</v>
      </c>
      <c r="F494" s="391">
        <v>24149.0</v>
      </c>
      <c r="G494" s="391">
        <v>20309.0</v>
      </c>
      <c r="H494" s="391">
        <v>84.1</v>
      </c>
      <c r="I494" s="391">
        <v>85.72</v>
      </c>
      <c r="J494" s="391">
        <v>82.99</v>
      </c>
      <c r="K494" s="391">
        <v>631125.0</v>
      </c>
      <c r="L494" s="391">
        <v>736225.0</v>
      </c>
      <c r="M494" s="391">
        <v>26.1346</v>
      </c>
      <c r="N494" s="38">
        <v>31.0761</v>
      </c>
    </row>
    <row r="495">
      <c r="A495" s="389" t="s">
        <v>1969</v>
      </c>
      <c r="B495" s="389" t="s">
        <v>137</v>
      </c>
      <c r="C495" s="389" t="s">
        <v>358</v>
      </c>
      <c r="D495" s="389" t="s">
        <v>1968</v>
      </c>
      <c r="E495" s="390" t="s">
        <v>369</v>
      </c>
      <c r="F495" s="391">
        <v>24149.0</v>
      </c>
      <c r="G495" s="391">
        <v>1717.0</v>
      </c>
      <c r="H495" s="391">
        <v>7.11</v>
      </c>
      <c r="I495" s="391">
        <v>7.46</v>
      </c>
      <c r="J495" s="391">
        <v>7.08</v>
      </c>
      <c r="K495" s="391">
        <v>54915.0</v>
      </c>
      <c r="L495" s="391">
        <v>736225.0</v>
      </c>
      <c r="M495" s="391">
        <v>2.274</v>
      </c>
      <c r="N495" s="38">
        <v>31.9831</v>
      </c>
    </row>
    <row r="496">
      <c r="A496" s="389" t="s">
        <v>1969</v>
      </c>
      <c r="B496" s="389" t="s">
        <v>137</v>
      </c>
      <c r="C496" s="389" t="s">
        <v>358</v>
      </c>
      <c r="D496" s="389" t="s">
        <v>1968</v>
      </c>
      <c r="E496" s="390" t="s">
        <v>108</v>
      </c>
      <c r="F496" s="391">
        <v>24149.0</v>
      </c>
      <c r="G496" s="391">
        <v>1741.0</v>
      </c>
      <c r="H496" s="391">
        <v>7.21</v>
      </c>
      <c r="I496" s="391">
        <v>5.11</v>
      </c>
      <c r="J496" s="391">
        <v>5.75</v>
      </c>
      <c r="K496" s="391">
        <v>37650.0</v>
      </c>
      <c r="L496" s="391">
        <v>736225.0</v>
      </c>
      <c r="M496" s="391">
        <v>1.5591</v>
      </c>
      <c r="N496" s="38">
        <v>21.6255</v>
      </c>
    </row>
    <row r="497">
      <c r="A497" s="389" t="s">
        <v>1969</v>
      </c>
      <c r="B497" s="389" t="s">
        <v>137</v>
      </c>
      <c r="C497" s="389" t="s">
        <v>358</v>
      </c>
      <c r="D497" s="389" t="s">
        <v>1968</v>
      </c>
      <c r="E497" s="390" t="s">
        <v>368</v>
      </c>
      <c r="F497" s="391">
        <v>24149.0</v>
      </c>
      <c r="G497" s="391">
        <v>592.0</v>
      </c>
      <c r="H497" s="391">
        <v>2.45</v>
      </c>
      <c r="I497" s="391">
        <v>0.87</v>
      </c>
      <c r="J497" s="391">
        <v>2.15</v>
      </c>
      <c r="K497" s="391">
        <v>6405.0</v>
      </c>
      <c r="L497" s="391">
        <v>736225.0</v>
      </c>
      <c r="M497" s="391">
        <v>0.2652</v>
      </c>
      <c r="N497" s="38">
        <v>10.8193</v>
      </c>
    </row>
    <row r="498">
      <c r="A498" s="389" t="s">
        <v>1969</v>
      </c>
      <c r="B498" s="389" t="s">
        <v>137</v>
      </c>
      <c r="C498" s="389" t="s">
        <v>358</v>
      </c>
      <c r="D498" s="389" t="s">
        <v>1968</v>
      </c>
      <c r="E498" s="390" t="s">
        <v>163</v>
      </c>
      <c r="F498" s="391">
        <v>24149.0</v>
      </c>
      <c r="G498" s="391">
        <v>329.0</v>
      </c>
      <c r="H498" s="391">
        <v>1.36</v>
      </c>
      <c r="I498" s="391">
        <v>0.47</v>
      </c>
      <c r="J498" s="391">
        <v>1.11</v>
      </c>
      <c r="K498" s="391">
        <v>3445.0</v>
      </c>
      <c r="L498" s="391">
        <v>736225.0</v>
      </c>
      <c r="M498" s="391">
        <v>0.1427</v>
      </c>
      <c r="N498" s="38">
        <v>10.4711</v>
      </c>
    </row>
    <row r="499">
      <c r="A499" s="389" t="s">
        <v>1969</v>
      </c>
      <c r="B499" s="389" t="s">
        <v>137</v>
      </c>
      <c r="C499" s="389" t="s">
        <v>358</v>
      </c>
      <c r="D499" s="389" t="s">
        <v>1968</v>
      </c>
      <c r="E499" s="390" t="s">
        <v>371</v>
      </c>
      <c r="F499" s="391">
        <v>24149.0</v>
      </c>
      <c r="G499" s="391">
        <v>219.0</v>
      </c>
      <c r="H499" s="391">
        <v>0.91</v>
      </c>
      <c r="I499" s="391">
        <v>0.36</v>
      </c>
      <c r="J499" s="391">
        <v>0.9</v>
      </c>
      <c r="K499" s="391">
        <v>2640.0</v>
      </c>
      <c r="L499" s="391">
        <v>736225.0</v>
      </c>
      <c r="M499" s="391">
        <v>0.1093</v>
      </c>
      <c r="N499" s="38">
        <v>12.0548</v>
      </c>
    </row>
    <row r="500">
      <c r="A500" s="389" t="s">
        <v>1969</v>
      </c>
      <c r="B500" s="389" t="s">
        <v>137</v>
      </c>
      <c r="C500" s="389" t="s">
        <v>358</v>
      </c>
      <c r="D500" s="389" t="s">
        <v>1968</v>
      </c>
      <c r="E500" s="390" t="s">
        <v>30</v>
      </c>
      <c r="F500" s="391">
        <v>24149.0</v>
      </c>
      <c r="G500" s="391">
        <v>3.0</v>
      </c>
      <c r="H500" s="391">
        <v>0.01</v>
      </c>
      <c r="I500" s="391">
        <v>0.01</v>
      </c>
      <c r="J500" s="391">
        <v>0.01</v>
      </c>
      <c r="K500" s="391">
        <v>45.0</v>
      </c>
      <c r="L500" s="391">
        <v>736225.0</v>
      </c>
      <c r="M500" s="391">
        <v>0.0019</v>
      </c>
      <c r="N500" s="38">
        <v>15.0</v>
      </c>
    </row>
    <row r="501">
      <c r="A501" s="389" t="s">
        <v>1969</v>
      </c>
      <c r="B501" s="389" t="s">
        <v>137</v>
      </c>
      <c r="C501" s="389" t="s">
        <v>359</v>
      </c>
      <c r="D501" s="389" t="s">
        <v>1968</v>
      </c>
      <c r="E501" s="390" t="s">
        <v>371</v>
      </c>
      <c r="F501" s="391">
        <v>110655.0</v>
      </c>
      <c r="G501" s="391">
        <v>89640.0</v>
      </c>
      <c r="H501" s="391">
        <v>81.01</v>
      </c>
      <c r="I501" s="391">
        <v>44.77</v>
      </c>
      <c r="J501" s="391">
        <v>62.52</v>
      </c>
      <c r="K501" s="391">
        <v>1609845.0</v>
      </c>
      <c r="L501" s="391">
        <v>3595820.0</v>
      </c>
      <c r="M501" s="391">
        <v>14.5483</v>
      </c>
      <c r="N501" s="38">
        <v>17.959</v>
      </c>
    </row>
    <row r="502">
      <c r="A502" s="389" t="s">
        <v>1969</v>
      </c>
      <c r="B502" s="389" t="s">
        <v>137</v>
      </c>
      <c r="C502" s="389" t="s">
        <v>359</v>
      </c>
      <c r="D502" s="389" t="s">
        <v>1968</v>
      </c>
      <c r="E502" s="390" t="s">
        <v>366</v>
      </c>
      <c r="F502" s="391">
        <v>110655.0</v>
      </c>
      <c r="G502" s="391">
        <v>20181.0</v>
      </c>
      <c r="H502" s="391">
        <v>18.24</v>
      </c>
      <c r="I502" s="391">
        <v>34.8</v>
      </c>
      <c r="J502" s="391">
        <v>13.36</v>
      </c>
      <c r="K502" s="391">
        <v>1251435.0</v>
      </c>
      <c r="L502" s="391">
        <v>3595820.0</v>
      </c>
      <c r="M502" s="391">
        <v>11.3093</v>
      </c>
      <c r="N502" s="38">
        <v>62.0106</v>
      </c>
    </row>
    <row r="503">
      <c r="A503" s="389" t="s">
        <v>1969</v>
      </c>
      <c r="B503" s="389" t="s">
        <v>137</v>
      </c>
      <c r="C503" s="389" t="s">
        <v>359</v>
      </c>
      <c r="D503" s="389" t="s">
        <v>1968</v>
      </c>
      <c r="E503" s="390" t="s">
        <v>368</v>
      </c>
      <c r="F503" s="391">
        <v>110655.0</v>
      </c>
      <c r="G503" s="391">
        <v>36166.0</v>
      </c>
      <c r="H503" s="391">
        <v>32.68</v>
      </c>
      <c r="I503" s="391">
        <v>13.47</v>
      </c>
      <c r="J503" s="391">
        <v>15.71</v>
      </c>
      <c r="K503" s="391">
        <v>484285.0</v>
      </c>
      <c r="L503" s="391">
        <v>3595820.0</v>
      </c>
      <c r="M503" s="391">
        <v>4.3765</v>
      </c>
      <c r="N503" s="38">
        <v>13.3906</v>
      </c>
    </row>
    <row r="504">
      <c r="A504" s="389" t="s">
        <v>1969</v>
      </c>
      <c r="B504" s="389" t="s">
        <v>137</v>
      </c>
      <c r="C504" s="389" t="s">
        <v>359</v>
      </c>
      <c r="D504" s="389" t="s">
        <v>1968</v>
      </c>
      <c r="E504" s="390" t="s">
        <v>163</v>
      </c>
      <c r="F504" s="391">
        <v>110655.0</v>
      </c>
      <c r="G504" s="391">
        <v>12441.0</v>
      </c>
      <c r="H504" s="391">
        <v>11.24</v>
      </c>
      <c r="I504" s="391">
        <v>3.52</v>
      </c>
      <c r="J504" s="391">
        <v>4.69</v>
      </c>
      <c r="K504" s="391">
        <v>126430.0</v>
      </c>
      <c r="L504" s="391">
        <v>3595820.0</v>
      </c>
      <c r="M504" s="391">
        <v>1.1426</v>
      </c>
      <c r="N504" s="38">
        <v>10.1624</v>
      </c>
    </row>
    <row r="505">
      <c r="A505" s="389" t="s">
        <v>1969</v>
      </c>
      <c r="B505" s="389" t="s">
        <v>137</v>
      </c>
      <c r="C505" s="389" t="s">
        <v>359</v>
      </c>
      <c r="D505" s="389" t="s">
        <v>1968</v>
      </c>
      <c r="E505" s="390" t="s">
        <v>108</v>
      </c>
      <c r="F505" s="391">
        <v>110655.0</v>
      </c>
      <c r="G505" s="391">
        <v>5323.0</v>
      </c>
      <c r="H505" s="391">
        <v>4.81</v>
      </c>
      <c r="I505" s="391">
        <v>1.72</v>
      </c>
      <c r="J505" s="391">
        <v>2.17</v>
      </c>
      <c r="K505" s="391">
        <v>61810.0</v>
      </c>
      <c r="L505" s="391">
        <v>3595820.0</v>
      </c>
      <c r="M505" s="391">
        <v>0.5586</v>
      </c>
      <c r="N505" s="38">
        <v>11.6119</v>
      </c>
    </row>
    <row r="506">
      <c r="A506" s="389" t="s">
        <v>1969</v>
      </c>
      <c r="B506" s="389" t="s">
        <v>137</v>
      </c>
      <c r="C506" s="389" t="s">
        <v>359</v>
      </c>
      <c r="D506" s="389" t="s">
        <v>1968</v>
      </c>
      <c r="E506" s="390" t="s">
        <v>369</v>
      </c>
      <c r="F506" s="391">
        <v>110655.0</v>
      </c>
      <c r="G506" s="391">
        <v>1723.0</v>
      </c>
      <c r="H506" s="391">
        <v>1.56</v>
      </c>
      <c r="I506" s="391">
        <v>1.53</v>
      </c>
      <c r="J506" s="391">
        <v>1.2</v>
      </c>
      <c r="K506" s="391">
        <v>54995.0</v>
      </c>
      <c r="L506" s="391">
        <v>3595820.0</v>
      </c>
      <c r="M506" s="391">
        <v>0.497</v>
      </c>
      <c r="N506" s="38">
        <v>31.9182</v>
      </c>
    </row>
    <row r="507">
      <c r="A507" s="389" t="s">
        <v>1969</v>
      </c>
      <c r="B507" s="389" t="s">
        <v>137</v>
      </c>
      <c r="C507" s="389" t="s">
        <v>359</v>
      </c>
      <c r="D507" s="389" t="s">
        <v>1968</v>
      </c>
      <c r="E507" s="390" t="s">
        <v>39</v>
      </c>
      <c r="F507" s="391">
        <v>110655.0</v>
      </c>
      <c r="G507" s="391">
        <v>607.0</v>
      </c>
      <c r="H507" s="391">
        <v>0.55</v>
      </c>
      <c r="I507" s="391">
        <v>0.18</v>
      </c>
      <c r="J507" s="391">
        <v>0.32</v>
      </c>
      <c r="K507" s="391">
        <v>6560.0</v>
      </c>
      <c r="L507" s="391">
        <v>3595820.0</v>
      </c>
      <c r="M507" s="391">
        <v>0.0593</v>
      </c>
      <c r="N507" s="38">
        <v>10.8072</v>
      </c>
    </row>
    <row r="508">
      <c r="A508" s="389" t="s">
        <v>1969</v>
      </c>
      <c r="B508" s="389" t="s">
        <v>137</v>
      </c>
      <c r="C508" s="389" t="s">
        <v>359</v>
      </c>
      <c r="D508" s="389" t="s">
        <v>1968</v>
      </c>
      <c r="E508" s="390" t="s">
        <v>30</v>
      </c>
      <c r="F508" s="391">
        <v>110655.0</v>
      </c>
      <c r="G508" s="391">
        <v>25.0</v>
      </c>
      <c r="H508" s="391">
        <v>0.02</v>
      </c>
      <c r="I508" s="391">
        <v>0.01</v>
      </c>
      <c r="J508" s="391">
        <v>0.02</v>
      </c>
      <c r="K508" s="391">
        <v>375.0</v>
      </c>
      <c r="L508" s="391">
        <v>3595820.0</v>
      </c>
      <c r="M508" s="391">
        <v>0.0034</v>
      </c>
      <c r="N508" s="38">
        <v>15.0</v>
      </c>
    </row>
    <row r="509">
      <c r="A509" s="389" t="s">
        <v>1969</v>
      </c>
      <c r="B509" s="389" t="s">
        <v>137</v>
      </c>
      <c r="C509" s="389" t="s">
        <v>359</v>
      </c>
      <c r="D509" s="389" t="s">
        <v>1968</v>
      </c>
      <c r="E509" s="390" t="s">
        <v>35</v>
      </c>
      <c r="F509" s="391">
        <v>110655.0</v>
      </c>
      <c r="G509" s="391">
        <v>2.0</v>
      </c>
      <c r="H509" s="391">
        <v>0.0</v>
      </c>
      <c r="I509" s="391">
        <v>0.0</v>
      </c>
      <c r="J509" s="391">
        <v>0.0</v>
      </c>
      <c r="K509" s="391">
        <v>30.0</v>
      </c>
      <c r="L509" s="391">
        <v>3595820.0</v>
      </c>
      <c r="M509" s="391">
        <v>3.0E-4</v>
      </c>
      <c r="N509" s="38">
        <v>15.0</v>
      </c>
    </row>
    <row r="510">
      <c r="A510" s="389" t="s">
        <v>1969</v>
      </c>
      <c r="B510" s="389" t="s">
        <v>137</v>
      </c>
      <c r="C510" s="389" t="s">
        <v>359</v>
      </c>
      <c r="D510" s="389" t="s">
        <v>1968</v>
      </c>
      <c r="E510" s="390" t="s">
        <v>367</v>
      </c>
      <c r="F510" s="391">
        <v>110655.0</v>
      </c>
      <c r="G510" s="391">
        <v>4.0</v>
      </c>
      <c r="H510" s="391">
        <v>0.0</v>
      </c>
      <c r="I510" s="391">
        <v>0.0</v>
      </c>
      <c r="J510" s="391">
        <v>0.0</v>
      </c>
      <c r="K510" s="391">
        <v>40.0</v>
      </c>
      <c r="L510" s="391">
        <v>3595820.0</v>
      </c>
      <c r="M510" s="391">
        <v>4.0E-4</v>
      </c>
      <c r="N510" s="38">
        <v>10.0</v>
      </c>
    </row>
    <row r="511">
      <c r="A511" s="389" t="s">
        <v>1969</v>
      </c>
      <c r="B511" s="389" t="s">
        <v>137</v>
      </c>
      <c r="C511" s="389" t="s">
        <v>359</v>
      </c>
      <c r="D511" s="389" t="s">
        <v>1968</v>
      </c>
      <c r="E511" s="390" t="s">
        <v>41</v>
      </c>
      <c r="F511" s="391">
        <v>110655.0</v>
      </c>
      <c r="G511" s="391">
        <v>1.0</v>
      </c>
      <c r="H511" s="391">
        <v>0.0</v>
      </c>
      <c r="I511" s="391">
        <v>0.0</v>
      </c>
      <c r="J511" s="391">
        <v>0.0</v>
      </c>
      <c r="K511" s="391">
        <v>15.0</v>
      </c>
      <c r="L511" s="391">
        <v>3595820.0</v>
      </c>
      <c r="M511" s="391">
        <v>1.0E-4</v>
      </c>
      <c r="N511" s="38">
        <v>15.0</v>
      </c>
    </row>
    <row r="512">
      <c r="A512" s="389" t="s">
        <v>1969</v>
      </c>
      <c r="B512" s="389" t="s">
        <v>137</v>
      </c>
      <c r="C512" s="389" t="s">
        <v>360</v>
      </c>
      <c r="D512" s="389" t="s">
        <v>1968</v>
      </c>
      <c r="E512" s="390" t="s">
        <v>371</v>
      </c>
      <c r="F512" s="391">
        <v>140266.0</v>
      </c>
      <c r="G512" s="391">
        <v>121291.0</v>
      </c>
      <c r="H512" s="391">
        <v>86.47</v>
      </c>
      <c r="I512" s="391">
        <v>47.29</v>
      </c>
      <c r="J512" s="391">
        <v>64.55</v>
      </c>
      <c r="K512" s="391">
        <v>2183365.0</v>
      </c>
      <c r="L512" s="391">
        <v>4616615.0</v>
      </c>
      <c r="M512" s="391">
        <v>15.5659</v>
      </c>
      <c r="N512" s="38">
        <v>18.001</v>
      </c>
    </row>
    <row r="513">
      <c r="A513" s="389" t="s">
        <v>1969</v>
      </c>
      <c r="B513" s="389" t="s">
        <v>137</v>
      </c>
      <c r="C513" s="389" t="s">
        <v>360</v>
      </c>
      <c r="D513" s="389" t="s">
        <v>1968</v>
      </c>
      <c r="E513" s="390" t="s">
        <v>366</v>
      </c>
      <c r="F513" s="391">
        <v>140266.0</v>
      </c>
      <c r="G513" s="391">
        <v>20317.0</v>
      </c>
      <c r="H513" s="391">
        <v>14.48</v>
      </c>
      <c r="I513" s="391">
        <v>27.3</v>
      </c>
      <c r="J513" s="391">
        <v>9.45</v>
      </c>
      <c r="K513" s="391">
        <v>1260195.0</v>
      </c>
      <c r="L513" s="391">
        <v>4616615.0</v>
      </c>
      <c r="M513" s="391">
        <v>8.9843</v>
      </c>
      <c r="N513" s="38">
        <v>62.0266</v>
      </c>
    </row>
    <row r="514">
      <c r="A514" s="389" t="s">
        <v>1969</v>
      </c>
      <c r="B514" s="389" t="s">
        <v>137</v>
      </c>
      <c r="C514" s="389" t="s">
        <v>360</v>
      </c>
      <c r="D514" s="389" t="s">
        <v>1968</v>
      </c>
      <c r="E514" s="390" t="s">
        <v>368</v>
      </c>
      <c r="F514" s="391">
        <v>140266.0</v>
      </c>
      <c r="G514" s="391">
        <v>57862.0</v>
      </c>
      <c r="H514" s="391">
        <v>41.25</v>
      </c>
      <c r="I514" s="391">
        <v>18.07</v>
      </c>
      <c r="J514" s="391">
        <v>18.37</v>
      </c>
      <c r="K514" s="391">
        <v>834155.0</v>
      </c>
      <c r="L514" s="391">
        <v>4616615.0</v>
      </c>
      <c r="M514" s="391">
        <v>5.947</v>
      </c>
      <c r="N514" s="38">
        <v>14.4163</v>
      </c>
    </row>
    <row r="515">
      <c r="A515" s="389" t="s">
        <v>1969</v>
      </c>
      <c r="B515" s="389" t="s">
        <v>137</v>
      </c>
      <c r="C515" s="389" t="s">
        <v>360</v>
      </c>
      <c r="D515" s="389" t="s">
        <v>1968</v>
      </c>
      <c r="E515" s="390" t="s">
        <v>163</v>
      </c>
      <c r="F515" s="391">
        <v>140266.0</v>
      </c>
      <c r="G515" s="391">
        <v>22845.0</v>
      </c>
      <c r="H515" s="391">
        <v>16.29</v>
      </c>
      <c r="I515" s="391">
        <v>5.05</v>
      </c>
      <c r="J515" s="391">
        <v>5.57</v>
      </c>
      <c r="K515" s="391">
        <v>233075.0</v>
      </c>
      <c r="L515" s="391">
        <v>4616615.0</v>
      </c>
      <c r="M515" s="391">
        <v>1.6617</v>
      </c>
      <c r="N515" s="38">
        <v>10.2025</v>
      </c>
    </row>
    <row r="516">
      <c r="A516" s="389" t="s">
        <v>1969</v>
      </c>
      <c r="B516" s="389" t="s">
        <v>137</v>
      </c>
      <c r="C516" s="389" t="s">
        <v>360</v>
      </c>
      <c r="D516" s="389" t="s">
        <v>1968</v>
      </c>
      <c r="E516" s="390" t="s">
        <v>369</v>
      </c>
      <c r="F516" s="391">
        <v>140266.0</v>
      </c>
      <c r="G516" s="391">
        <v>1743.0</v>
      </c>
      <c r="H516" s="391">
        <v>1.24</v>
      </c>
      <c r="I516" s="391">
        <v>1.2</v>
      </c>
      <c r="J516" s="391">
        <v>0.9</v>
      </c>
      <c r="K516" s="391">
        <v>55450.0</v>
      </c>
      <c r="L516" s="391">
        <v>4616615.0</v>
      </c>
      <c r="M516" s="391">
        <v>0.3953</v>
      </c>
      <c r="N516" s="38">
        <v>31.813</v>
      </c>
    </row>
    <row r="517">
      <c r="A517" s="389" t="s">
        <v>1969</v>
      </c>
      <c r="B517" s="389" t="s">
        <v>137</v>
      </c>
      <c r="C517" s="389" t="s">
        <v>360</v>
      </c>
      <c r="D517" s="389" t="s">
        <v>1968</v>
      </c>
      <c r="E517" s="390" t="s">
        <v>108</v>
      </c>
      <c r="F517" s="391">
        <v>140266.0</v>
      </c>
      <c r="G517" s="391">
        <v>2482.0</v>
      </c>
      <c r="H517" s="391">
        <v>1.77</v>
      </c>
      <c r="I517" s="391">
        <v>0.65</v>
      </c>
      <c r="J517" s="391">
        <v>0.57</v>
      </c>
      <c r="K517" s="391">
        <v>30060.0</v>
      </c>
      <c r="L517" s="391">
        <v>4616615.0</v>
      </c>
      <c r="M517" s="391">
        <v>0.2143</v>
      </c>
      <c r="N517" s="38">
        <v>12.1112</v>
      </c>
    </row>
    <row r="518">
      <c r="A518" s="389" t="s">
        <v>1969</v>
      </c>
      <c r="B518" s="389" t="s">
        <v>137</v>
      </c>
      <c r="C518" s="389" t="s">
        <v>360</v>
      </c>
      <c r="D518" s="389" t="s">
        <v>1968</v>
      </c>
      <c r="E518" s="390" t="s">
        <v>39</v>
      </c>
      <c r="F518" s="391">
        <v>140266.0</v>
      </c>
      <c r="G518" s="391">
        <v>1324.0</v>
      </c>
      <c r="H518" s="391">
        <v>0.94</v>
      </c>
      <c r="I518" s="391">
        <v>0.32</v>
      </c>
      <c r="J518" s="391">
        <v>0.47</v>
      </c>
      <c r="K518" s="391">
        <v>14640.0</v>
      </c>
      <c r="L518" s="391">
        <v>4616615.0</v>
      </c>
      <c r="M518" s="391">
        <v>0.1044</v>
      </c>
      <c r="N518" s="38">
        <v>11.0574</v>
      </c>
    </row>
    <row r="519">
      <c r="A519" s="389" t="s">
        <v>1969</v>
      </c>
      <c r="B519" s="389" t="s">
        <v>137</v>
      </c>
      <c r="C519" s="389" t="s">
        <v>360</v>
      </c>
      <c r="D519" s="389" t="s">
        <v>1968</v>
      </c>
      <c r="E519" s="390" t="s">
        <v>30</v>
      </c>
      <c r="F519" s="391">
        <v>140266.0</v>
      </c>
      <c r="G519" s="391">
        <v>357.0</v>
      </c>
      <c r="H519" s="391">
        <v>0.25</v>
      </c>
      <c r="I519" s="391">
        <v>0.12</v>
      </c>
      <c r="J519" s="391">
        <v>0.12</v>
      </c>
      <c r="K519" s="391">
        <v>5430.0</v>
      </c>
      <c r="L519" s="391">
        <v>4616615.0</v>
      </c>
      <c r="M519" s="391">
        <v>0.0387</v>
      </c>
      <c r="N519" s="38">
        <v>15.2101</v>
      </c>
    </row>
    <row r="520">
      <c r="A520" s="389" t="s">
        <v>1969</v>
      </c>
      <c r="B520" s="389" t="s">
        <v>137</v>
      </c>
      <c r="C520" s="389" t="s">
        <v>360</v>
      </c>
      <c r="D520" s="389" t="s">
        <v>1968</v>
      </c>
      <c r="E520" s="390" t="s">
        <v>373</v>
      </c>
      <c r="F520" s="391">
        <v>140266.0</v>
      </c>
      <c r="G520" s="391">
        <v>1.0</v>
      </c>
      <c r="H520" s="391">
        <v>0.0</v>
      </c>
      <c r="I520" s="391">
        <v>0.0</v>
      </c>
      <c r="J520" s="391">
        <v>0.0</v>
      </c>
      <c r="K520" s="391">
        <v>15.0</v>
      </c>
      <c r="L520" s="391">
        <v>4616615.0</v>
      </c>
      <c r="M520" s="391">
        <v>1.0E-4</v>
      </c>
      <c r="N520" s="38">
        <v>15.0</v>
      </c>
    </row>
    <row r="521">
      <c r="A521" s="389" t="s">
        <v>1969</v>
      </c>
      <c r="B521" s="389" t="s">
        <v>137</v>
      </c>
      <c r="C521" s="389" t="s">
        <v>360</v>
      </c>
      <c r="D521" s="389" t="s">
        <v>1968</v>
      </c>
      <c r="E521" s="390" t="s">
        <v>372</v>
      </c>
      <c r="F521" s="391">
        <v>140266.0</v>
      </c>
      <c r="G521" s="391">
        <v>12.0</v>
      </c>
      <c r="H521" s="391">
        <v>0.01</v>
      </c>
      <c r="I521" s="391">
        <v>0.0</v>
      </c>
      <c r="J521" s="391">
        <v>0.0</v>
      </c>
      <c r="K521" s="391">
        <v>130.0</v>
      </c>
      <c r="L521" s="391">
        <v>4616615.0</v>
      </c>
      <c r="M521" s="391">
        <v>9.0E-4</v>
      </c>
      <c r="N521" s="38">
        <v>10.8333</v>
      </c>
    </row>
    <row r="522">
      <c r="A522" s="389" t="s">
        <v>1969</v>
      </c>
      <c r="B522" s="389" t="s">
        <v>137</v>
      </c>
      <c r="C522" s="389" t="s">
        <v>360</v>
      </c>
      <c r="D522" s="389" t="s">
        <v>1968</v>
      </c>
      <c r="E522" s="390" t="s">
        <v>370</v>
      </c>
      <c r="F522" s="391">
        <v>140266.0</v>
      </c>
      <c r="G522" s="391">
        <v>1.0</v>
      </c>
      <c r="H522" s="391">
        <v>0.0</v>
      </c>
      <c r="I522" s="391">
        <v>0.0</v>
      </c>
      <c r="J522" s="391">
        <v>0.0</v>
      </c>
      <c r="K522" s="391">
        <v>15.0</v>
      </c>
      <c r="L522" s="391">
        <v>4616615.0</v>
      </c>
      <c r="M522" s="391">
        <v>1.0E-4</v>
      </c>
      <c r="N522" s="38">
        <v>15.0</v>
      </c>
    </row>
    <row r="523">
      <c r="A523" s="389" t="s">
        <v>1969</v>
      </c>
      <c r="B523" s="389" t="s">
        <v>137</v>
      </c>
      <c r="C523" s="389" t="s">
        <v>360</v>
      </c>
      <c r="D523" s="389" t="s">
        <v>1968</v>
      </c>
      <c r="E523" s="390" t="s">
        <v>49</v>
      </c>
      <c r="F523" s="391">
        <v>140266.0</v>
      </c>
      <c r="G523" s="391">
        <v>2.0</v>
      </c>
      <c r="H523" s="391">
        <v>0.0</v>
      </c>
      <c r="I523" s="391">
        <v>0.0</v>
      </c>
      <c r="J523" s="391">
        <v>0.0</v>
      </c>
      <c r="K523" s="391">
        <v>30.0</v>
      </c>
      <c r="L523" s="391">
        <v>4616615.0</v>
      </c>
      <c r="M523" s="391">
        <v>2.0E-4</v>
      </c>
      <c r="N523" s="38">
        <v>15.0</v>
      </c>
    </row>
    <row r="524">
      <c r="A524" s="389" t="s">
        <v>1969</v>
      </c>
      <c r="B524" s="389" t="s">
        <v>137</v>
      </c>
      <c r="C524" s="389" t="s">
        <v>360</v>
      </c>
      <c r="D524" s="389" t="s">
        <v>1968</v>
      </c>
      <c r="E524" s="390" t="s">
        <v>35</v>
      </c>
      <c r="F524" s="391">
        <v>140266.0</v>
      </c>
      <c r="G524" s="391">
        <v>3.0</v>
      </c>
      <c r="H524" s="391">
        <v>0.0</v>
      </c>
      <c r="I524" s="391">
        <v>0.0</v>
      </c>
      <c r="J524" s="391">
        <v>0.0</v>
      </c>
      <c r="K524" s="391">
        <v>45.0</v>
      </c>
      <c r="L524" s="391">
        <v>4616615.0</v>
      </c>
      <c r="M524" s="391">
        <v>3.0E-4</v>
      </c>
      <c r="N524" s="38">
        <v>15.0</v>
      </c>
    </row>
    <row r="525">
      <c r="A525" s="389" t="s">
        <v>1969</v>
      </c>
      <c r="B525" s="389" t="s">
        <v>137</v>
      </c>
      <c r="C525" s="389" t="s">
        <v>360</v>
      </c>
      <c r="D525" s="389" t="s">
        <v>1968</v>
      </c>
      <c r="E525" s="390" t="s">
        <v>367</v>
      </c>
      <c r="F525" s="391">
        <v>140266.0</v>
      </c>
      <c r="G525" s="391">
        <v>1.0</v>
      </c>
      <c r="H525" s="391">
        <v>0.0</v>
      </c>
      <c r="I525" s="391">
        <v>0.0</v>
      </c>
      <c r="J525" s="391">
        <v>0.0</v>
      </c>
      <c r="K525" s="391">
        <v>10.0</v>
      </c>
      <c r="L525" s="391">
        <v>4616615.0</v>
      </c>
      <c r="M525" s="391">
        <v>1.0E-4</v>
      </c>
      <c r="N525" s="38">
        <v>10.0</v>
      </c>
    </row>
    <row r="526">
      <c r="A526" s="389" t="s">
        <v>1969</v>
      </c>
      <c r="B526" s="389" t="s">
        <v>137</v>
      </c>
      <c r="C526" s="389" t="s">
        <v>12</v>
      </c>
      <c r="D526" s="389" t="s">
        <v>1968</v>
      </c>
      <c r="E526" s="390" t="s">
        <v>366</v>
      </c>
      <c r="F526" s="391">
        <v>183881.0</v>
      </c>
      <c r="G526" s="391">
        <v>149296.0</v>
      </c>
      <c r="H526" s="391">
        <v>81.19</v>
      </c>
      <c r="I526" s="391">
        <v>25.57</v>
      </c>
      <c r="J526" s="391">
        <v>24.79</v>
      </c>
      <c r="K526" s="391">
        <v>2.102563E7</v>
      </c>
      <c r="L526" s="391">
        <v>8.2241087E7</v>
      </c>
      <c r="M526" s="391">
        <v>114.3437</v>
      </c>
      <c r="N526" s="38">
        <v>140.8318</v>
      </c>
    </row>
    <row r="527">
      <c r="A527" s="389" t="s">
        <v>1969</v>
      </c>
      <c r="B527" s="389" t="s">
        <v>137</v>
      </c>
      <c r="C527" s="389" t="s">
        <v>12</v>
      </c>
      <c r="D527" s="389" t="s">
        <v>1968</v>
      </c>
      <c r="E527" s="390" t="s">
        <v>44</v>
      </c>
      <c r="F527" s="391">
        <v>183881.0</v>
      </c>
      <c r="G527" s="391">
        <v>94311.0</v>
      </c>
      <c r="H527" s="391">
        <v>51.29</v>
      </c>
      <c r="I527" s="391">
        <v>24.94</v>
      </c>
      <c r="J527" s="391">
        <v>19.04</v>
      </c>
      <c r="K527" s="391">
        <v>2.05108E7</v>
      </c>
      <c r="L527" s="391">
        <v>8.2241087E7</v>
      </c>
      <c r="M527" s="391">
        <v>111.5439</v>
      </c>
      <c r="N527" s="38">
        <v>217.4805</v>
      </c>
    </row>
    <row r="528">
      <c r="A528" s="389" t="s">
        <v>1969</v>
      </c>
      <c r="B528" s="389" t="s">
        <v>137</v>
      </c>
      <c r="C528" s="389" t="s">
        <v>12</v>
      </c>
      <c r="D528" s="389" t="s">
        <v>1968</v>
      </c>
      <c r="E528" s="390" t="s">
        <v>371</v>
      </c>
      <c r="F528" s="391">
        <v>183881.0</v>
      </c>
      <c r="G528" s="391">
        <v>124406.0</v>
      </c>
      <c r="H528" s="391">
        <v>67.66</v>
      </c>
      <c r="I528" s="391">
        <v>13.36</v>
      </c>
      <c r="J528" s="391">
        <v>20.37</v>
      </c>
      <c r="K528" s="391">
        <v>1.098843E7</v>
      </c>
      <c r="L528" s="391">
        <v>8.2241087E7</v>
      </c>
      <c r="M528" s="391">
        <v>59.7584</v>
      </c>
      <c r="N528" s="38">
        <v>88.3272</v>
      </c>
    </row>
    <row r="529">
      <c r="A529" s="389" t="s">
        <v>1969</v>
      </c>
      <c r="B529" s="389" t="s">
        <v>137</v>
      </c>
      <c r="C529" s="389" t="s">
        <v>12</v>
      </c>
      <c r="D529" s="389" t="s">
        <v>1968</v>
      </c>
      <c r="E529" s="390" t="s">
        <v>370</v>
      </c>
      <c r="F529" s="391">
        <v>183881.0</v>
      </c>
      <c r="G529" s="391">
        <v>129967.0</v>
      </c>
      <c r="H529" s="391">
        <v>70.68</v>
      </c>
      <c r="I529" s="391">
        <v>12.85</v>
      </c>
      <c r="J529" s="391">
        <v>13.66</v>
      </c>
      <c r="K529" s="391">
        <v>1.056566E7</v>
      </c>
      <c r="L529" s="391">
        <v>8.2241087E7</v>
      </c>
      <c r="M529" s="391">
        <v>57.4592</v>
      </c>
      <c r="N529" s="38">
        <v>81.2949</v>
      </c>
    </row>
    <row r="530">
      <c r="A530" s="389" t="s">
        <v>1969</v>
      </c>
      <c r="B530" s="389" t="s">
        <v>137</v>
      </c>
      <c r="C530" s="389" t="s">
        <v>12</v>
      </c>
      <c r="D530" s="389" t="s">
        <v>1968</v>
      </c>
      <c r="E530" s="390" t="s">
        <v>39</v>
      </c>
      <c r="F530" s="391">
        <v>183881.0</v>
      </c>
      <c r="G530" s="391">
        <v>82536.0</v>
      </c>
      <c r="H530" s="391">
        <v>44.89</v>
      </c>
      <c r="I530" s="391">
        <v>11.44</v>
      </c>
      <c r="J530" s="391">
        <v>10.59</v>
      </c>
      <c r="K530" s="391">
        <v>9405210.0</v>
      </c>
      <c r="L530" s="391">
        <v>8.2241087E7</v>
      </c>
      <c r="M530" s="391">
        <v>51.1484</v>
      </c>
      <c r="N530" s="38">
        <v>113.9528</v>
      </c>
    </row>
    <row r="531">
      <c r="A531" s="389" t="s">
        <v>1969</v>
      </c>
      <c r="B531" s="389" t="s">
        <v>137</v>
      </c>
      <c r="C531" s="389" t="s">
        <v>12</v>
      </c>
      <c r="D531" s="389" t="s">
        <v>1968</v>
      </c>
      <c r="E531" s="390" t="s">
        <v>367</v>
      </c>
      <c r="F531" s="391">
        <v>183881.0</v>
      </c>
      <c r="G531" s="391">
        <v>53522.0</v>
      </c>
      <c r="H531" s="391">
        <v>29.11</v>
      </c>
      <c r="I531" s="391">
        <v>3.41</v>
      </c>
      <c r="J531" s="391">
        <v>3.17</v>
      </c>
      <c r="K531" s="391">
        <v>2801740.0</v>
      </c>
      <c r="L531" s="391">
        <v>8.2241087E7</v>
      </c>
      <c r="M531" s="391">
        <v>15.2367</v>
      </c>
      <c r="N531" s="38">
        <v>52.3474</v>
      </c>
    </row>
    <row r="532">
      <c r="A532" s="389" t="s">
        <v>1969</v>
      </c>
      <c r="B532" s="389" t="s">
        <v>137</v>
      </c>
      <c r="C532" s="389" t="s">
        <v>12</v>
      </c>
      <c r="D532" s="389" t="s">
        <v>1968</v>
      </c>
      <c r="E532" s="390" t="s">
        <v>365</v>
      </c>
      <c r="F532" s="391">
        <v>183881.0</v>
      </c>
      <c r="G532" s="391">
        <v>47917.0</v>
      </c>
      <c r="H532" s="391">
        <v>26.06</v>
      </c>
      <c r="I532" s="391">
        <v>2.85</v>
      </c>
      <c r="J532" s="391">
        <v>3.09</v>
      </c>
      <c r="K532" s="391">
        <v>2343390.0</v>
      </c>
      <c r="L532" s="391">
        <v>8.2241087E7</v>
      </c>
      <c r="M532" s="391">
        <v>12.7441</v>
      </c>
      <c r="N532" s="38">
        <v>48.9052</v>
      </c>
    </row>
    <row r="533">
      <c r="A533" s="389" t="s">
        <v>1969</v>
      </c>
      <c r="B533" s="389" t="s">
        <v>137</v>
      </c>
      <c r="C533" s="389" t="s">
        <v>12</v>
      </c>
      <c r="D533" s="389" t="s">
        <v>1968</v>
      </c>
      <c r="E533" s="390" t="s">
        <v>38</v>
      </c>
      <c r="F533" s="391">
        <v>183881.0</v>
      </c>
      <c r="G533" s="391">
        <v>38789.0</v>
      </c>
      <c r="H533" s="391">
        <v>21.09</v>
      </c>
      <c r="I533" s="391">
        <v>2.0</v>
      </c>
      <c r="J533" s="391">
        <v>1.9</v>
      </c>
      <c r="K533" s="391">
        <v>1642830.0</v>
      </c>
      <c r="L533" s="391">
        <v>8.2241087E7</v>
      </c>
      <c r="M533" s="391">
        <v>8.9342</v>
      </c>
      <c r="N533" s="38">
        <v>42.353</v>
      </c>
    </row>
    <row r="534">
      <c r="A534" s="389" t="s">
        <v>1969</v>
      </c>
      <c r="B534" s="389" t="s">
        <v>137</v>
      </c>
      <c r="C534" s="389" t="s">
        <v>12</v>
      </c>
      <c r="D534" s="389" t="s">
        <v>1968</v>
      </c>
      <c r="E534" s="390" t="s">
        <v>363</v>
      </c>
      <c r="F534" s="391">
        <v>183881.0</v>
      </c>
      <c r="G534" s="391">
        <v>29698.0</v>
      </c>
      <c r="H534" s="391">
        <v>16.15</v>
      </c>
      <c r="I534" s="391">
        <v>1.42</v>
      </c>
      <c r="J534" s="391">
        <v>0.97</v>
      </c>
      <c r="K534" s="391">
        <v>1167565.0</v>
      </c>
      <c r="L534" s="391">
        <v>8.2241087E7</v>
      </c>
      <c r="M534" s="391">
        <v>6.3496</v>
      </c>
      <c r="N534" s="38">
        <v>39.3146</v>
      </c>
    </row>
    <row r="535">
      <c r="A535" s="389" t="s">
        <v>1969</v>
      </c>
      <c r="B535" s="389" t="s">
        <v>137</v>
      </c>
      <c r="C535" s="389" t="s">
        <v>12</v>
      </c>
      <c r="D535" s="389" t="s">
        <v>1968</v>
      </c>
      <c r="E535" s="390" t="s">
        <v>368</v>
      </c>
      <c r="F535" s="391">
        <v>183881.0</v>
      </c>
      <c r="G535" s="391">
        <v>15715.0</v>
      </c>
      <c r="H535" s="391">
        <v>8.55</v>
      </c>
      <c r="I535" s="391">
        <v>0.72</v>
      </c>
      <c r="J535" s="391">
        <v>0.72</v>
      </c>
      <c r="K535" s="391">
        <v>594585.0</v>
      </c>
      <c r="L535" s="391">
        <v>8.2241087E7</v>
      </c>
      <c r="M535" s="391">
        <v>3.2335</v>
      </c>
      <c r="N535" s="38">
        <v>37.8355</v>
      </c>
    </row>
    <row r="536">
      <c r="A536" s="389" t="s">
        <v>1969</v>
      </c>
      <c r="B536" s="389" t="s">
        <v>137</v>
      </c>
      <c r="C536" s="389" t="s">
        <v>12</v>
      </c>
      <c r="D536" s="389" t="s">
        <v>1968</v>
      </c>
      <c r="E536" s="390" t="s">
        <v>27</v>
      </c>
      <c r="F536" s="391">
        <v>183881.0</v>
      </c>
      <c r="G536" s="391">
        <v>12960.0</v>
      </c>
      <c r="H536" s="391">
        <v>7.05</v>
      </c>
      <c r="I536" s="391">
        <v>0.62</v>
      </c>
      <c r="J536" s="391">
        <v>0.48</v>
      </c>
      <c r="K536" s="391">
        <v>510860.0</v>
      </c>
      <c r="L536" s="391">
        <v>8.2241087E7</v>
      </c>
      <c r="M536" s="391">
        <v>2.7782</v>
      </c>
      <c r="N536" s="38">
        <v>39.4182</v>
      </c>
    </row>
    <row r="537">
      <c r="A537" s="389" t="s">
        <v>1969</v>
      </c>
      <c r="B537" s="389" t="s">
        <v>137</v>
      </c>
      <c r="C537" s="389" t="s">
        <v>12</v>
      </c>
      <c r="D537" s="389" t="s">
        <v>1968</v>
      </c>
      <c r="E537" s="390" t="s">
        <v>369</v>
      </c>
      <c r="F537" s="391">
        <v>183881.0</v>
      </c>
      <c r="G537" s="391">
        <v>8686.0</v>
      </c>
      <c r="H537" s="391">
        <v>4.72</v>
      </c>
      <c r="I537" s="391">
        <v>0.36</v>
      </c>
      <c r="J537" s="391">
        <v>0.67</v>
      </c>
      <c r="K537" s="391">
        <v>299147.0</v>
      </c>
      <c r="L537" s="391">
        <v>8.2241087E7</v>
      </c>
      <c r="M537" s="391">
        <v>1.6269</v>
      </c>
      <c r="N537" s="38">
        <v>34.4401</v>
      </c>
    </row>
    <row r="538">
      <c r="A538" s="389" t="s">
        <v>1969</v>
      </c>
      <c r="B538" s="389" t="s">
        <v>137</v>
      </c>
      <c r="C538" s="389" t="s">
        <v>12</v>
      </c>
      <c r="D538" s="389" t="s">
        <v>1968</v>
      </c>
      <c r="E538" s="390" t="s">
        <v>163</v>
      </c>
      <c r="F538" s="391">
        <v>183881.0</v>
      </c>
      <c r="G538" s="391">
        <v>5690.0</v>
      </c>
      <c r="H538" s="391">
        <v>3.09</v>
      </c>
      <c r="I538" s="391">
        <v>0.22</v>
      </c>
      <c r="J538" s="391">
        <v>0.23</v>
      </c>
      <c r="K538" s="391">
        <v>179830.0</v>
      </c>
      <c r="L538" s="391">
        <v>8.2241087E7</v>
      </c>
      <c r="M538" s="391">
        <v>0.978</v>
      </c>
      <c r="N538" s="38">
        <v>31.6046</v>
      </c>
    </row>
    <row r="539">
      <c r="A539" s="389" t="s">
        <v>1969</v>
      </c>
      <c r="B539" s="389" t="s">
        <v>137</v>
      </c>
      <c r="C539" s="389" t="s">
        <v>12</v>
      </c>
      <c r="D539" s="389" t="s">
        <v>1968</v>
      </c>
      <c r="E539" s="390" t="s">
        <v>30</v>
      </c>
      <c r="F539" s="391">
        <v>183881.0</v>
      </c>
      <c r="G539" s="391">
        <v>4706.0</v>
      </c>
      <c r="H539" s="391">
        <v>2.56</v>
      </c>
      <c r="I539" s="391">
        <v>0.19</v>
      </c>
      <c r="J539" s="391">
        <v>0.19</v>
      </c>
      <c r="K539" s="391">
        <v>153570.0</v>
      </c>
      <c r="L539" s="391">
        <v>8.2241087E7</v>
      </c>
      <c r="M539" s="391">
        <v>0.8352</v>
      </c>
      <c r="N539" s="38">
        <v>32.6328</v>
      </c>
    </row>
    <row r="540">
      <c r="A540" s="389" t="s">
        <v>1969</v>
      </c>
      <c r="B540" s="389" t="s">
        <v>137</v>
      </c>
      <c r="C540" s="389" t="s">
        <v>12</v>
      </c>
      <c r="D540" s="389" t="s">
        <v>1968</v>
      </c>
      <c r="E540" s="390" t="s">
        <v>108</v>
      </c>
      <c r="F540" s="391">
        <v>183881.0</v>
      </c>
      <c r="G540" s="391">
        <v>1449.0</v>
      </c>
      <c r="H540" s="391">
        <v>0.79</v>
      </c>
      <c r="I540" s="391">
        <v>0.03</v>
      </c>
      <c r="J540" s="391">
        <v>0.04</v>
      </c>
      <c r="K540" s="391">
        <v>24840.0</v>
      </c>
      <c r="L540" s="391">
        <v>8.2241087E7</v>
      </c>
      <c r="M540" s="391">
        <v>0.1351</v>
      </c>
      <c r="N540" s="38">
        <v>17.1429</v>
      </c>
    </row>
    <row r="541">
      <c r="A541" s="389" t="s">
        <v>1969</v>
      </c>
      <c r="B541" s="389" t="s">
        <v>137</v>
      </c>
      <c r="C541" s="389" t="s">
        <v>12</v>
      </c>
      <c r="D541" s="389" t="s">
        <v>1968</v>
      </c>
      <c r="E541" s="390" t="s">
        <v>45</v>
      </c>
      <c r="F541" s="391">
        <v>183881.0</v>
      </c>
      <c r="G541" s="391">
        <v>524.0</v>
      </c>
      <c r="H541" s="391">
        <v>0.28</v>
      </c>
      <c r="I541" s="391">
        <v>0.03</v>
      </c>
      <c r="J541" s="391">
        <v>0.07</v>
      </c>
      <c r="K541" s="391">
        <v>26540.0</v>
      </c>
      <c r="L541" s="391">
        <v>8.2241087E7</v>
      </c>
      <c r="M541" s="391">
        <v>0.1443</v>
      </c>
      <c r="N541" s="38">
        <v>50.6489</v>
      </c>
    </row>
    <row r="542">
      <c r="A542" s="389" t="s">
        <v>1969</v>
      </c>
      <c r="B542" s="389" t="s">
        <v>137</v>
      </c>
      <c r="C542" s="389" t="s">
        <v>12</v>
      </c>
      <c r="D542" s="389" t="s">
        <v>1968</v>
      </c>
      <c r="E542" s="390" t="s">
        <v>373</v>
      </c>
      <c r="F542" s="391">
        <v>183881.0</v>
      </c>
      <c r="G542" s="391">
        <v>2.0</v>
      </c>
      <c r="H542" s="391">
        <v>0.0</v>
      </c>
      <c r="I542" s="391">
        <v>0.0</v>
      </c>
      <c r="J542" s="391">
        <v>0.0</v>
      </c>
      <c r="K542" s="391">
        <v>120.0</v>
      </c>
      <c r="L542" s="391">
        <v>8.2241087E7</v>
      </c>
      <c r="M542" s="391">
        <v>7.0E-4</v>
      </c>
      <c r="N542" s="38">
        <v>60.0</v>
      </c>
    </row>
    <row r="543">
      <c r="A543" s="389" t="s">
        <v>1969</v>
      </c>
      <c r="B543" s="389" t="s">
        <v>137</v>
      </c>
      <c r="C543" s="389" t="s">
        <v>12</v>
      </c>
      <c r="D543" s="389" t="s">
        <v>1968</v>
      </c>
      <c r="E543" s="390" t="s">
        <v>41</v>
      </c>
      <c r="F543" s="391">
        <v>183881.0</v>
      </c>
      <c r="G543" s="391">
        <v>2.0</v>
      </c>
      <c r="H543" s="391">
        <v>0.0</v>
      </c>
      <c r="I543" s="391">
        <v>0.0</v>
      </c>
      <c r="J543" s="391">
        <v>0.0</v>
      </c>
      <c r="K543" s="391">
        <v>30.0</v>
      </c>
      <c r="L543" s="391">
        <v>8.2241087E7</v>
      </c>
      <c r="M543" s="391">
        <v>2.0E-4</v>
      </c>
      <c r="N543" s="38">
        <v>15.0</v>
      </c>
    </row>
    <row r="544">
      <c r="A544" s="389" t="s">
        <v>1969</v>
      </c>
      <c r="B544" s="389" t="s">
        <v>137</v>
      </c>
      <c r="C544" s="389" t="s">
        <v>12</v>
      </c>
      <c r="D544" s="389" t="s">
        <v>1968</v>
      </c>
      <c r="E544" s="390" t="s">
        <v>372</v>
      </c>
      <c r="F544" s="391">
        <v>183881.0</v>
      </c>
      <c r="G544" s="391">
        <v>1.0</v>
      </c>
      <c r="H544" s="391">
        <v>0.0</v>
      </c>
      <c r="I544" s="391">
        <v>0.0</v>
      </c>
      <c r="J544" s="391">
        <v>0.0</v>
      </c>
      <c r="K544" s="391">
        <v>15.0</v>
      </c>
      <c r="L544" s="391">
        <v>8.2241087E7</v>
      </c>
      <c r="M544" s="391">
        <v>1.0E-4</v>
      </c>
      <c r="N544" s="38">
        <v>15.0</v>
      </c>
    </row>
    <row r="545">
      <c r="A545" s="389" t="s">
        <v>1969</v>
      </c>
      <c r="B545" s="389" t="s">
        <v>137</v>
      </c>
      <c r="C545" s="389" t="s">
        <v>12</v>
      </c>
      <c r="D545" s="389" t="s">
        <v>1968</v>
      </c>
      <c r="E545" s="390" t="s">
        <v>35</v>
      </c>
      <c r="F545" s="391">
        <v>183881.0</v>
      </c>
      <c r="G545" s="391">
        <v>3.0</v>
      </c>
      <c r="H545" s="391">
        <v>0.0</v>
      </c>
      <c r="I545" s="391">
        <v>0.0</v>
      </c>
      <c r="J545" s="391">
        <v>0.0</v>
      </c>
      <c r="K545" s="391">
        <v>195.0</v>
      </c>
      <c r="L545" s="391">
        <v>8.2241087E7</v>
      </c>
      <c r="M545" s="391">
        <v>0.0011</v>
      </c>
      <c r="N545" s="38">
        <v>65.0</v>
      </c>
    </row>
    <row r="546">
      <c r="A546" s="389" t="s">
        <v>1969</v>
      </c>
      <c r="B546" s="389" t="s">
        <v>137</v>
      </c>
      <c r="C546" s="389" t="s">
        <v>12</v>
      </c>
      <c r="D546" s="389" t="s">
        <v>1968</v>
      </c>
      <c r="E546" s="390" t="s">
        <v>37</v>
      </c>
      <c r="F546" s="391">
        <v>183881.0</v>
      </c>
      <c r="G546" s="391">
        <v>4.0</v>
      </c>
      <c r="H546" s="391">
        <v>0.0</v>
      </c>
      <c r="I546" s="391">
        <v>0.0</v>
      </c>
      <c r="J546" s="391">
        <v>0.0</v>
      </c>
      <c r="K546" s="391">
        <v>100.0</v>
      </c>
      <c r="L546" s="391">
        <v>8.2241087E7</v>
      </c>
      <c r="M546" s="391">
        <v>5.0E-4</v>
      </c>
      <c r="N546" s="38">
        <v>25.0</v>
      </c>
    </row>
    <row r="547">
      <c r="A547" s="389" t="s">
        <v>1969</v>
      </c>
      <c r="B547" s="389" t="s">
        <v>339</v>
      </c>
      <c r="C547" s="389" t="s">
        <v>8</v>
      </c>
      <c r="D547" s="389" t="s">
        <v>591</v>
      </c>
      <c r="E547" s="390" t="s">
        <v>369</v>
      </c>
      <c r="F547" s="391">
        <v>96943.0</v>
      </c>
      <c r="G547" s="391">
        <v>83158.0</v>
      </c>
      <c r="H547" s="391">
        <v>85.78</v>
      </c>
      <c r="I547" s="391">
        <v>49.16</v>
      </c>
      <c r="J547" s="391">
        <v>56.54</v>
      </c>
      <c r="K547" s="391">
        <v>196608.0</v>
      </c>
      <c r="L547" s="391">
        <v>399911.0</v>
      </c>
      <c r="M547" s="391">
        <v>2.0281</v>
      </c>
      <c r="N547" s="38">
        <v>2.3643</v>
      </c>
    </row>
    <row r="548">
      <c r="A548" s="389" t="s">
        <v>1969</v>
      </c>
      <c r="B548" s="389" t="s">
        <v>339</v>
      </c>
      <c r="C548" s="389" t="s">
        <v>8</v>
      </c>
      <c r="D548" s="389" t="s">
        <v>591</v>
      </c>
      <c r="E548" s="390" t="s">
        <v>371</v>
      </c>
      <c r="F548" s="391">
        <v>96943.0</v>
      </c>
      <c r="G548" s="391">
        <v>28420.0</v>
      </c>
      <c r="H548" s="391">
        <v>29.32</v>
      </c>
      <c r="I548" s="391">
        <v>13.54</v>
      </c>
      <c r="J548" s="391">
        <v>8.93</v>
      </c>
      <c r="K548" s="391">
        <v>54141.0</v>
      </c>
      <c r="L548" s="391">
        <v>399911.0</v>
      </c>
      <c r="M548" s="391">
        <v>0.5585</v>
      </c>
      <c r="N548" s="38">
        <v>1.905</v>
      </c>
    </row>
    <row r="549">
      <c r="A549" s="389" t="s">
        <v>1969</v>
      </c>
      <c r="B549" s="389" t="s">
        <v>339</v>
      </c>
      <c r="C549" s="389" t="s">
        <v>8</v>
      </c>
      <c r="D549" s="389" t="s">
        <v>591</v>
      </c>
      <c r="E549" s="390" t="s">
        <v>370</v>
      </c>
      <c r="F549" s="391">
        <v>96943.0</v>
      </c>
      <c r="G549" s="391">
        <v>43856.0</v>
      </c>
      <c r="H549" s="391">
        <v>45.24</v>
      </c>
      <c r="I549" s="391">
        <v>13.23</v>
      </c>
      <c r="J549" s="391">
        <v>13.02</v>
      </c>
      <c r="K549" s="391">
        <v>52901.0</v>
      </c>
      <c r="L549" s="391">
        <v>399911.0</v>
      </c>
      <c r="M549" s="391">
        <v>0.5457</v>
      </c>
      <c r="N549" s="38">
        <v>1.2062</v>
      </c>
    </row>
    <row r="550">
      <c r="A550" s="389" t="s">
        <v>1969</v>
      </c>
      <c r="B550" s="389" t="s">
        <v>339</v>
      </c>
      <c r="C550" s="389" t="s">
        <v>8</v>
      </c>
      <c r="D550" s="389" t="s">
        <v>591</v>
      </c>
      <c r="E550" s="390" t="s">
        <v>37</v>
      </c>
      <c r="F550" s="391">
        <v>96943.0</v>
      </c>
      <c r="G550" s="391">
        <v>26818.0</v>
      </c>
      <c r="H550" s="391">
        <v>27.66</v>
      </c>
      <c r="I550" s="391">
        <v>12.7</v>
      </c>
      <c r="J550" s="391">
        <v>11.41</v>
      </c>
      <c r="K550" s="391">
        <v>50804.0</v>
      </c>
      <c r="L550" s="391">
        <v>399911.0</v>
      </c>
      <c r="M550" s="391">
        <v>0.5241</v>
      </c>
      <c r="N550" s="38">
        <v>1.8944</v>
      </c>
    </row>
    <row r="551">
      <c r="A551" s="389" t="s">
        <v>1969</v>
      </c>
      <c r="B551" s="389" t="s">
        <v>339</v>
      </c>
      <c r="C551" s="389" t="s">
        <v>8</v>
      </c>
      <c r="D551" s="389" t="s">
        <v>591</v>
      </c>
      <c r="E551" s="390" t="s">
        <v>44</v>
      </c>
      <c r="F551" s="391">
        <v>96943.0</v>
      </c>
      <c r="G551" s="391">
        <v>17355.0</v>
      </c>
      <c r="H551" s="391">
        <v>17.9</v>
      </c>
      <c r="I551" s="391">
        <v>5.71</v>
      </c>
      <c r="J551" s="391">
        <v>4.96</v>
      </c>
      <c r="K551" s="391">
        <v>22836.0</v>
      </c>
      <c r="L551" s="391">
        <v>399911.0</v>
      </c>
      <c r="M551" s="391">
        <v>0.2356</v>
      </c>
      <c r="N551" s="38">
        <v>1.3158</v>
      </c>
    </row>
    <row r="552">
      <c r="A552" s="389" t="s">
        <v>1969</v>
      </c>
      <c r="B552" s="389" t="s">
        <v>339</v>
      </c>
      <c r="C552" s="389" t="s">
        <v>8</v>
      </c>
      <c r="D552" s="389" t="s">
        <v>591</v>
      </c>
      <c r="E552" s="390" t="s">
        <v>365</v>
      </c>
      <c r="F552" s="391">
        <v>96943.0</v>
      </c>
      <c r="G552" s="391">
        <v>7663.0</v>
      </c>
      <c r="H552" s="391">
        <v>7.9</v>
      </c>
      <c r="I552" s="391">
        <v>1.95</v>
      </c>
      <c r="J552" s="391">
        <v>1.96</v>
      </c>
      <c r="K552" s="391">
        <v>7784.0</v>
      </c>
      <c r="L552" s="391">
        <v>399911.0</v>
      </c>
      <c r="M552" s="391">
        <v>0.0803</v>
      </c>
      <c r="N552" s="38">
        <v>1.0158</v>
      </c>
    </row>
    <row r="553">
      <c r="A553" s="389" t="s">
        <v>1969</v>
      </c>
      <c r="B553" s="389" t="s">
        <v>339</v>
      </c>
      <c r="C553" s="389" t="s">
        <v>8</v>
      </c>
      <c r="D553" s="389" t="s">
        <v>591</v>
      </c>
      <c r="E553" s="390" t="s">
        <v>45</v>
      </c>
      <c r="F553" s="391">
        <v>96943.0</v>
      </c>
      <c r="G553" s="391">
        <v>6583.0</v>
      </c>
      <c r="H553" s="391">
        <v>6.79</v>
      </c>
      <c r="I553" s="391">
        <v>1.85</v>
      </c>
      <c r="J553" s="391">
        <v>1.37</v>
      </c>
      <c r="K553" s="391">
        <v>7403.0</v>
      </c>
      <c r="L553" s="391">
        <v>399911.0</v>
      </c>
      <c r="M553" s="391">
        <v>0.0764</v>
      </c>
      <c r="N553" s="38">
        <v>1.1246</v>
      </c>
    </row>
    <row r="554">
      <c r="A554" s="389" t="s">
        <v>1969</v>
      </c>
      <c r="B554" s="389" t="s">
        <v>339</v>
      </c>
      <c r="C554" s="389" t="s">
        <v>8</v>
      </c>
      <c r="D554" s="389" t="s">
        <v>591</v>
      </c>
      <c r="E554" s="390" t="s">
        <v>39</v>
      </c>
      <c r="F554" s="391">
        <v>96943.0</v>
      </c>
      <c r="G554" s="391">
        <v>3429.0</v>
      </c>
      <c r="H554" s="391">
        <v>3.54</v>
      </c>
      <c r="I554" s="391">
        <v>0.97</v>
      </c>
      <c r="J554" s="391">
        <v>0.94</v>
      </c>
      <c r="K554" s="391">
        <v>3883.0</v>
      </c>
      <c r="L554" s="391">
        <v>399911.0</v>
      </c>
      <c r="M554" s="391">
        <v>0.0401</v>
      </c>
      <c r="N554" s="38">
        <v>1.1324</v>
      </c>
    </row>
    <row r="555">
      <c r="A555" s="389" t="s">
        <v>1969</v>
      </c>
      <c r="B555" s="389" t="s">
        <v>339</v>
      </c>
      <c r="C555" s="389" t="s">
        <v>8</v>
      </c>
      <c r="D555" s="389" t="s">
        <v>591</v>
      </c>
      <c r="E555" s="390" t="s">
        <v>108</v>
      </c>
      <c r="F555" s="391">
        <v>96943.0</v>
      </c>
      <c r="G555" s="391">
        <v>2699.0</v>
      </c>
      <c r="H555" s="391">
        <v>2.78</v>
      </c>
      <c r="I555" s="391">
        <v>0.78</v>
      </c>
      <c r="J555" s="391">
        <v>0.75</v>
      </c>
      <c r="K555" s="391">
        <v>3109.0</v>
      </c>
      <c r="L555" s="391">
        <v>399911.0</v>
      </c>
      <c r="M555" s="391">
        <v>0.0321</v>
      </c>
      <c r="N555" s="38">
        <v>1.1519</v>
      </c>
    </row>
    <row r="556">
      <c r="A556" s="389" t="s">
        <v>1969</v>
      </c>
      <c r="B556" s="389" t="s">
        <v>339</v>
      </c>
      <c r="C556" s="389" t="s">
        <v>8</v>
      </c>
      <c r="D556" s="389" t="s">
        <v>591</v>
      </c>
      <c r="E556" s="390" t="s">
        <v>38</v>
      </c>
      <c r="F556" s="391">
        <v>96943.0</v>
      </c>
      <c r="G556" s="391">
        <v>404.0</v>
      </c>
      <c r="H556" s="391">
        <v>0.42</v>
      </c>
      <c r="I556" s="391">
        <v>0.1</v>
      </c>
      <c r="J556" s="391">
        <v>0.11</v>
      </c>
      <c r="K556" s="391">
        <v>410.0</v>
      </c>
      <c r="L556" s="391">
        <v>399911.0</v>
      </c>
      <c r="M556" s="391">
        <v>0.0042</v>
      </c>
      <c r="N556" s="38">
        <v>1.0149</v>
      </c>
    </row>
    <row r="557">
      <c r="A557" s="389" t="s">
        <v>1969</v>
      </c>
      <c r="B557" s="389" t="s">
        <v>339</v>
      </c>
      <c r="C557" s="389" t="s">
        <v>8</v>
      </c>
      <c r="D557" s="389" t="s">
        <v>591</v>
      </c>
      <c r="E557" s="390" t="s">
        <v>367</v>
      </c>
      <c r="F557" s="391">
        <v>96943.0</v>
      </c>
      <c r="G557" s="391">
        <v>1.0</v>
      </c>
      <c r="H557" s="391">
        <v>0.0</v>
      </c>
      <c r="I557" s="391">
        <v>0.0</v>
      </c>
      <c r="J557" s="391">
        <v>0.0</v>
      </c>
      <c r="K557" s="391">
        <v>2.0</v>
      </c>
      <c r="L557" s="391">
        <v>399911.0</v>
      </c>
      <c r="M557" s="391">
        <v>0.0</v>
      </c>
      <c r="N557" s="38">
        <v>2.0</v>
      </c>
    </row>
    <row r="558">
      <c r="A558" s="389" t="s">
        <v>1969</v>
      </c>
      <c r="B558" s="389" t="s">
        <v>339</v>
      </c>
      <c r="C558" s="389" t="s">
        <v>8</v>
      </c>
      <c r="D558" s="389" t="s">
        <v>591</v>
      </c>
      <c r="E558" s="390" t="s">
        <v>163</v>
      </c>
      <c r="F558" s="391">
        <v>96943.0</v>
      </c>
      <c r="G558" s="391">
        <v>2.0</v>
      </c>
      <c r="H558" s="391">
        <v>0.0</v>
      </c>
      <c r="I558" s="391">
        <v>0.0</v>
      </c>
      <c r="J558" s="391">
        <v>0.0</v>
      </c>
      <c r="K558" s="391">
        <v>2.0</v>
      </c>
      <c r="L558" s="391">
        <v>399911.0</v>
      </c>
      <c r="M558" s="391">
        <v>0.0</v>
      </c>
      <c r="N558" s="38">
        <v>1.0</v>
      </c>
    </row>
    <row r="559">
      <c r="A559" s="389" t="s">
        <v>1969</v>
      </c>
      <c r="B559" s="389" t="s">
        <v>339</v>
      </c>
      <c r="C559" s="389" t="s">
        <v>8</v>
      </c>
      <c r="D559" s="389" t="s">
        <v>591</v>
      </c>
      <c r="E559" s="390" t="s">
        <v>368</v>
      </c>
      <c r="F559" s="391">
        <v>96943.0</v>
      </c>
      <c r="G559" s="391">
        <v>6.0</v>
      </c>
      <c r="H559" s="391">
        <v>0.01</v>
      </c>
      <c r="I559" s="391">
        <v>0.0</v>
      </c>
      <c r="J559" s="391">
        <v>0.0</v>
      </c>
      <c r="K559" s="391">
        <v>7.0</v>
      </c>
      <c r="L559" s="391">
        <v>399911.0</v>
      </c>
      <c r="M559" s="391">
        <v>1.0E-4</v>
      </c>
      <c r="N559" s="38">
        <v>1.1667</v>
      </c>
    </row>
    <row r="560">
      <c r="A560" s="389" t="s">
        <v>1969</v>
      </c>
      <c r="B560" s="389" t="s">
        <v>339</v>
      </c>
      <c r="C560" s="389" t="s">
        <v>8</v>
      </c>
      <c r="D560" s="389" t="s">
        <v>591</v>
      </c>
      <c r="E560" s="390" t="s">
        <v>27</v>
      </c>
      <c r="F560" s="391">
        <v>96943.0</v>
      </c>
      <c r="G560" s="391">
        <v>4.0</v>
      </c>
      <c r="H560" s="391">
        <v>0.0</v>
      </c>
      <c r="I560" s="391">
        <v>0.0</v>
      </c>
      <c r="J560" s="391">
        <v>0.0</v>
      </c>
      <c r="K560" s="391">
        <v>4.0</v>
      </c>
      <c r="L560" s="391">
        <v>399911.0</v>
      </c>
      <c r="M560" s="391">
        <v>0.0</v>
      </c>
      <c r="N560" s="38">
        <v>1.0</v>
      </c>
    </row>
    <row r="561">
      <c r="A561" s="389" t="s">
        <v>1969</v>
      </c>
      <c r="B561" s="389" t="s">
        <v>339</v>
      </c>
      <c r="C561" s="389" t="s">
        <v>8</v>
      </c>
      <c r="D561" s="389" t="s">
        <v>591</v>
      </c>
      <c r="E561" s="390" t="s">
        <v>284</v>
      </c>
      <c r="F561" s="391">
        <v>96943.0</v>
      </c>
      <c r="G561" s="391">
        <v>1.0</v>
      </c>
      <c r="H561" s="391">
        <v>0.0</v>
      </c>
      <c r="I561" s="391">
        <v>0.0</v>
      </c>
      <c r="J561" s="391">
        <v>0.0</v>
      </c>
      <c r="K561" s="391">
        <v>1.0</v>
      </c>
      <c r="L561" s="391">
        <v>399911.0</v>
      </c>
      <c r="M561" s="391">
        <v>0.0</v>
      </c>
      <c r="N561" s="38">
        <v>1.0</v>
      </c>
    </row>
    <row r="562">
      <c r="A562" s="389" t="s">
        <v>1969</v>
      </c>
      <c r="B562" s="389" t="s">
        <v>339</v>
      </c>
      <c r="C562" s="389" t="s">
        <v>8</v>
      </c>
      <c r="D562" s="389" t="s">
        <v>591</v>
      </c>
      <c r="E562" s="390" t="s">
        <v>372</v>
      </c>
      <c r="F562" s="391">
        <v>96943.0</v>
      </c>
      <c r="G562" s="391">
        <v>7.0</v>
      </c>
      <c r="H562" s="391">
        <v>0.01</v>
      </c>
      <c r="I562" s="391">
        <v>0.0</v>
      </c>
      <c r="J562" s="391">
        <v>0.01</v>
      </c>
      <c r="K562" s="391">
        <v>16.0</v>
      </c>
      <c r="L562" s="391">
        <v>399911.0</v>
      </c>
      <c r="M562" s="391">
        <v>2.0E-4</v>
      </c>
      <c r="N562" s="38">
        <v>2.2857</v>
      </c>
    </row>
    <row r="563">
      <c r="A563" s="389" t="s">
        <v>1969</v>
      </c>
      <c r="B563" s="389" t="s">
        <v>339</v>
      </c>
      <c r="C563" s="389" t="s">
        <v>7</v>
      </c>
      <c r="D563" s="389" t="s">
        <v>591</v>
      </c>
      <c r="E563" s="390" t="s">
        <v>371</v>
      </c>
      <c r="F563" s="391">
        <v>112677.0</v>
      </c>
      <c r="G563" s="391">
        <v>90056.0</v>
      </c>
      <c r="H563" s="391">
        <v>79.92</v>
      </c>
      <c r="I563" s="391">
        <v>26.44</v>
      </c>
      <c r="J563" s="391">
        <v>30.12</v>
      </c>
      <c r="K563" s="391">
        <v>232392.0</v>
      </c>
      <c r="L563" s="391">
        <v>878864.0</v>
      </c>
      <c r="M563" s="391">
        <v>2.0625</v>
      </c>
      <c r="N563" s="38">
        <v>2.5805</v>
      </c>
    </row>
    <row r="564">
      <c r="A564" s="389" t="s">
        <v>1969</v>
      </c>
      <c r="B564" s="389" t="s">
        <v>339</v>
      </c>
      <c r="C564" s="389" t="s">
        <v>7</v>
      </c>
      <c r="D564" s="389" t="s">
        <v>591</v>
      </c>
      <c r="E564" s="390" t="s">
        <v>370</v>
      </c>
      <c r="F564" s="391">
        <v>112677.0</v>
      </c>
      <c r="G564" s="391">
        <v>73677.0</v>
      </c>
      <c r="H564" s="391">
        <v>65.39</v>
      </c>
      <c r="I564" s="391">
        <v>24.45</v>
      </c>
      <c r="J564" s="391">
        <v>20.79</v>
      </c>
      <c r="K564" s="391">
        <v>214889.0</v>
      </c>
      <c r="L564" s="391">
        <v>878864.0</v>
      </c>
      <c r="M564" s="391">
        <v>1.9071</v>
      </c>
      <c r="N564" s="38">
        <v>2.9166</v>
      </c>
    </row>
    <row r="565">
      <c r="A565" s="389" t="s">
        <v>1969</v>
      </c>
      <c r="B565" s="389" t="s">
        <v>339</v>
      </c>
      <c r="C565" s="389" t="s">
        <v>7</v>
      </c>
      <c r="D565" s="389" t="s">
        <v>591</v>
      </c>
      <c r="E565" s="390" t="s">
        <v>369</v>
      </c>
      <c r="F565" s="391">
        <v>112677.0</v>
      </c>
      <c r="G565" s="391">
        <v>83269.0</v>
      </c>
      <c r="H565" s="391">
        <v>73.9</v>
      </c>
      <c r="I565" s="391">
        <v>22.37</v>
      </c>
      <c r="J565" s="391">
        <v>25.07</v>
      </c>
      <c r="K565" s="391">
        <v>196560.0</v>
      </c>
      <c r="L565" s="391">
        <v>878864.0</v>
      </c>
      <c r="M565" s="391">
        <v>1.7445</v>
      </c>
      <c r="N565" s="38">
        <v>2.3605</v>
      </c>
    </row>
    <row r="566">
      <c r="A566" s="389" t="s">
        <v>1969</v>
      </c>
      <c r="B566" s="389" t="s">
        <v>339</v>
      </c>
      <c r="C566" s="389" t="s">
        <v>7</v>
      </c>
      <c r="D566" s="389" t="s">
        <v>591</v>
      </c>
      <c r="E566" s="390" t="s">
        <v>368</v>
      </c>
      <c r="F566" s="391">
        <v>112677.0</v>
      </c>
      <c r="G566" s="391">
        <v>59230.0</v>
      </c>
      <c r="H566" s="391">
        <v>52.57</v>
      </c>
      <c r="I566" s="391">
        <v>10.99</v>
      </c>
      <c r="J566" s="391">
        <v>10.38</v>
      </c>
      <c r="K566" s="391">
        <v>96570.0</v>
      </c>
      <c r="L566" s="391">
        <v>878864.0</v>
      </c>
      <c r="M566" s="391">
        <v>0.8571</v>
      </c>
      <c r="N566" s="38">
        <v>1.6304</v>
      </c>
    </row>
    <row r="567">
      <c r="A567" s="389" t="s">
        <v>1969</v>
      </c>
      <c r="B567" s="389" t="s">
        <v>339</v>
      </c>
      <c r="C567" s="389" t="s">
        <v>7</v>
      </c>
      <c r="D567" s="389" t="s">
        <v>591</v>
      </c>
      <c r="E567" s="390" t="s">
        <v>163</v>
      </c>
      <c r="F567" s="391">
        <v>112677.0</v>
      </c>
      <c r="G567" s="391">
        <v>29865.0</v>
      </c>
      <c r="H567" s="391">
        <v>26.5</v>
      </c>
      <c r="I567" s="391">
        <v>3.5</v>
      </c>
      <c r="J567" s="391">
        <v>3.43</v>
      </c>
      <c r="K567" s="391">
        <v>30804.0</v>
      </c>
      <c r="L567" s="391">
        <v>878864.0</v>
      </c>
      <c r="M567" s="391">
        <v>0.2734</v>
      </c>
      <c r="N567" s="38">
        <v>1.0314</v>
      </c>
    </row>
    <row r="568">
      <c r="A568" s="389" t="s">
        <v>1969</v>
      </c>
      <c r="B568" s="389" t="s">
        <v>339</v>
      </c>
      <c r="C568" s="389" t="s">
        <v>7</v>
      </c>
      <c r="D568" s="389" t="s">
        <v>591</v>
      </c>
      <c r="E568" s="390" t="s">
        <v>39</v>
      </c>
      <c r="F568" s="391">
        <v>112677.0</v>
      </c>
      <c r="G568" s="391">
        <v>21996.0</v>
      </c>
      <c r="H568" s="391">
        <v>19.52</v>
      </c>
      <c r="I568" s="391">
        <v>3.46</v>
      </c>
      <c r="J568" s="391">
        <v>2.72</v>
      </c>
      <c r="K568" s="391">
        <v>30430.0</v>
      </c>
      <c r="L568" s="391">
        <v>878864.0</v>
      </c>
      <c r="M568" s="391">
        <v>0.2701</v>
      </c>
      <c r="N568" s="38">
        <v>1.3834</v>
      </c>
    </row>
    <row r="569">
      <c r="A569" s="389" t="s">
        <v>1969</v>
      </c>
      <c r="B569" s="389" t="s">
        <v>339</v>
      </c>
      <c r="C569" s="389" t="s">
        <v>7</v>
      </c>
      <c r="D569" s="389" t="s">
        <v>591</v>
      </c>
      <c r="E569" s="390" t="s">
        <v>44</v>
      </c>
      <c r="F569" s="391">
        <v>112677.0</v>
      </c>
      <c r="G569" s="391">
        <v>17355.0</v>
      </c>
      <c r="H569" s="391">
        <v>15.4</v>
      </c>
      <c r="I569" s="391">
        <v>2.6</v>
      </c>
      <c r="J569" s="391">
        <v>2.25</v>
      </c>
      <c r="K569" s="391">
        <v>22836.0</v>
      </c>
      <c r="L569" s="391">
        <v>878864.0</v>
      </c>
      <c r="M569" s="391">
        <v>0.2027</v>
      </c>
      <c r="N569" s="38">
        <v>1.3158</v>
      </c>
    </row>
    <row r="570">
      <c r="A570" s="389" t="s">
        <v>1969</v>
      </c>
      <c r="B570" s="389" t="s">
        <v>339</v>
      </c>
      <c r="C570" s="389" t="s">
        <v>7</v>
      </c>
      <c r="D570" s="389" t="s">
        <v>591</v>
      </c>
      <c r="E570" s="390" t="s">
        <v>37</v>
      </c>
      <c r="F570" s="391">
        <v>112677.0</v>
      </c>
      <c r="G570" s="391">
        <v>15217.0</v>
      </c>
      <c r="H570" s="391">
        <v>13.5</v>
      </c>
      <c r="I570" s="391">
        <v>2.49</v>
      </c>
      <c r="J570" s="391">
        <v>2.31</v>
      </c>
      <c r="K570" s="391">
        <v>21861.0</v>
      </c>
      <c r="L570" s="391">
        <v>878864.0</v>
      </c>
      <c r="M570" s="391">
        <v>0.194</v>
      </c>
      <c r="N570" s="38">
        <v>1.4366</v>
      </c>
    </row>
    <row r="571">
      <c r="A571" s="389" t="s">
        <v>1969</v>
      </c>
      <c r="B571" s="389" t="s">
        <v>339</v>
      </c>
      <c r="C571" s="389" t="s">
        <v>7</v>
      </c>
      <c r="D571" s="389" t="s">
        <v>591</v>
      </c>
      <c r="E571" s="390" t="s">
        <v>365</v>
      </c>
      <c r="F571" s="391">
        <v>112677.0</v>
      </c>
      <c r="G571" s="391">
        <v>9564.0</v>
      </c>
      <c r="H571" s="391">
        <v>8.49</v>
      </c>
      <c r="I571" s="391">
        <v>1.16</v>
      </c>
      <c r="J571" s="391">
        <v>1.01</v>
      </c>
      <c r="K571" s="391">
        <v>10230.0</v>
      </c>
      <c r="L571" s="391">
        <v>878864.0</v>
      </c>
      <c r="M571" s="391">
        <v>0.0908</v>
      </c>
      <c r="N571" s="38">
        <v>1.0696</v>
      </c>
    </row>
    <row r="572">
      <c r="A572" s="389" t="s">
        <v>1969</v>
      </c>
      <c r="B572" s="389" t="s">
        <v>339</v>
      </c>
      <c r="C572" s="389" t="s">
        <v>7</v>
      </c>
      <c r="D572" s="389" t="s">
        <v>591</v>
      </c>
      <c r="E572" s="390" t="s">
        <v>30</v>
      </c>
      <c r="F572" s="391">
        <v>112677.0</v>
      </c>
      <c r="G572" s="391">
        <v>8434.0</v>
      </c>
      <c r="H572" s="391">
        <v>7.49</v>
      </c>
      <c r="I572" s="391">
        <v>0.99</v>
      </c>
      <c r="J572" s="391">
        <v>0.82</v>
      </c>
      <c r="K572" s="391">
        <v>8673.0</v>
      </c>
      <c r="L572" s="391">
        <v>878864.0</v>
      </c>
      <c r="M572" s="391">
        <v>0.077</v>
      </c>
      <c r="N572" s="38">
        <v>1.0283</v>
      </c>
    </row>
    <row r="573">
      <c r="A573" s="389" t="s">
        <v>1969</v>
      </c>
      <c r="B573" s="389" t="s">
        <v>339</v>
      </c>
      <c r="C573" s="389" t="s">
        <v>7</v>
      </c>
      <c r="D573" s="389" t="s">
        <v>591</v>
      </c>
      <c r="E573" s="390" t="s">
        <v>367</v>
      </c>
      <c r="F573" s="391">
        <v>112677.0</v>
      </c>
      <c r="G573" s="391">
        <v>5189.0</v>
      </c>
      <c r="H573" s="391">
        <v>4.61</v>
      </c>
      <c r="I573" s="391">
        <v>0.69</v>
      </c>
      <c r="J573" s="391">
        <v>0.48</v>
      </c>
      <c r="K573" s="391">
        <v>6081.0</v>
      </c>
      <c r="L573" s="391">
        <v>878864.0</v>
      </c>
      <c r="M573" s="391">
        <v>0.054</v>
      </c>
      <c r="N573" s="38">
        <v>1.1719</v>
      </c>
    </row>
    <row r="574">
      <c r="A574" s="389" t="s">
        <v>1969</v>
      </c>
      <c r="B574" s="389" t="s">
        <v>339</v>
      </c>
      <c r="C574" s="389" t="s">
        <v>7</v>
      </c>
      <c r="D574" s="389" t="s">
        <v>591</v>
      </c>
      <c r="E574" s="390" t="s">
        <v>45</v>
      </c>
      <c r="F574" s="391">
        <v>112677.0</v>
      </c>
      <c r="G574" s="391">
        <v>4105.0</v>
      </c>
      <c r="H574" s="391">
        <v>3.64</v>
      </c>
      <c r="I574" s="391">
        <v>0.51</v>
      </c>
      <c r="J574" s="391">
        <v>0.33</v>
      </c>
      <c r="K574" s="391">
        <v>4504.0</v>
      </c>
      <c r="L574" s="391">
        <v>878864.0</v>
      </c>
      <c r="M574" s="391">
        <v>0.04</v>
      </c>
      <c r="N574" s="38">
        <v>1.0972</v>
      </c>
    </row>
    <row r="575">
      <c r="A575" s="389" t="s">
        <v>1969</v>
      </c>
      <c r="B575" s="389" t="s">
        <v>339</v>
      </c>
      <c r="C575" s="389" t="s">
        <v>7</v>
      </c>
      <c r="D575" s="389" t="s">
        <v>591</v>
      </c>
      <c r="E575" s="390" t="s">
        <v>108</v>
      </c>
      <c r="F575" s="391">
        <v>112677.0</v>
      </c>
      <c r="G575" s="391">
        <v>2081.0</v>
      </c>
      <c r="H575" s="391">
        <v>1.85</v>
      </c>
      <c r="I575" s="391">
        <v>0.29</v>
      </c>
      <c r="J575" s="391">
        <v>0.22</v>
      </c>
      <c r="K575" s="391">
        <v>2507.0</v>
      </c>
      <c r="L575" s="391">
        <v>878864.0</v>
      </c>
      <c r="M575" s="391">
        <v>0.0222</v>
      </c>
      <c r="N575" s="38">
        <v>1.2047</v>
      </c>
    </row>
    <row r="576">
      <c r="A576" s="389" t="s">
        <v>1969</v>
      </c>
      <c r="B576" s="389" t="s">
        <v>339</v>
      </c>
      <c r="C576" s="389" t="s">
        <v>7</v>
      </c>
      <c r="D576" s="389" t="s">
        <v>591</v>
      </c>
      <c r="E576" s="390" t="s">
        <v>38</v>
      </c>
      <c r="F576" s="391">
        <v>112677.0</v>
      </c>
      <c r="G576" s="391">
        <v>487.0</v>
      </c>
      <c r="H576" s="391">
        <v>0.43</v>
      </c>
      <c r="I576" s="391">
        <v>0.06</v>
      </c>
      <c r="J576" s="391">
        <v>0.07</v>
      </c>
      <c r="K576" s="391">
        <v>499.0</v>
      </c>
      <c r="L576" s="391">
        <v>878864.0</v>
      </c>
      <c r="M576" s="391">
        <v>0.0044</v>
      </c>
      <c r="N576" s="38">
        <v>1.0246</v>
      </c>
    </row>
    <row r="577">
      <c r="A577" s="389" t="s">
        <v>1969</v>
      </c>
      <c r="B577" s="389" t="s">
        <v>339</v>
      </c>
      <c r="C577" s="389" t="s">
        <v>7</v>
      </c>
      <c r="D577" s="389" t="s">
        <v>591</v>
      </c>
      <c r="E577" s="390" t="s">
        <v>366</v>
      </c>
      <c r="F577" s="391">
        <v>112677.0</v>
      </c>
      <c r="G577" s="391">
        <v>2.0</v>
      </c>
      <c r="H577" s="391">
        <v>0.0</v>
      </c>
      <c r="I577" s="391">
        <v>0.0</v>
      </c>
      <c r="J577" s="391">
        <v>0.0</v>
      </c>
      <c r="K577" s="391">
        <v>3.0</v>
      </c>
      <c r="L577" s="391">
        <v>878864.0</v>
      </c>
      <c r="M577" s="391">
        <v>0.0</v>
      </c>
      <c r="N577" s="38">
        <v>1.5</v>
      </c>
    </row>
    <row r="578">
      <c r="A578" s="389" t="s">
        <v>1969</v>
      </c>
      <c r="B578" s="389" t="s">
        <v>339</v>
      </c>
      <c r="C578" s="389" t="s">
        <v>7</v>
      </c>
      <c r="D578" s="389" t="s">
        <v>591</v>
      </c>
      <c r="E578" s="390" t="s">
        <v>373</v>
      </c>
      <c r="F578" s="391">
        <v>112677.0</v>
      </c>
      <c r="G578" s="391">
        <v>1.0</v>
      </c>
      <c r="H578" s="391">
        <v>0.0</v>
      </c>
      <c r="I578" s="391">
        <v>0.0</v>
      </c>
      <c r="J578" s="391">
        <v>0.0</v>
      </c>
      <c r="K578" s="391">
        <v>2.0</v>
      </c>
      <c r="L578" s="391">
        <v>878864.0</v>
      </c>
      <c r="M578" s="391">
        <v>0.0</v>
      </c>
      <c r="N578" s="38">
        <v>2.0</v>
      </c>
    </row>
    <row r="579">
      <c r="A579" s="389" t="s">
        <v>1969</v>
      </c>
      <c r="B579" s="389" t="s">
        <v>339</v>
      </c>
      <c r="C579" s="389" t="s">
        <v>7</v>
      </c>
      <c r="D579" s="389" t="s">
        <v>591</v>
      </c>
      <c r="E579" s="390" t="s">
        <v>372</v>
      </c>
      <c r="F579" s="391">
        <v>112677.0</v>
      </c>
      <c r="G579" s="391">
        <v>3.0</v>
      </c>
      <c r="H579" s="391">
        <v>0.0</v>
      </c>
      <c r="I579" s="391">
        <v>0.0</v>
      </c>
      <c r="J579" s="391">
        <v>0.0</v>
      </c>
      <c r="K579" s="391">
        <v>8.0</v>
      </c>
      <c r="L579" s="391">
        <v>878864.0</v>
      </c>
      <c r="M579" s="391">
        <v>1.0E-4</v>
      </c>
      <c r="N579" s="38">
        <v>2.6667</v>
      </c>
    </row>
    <row r="580">
      <c r="A580" s="389" t="s">
        <v>1969</v>
      </c>
      <c r="B580" s="389" t="s">
        <v>339</v>
      </c>
      <c r="C580" s="389" t="s">
        <v>7</v>
      </c>
      <c r="D580" s="389" t="s">
        <v>591</v>
      </c>
      <c r="E580" s="390" t="s">
        <v>27</v>
      </c>
      <c r="F580" s="391">
        <v>112677.0</v>
      </c>
      <c r="G580" s="391">
        <v>13.0</v>
      </c>
      <c r="H580" s="391">
        <v>0.01</v>
      </c>
      <c r="I580" s="391">
        <v>0.0</v>
      </c>
      <c r="J580" s="391">
        <v>0.0</v>
      </c>
      <c r="K580" s="391">
        <v>13.0</v>
      </c>
      <c r="L580" s="391">
        <v>878864.0</v>
      </c>
      <c r="M580" s="391">
        <v>1.0E-4</v>
      </c>
      <c r="N580" s="38">
        <v>1.0</v>
      </c>
    </row>
    <row r="581">
      <c r="A581" s="389" t="s">
        <v>1969</v>
      </c>
      <c r="B581" s="389" t="s">
        <v>339</v>
      </c>
      <c r="C581" s="389" t="s">
        <v>7</v>
      </c>
      <c r="D581" s="389" t="s">
        <v>591</v>
      </c>
      <c r="E581" s="390" t="s">
        <v>283</v>
      </c>
      <c r="F581" s="391">
        <v>112677.0</v>
      </c>
      <c r="G581" s="391">
        <v>1.0</v>
      </c>
      <c r="H581" s="391">
        <v>0.0</v>
      </c>
      <c r="I581" s="391">
        <v>0.0</v>
      </c>
      <c r="J581" s="391">
        <v>0.0</v>
      </c>
      <c r="K581" s="391">
        <v>2.0</v>
      </c>
      <c r="L581" s="391">
        <v>878864.0</v>
      </c>
      <c r="M581" s="391">
        <v>0.0</v>
      </c>
      <c r="N581" s="38">
        <v>2.0</v>
      </c>
    </row>
    <row r="582">
      <c r="A582" s="389" t="s">
        <v>1969</v>
      </c>
      <c r="B582" s="389" t="s">
        <v>339</v>
      </c>
      <c r="C582" s="389" t="s">
        <v>11</v>
      </c>
      <c r="D582" s="389" t="s">
        <v>591</v>
      </c>
      <c r="E582" s="390" t="s">
        <v>37</v>
      </c>
      <c r="F582" s="391">
        <v>77030.0</v>
      </c>
      <c r="G582" s="391">
        <v>51404.0</v>
      </c>
      <c r="H582" s="391">
        <v>66.73</v>
      </c>
      <c r="I582" s="391">
        <v>35.96</v>
      </c>
      <c r="J582" s="391">
        <v>40.0</v>
      </c>
      <c r="K582" s="391">
        <v>101227.0</v>
      </c>
      <c r="L582" s="391">
        <v>281460.0</v>
      </c>
      <c r="M582" s="391">
        <v>1.3141</v>
      </c>
      <c r="N582" s="38">
        <v>1.9692</v>
      </c>
    </row>
    <row r="583">
      <c r="A583" s="389" t="s">
        <v>1969</v>
      </c>
      <c r="B583" s="389" t="s">
        <v>339</v>
      </c>
      <c r="C583" s="389" t="s">
        <v>11</v>
      </c>
      <c r="D583" s="389" t="s">
        <v>591</v>
      </c>
      <c r="E583" s="390" t="s">
        <v>370</v>
      </c>
      <c r="F583" s="391">
        <v>77030.0</v>
      </c>
      <c r="G583" s="391">
        <v>43861.0</v>
      </c>
      <c r="H583" s="391">
        <v>56.94</v>
      </c>
      <c r="I583" s="391">
        <v>18.8</v>
      </c>
      <c r="J583" s="391">
        <v>22.2</v>
      </c>
      <c r="K583" s="391">
        <v>52904.0</v>
      </c>
      <c r="L583" s="391">
        <v>281460.0</v>
      </c>
      <c r="M583" s="391">
        <v>0.6868</v>
      </c>
      <c r="N583" s="38">
        <v>1.2062</v>
      </c>
    </row>
    <row r="584">
      <c r="A584" s="389" t="s">
        <v>1969</v>
      </c>
      <c r="B584" s="389" t="s">
        <v>339</v>
      </c>
      <c r="C584" s="389" t="s">
        <v>11</v>
      </c>
      <c r="D584" s="389" t="s">
        <v>591</v>
      </c>
      <c r="E584" s="390" t="s">
        <v>363</v>
      </c>
      <c r="F584" s="391">
        <v>77030.0</v>
      </c>
      <c r="G584" s="391">
        <v>20187.0</v>
      </c>
      <c r="H584" s="391">
        <v>26.21</v>
      </c>
      <c r="I584" s="391">
        <v>15.52</v>
      </c>
      <c r="J584" s="391">
        <v>10.9</v>
      </c>
      <c r="K584" s="391">
        <v>43671.0</v>
      </c>
      <c r="L584" s="391">
        <v>281460.0</v>
      </c>
      <c r="M584" s="391">
        <v>0.5669</v>
      </c>
      <c r="N584" s="38">
        <v>2.1633</v>
      </c>
    </row>
    <row r="585">
      <c r="A585" s="389" t="s">
        <v>1969</v>
      </c>
      <c r="B585" s="389" t="s">
        <v>339</v>
      </c>
      <c r="C585" s="389" t="s">
        <v>11</v>
      </c>
      <c r="D585" s="389" t="s">
        <v>591</v>
      </c>
      <c r="E585" s="390" t="s">
        <v>366</v>
      </c>
      <c r="F585" s="391">
        <v>77030.0</v>
      </c>
      <c r="G585" s="391">
        <v>18370.0</v>
      </c>
      <c r="H585" s="391">
        <v>23.85</v>
      </c>
      <c r="I585" s="391">
        <v>6.93</v>
      </c>
      <c r="J585" s="391">
        <v>6.3</v>
      </c>
      <c r="K585" s="391">
        <v>19513.0</v>
      </c>
      <c r="L585" s="391">
        <v>281460.0</v>
      </c>
      <c r="M585" s="391">
        <v>0.2533</v>
      </c>
      <c r="N585" s="38">
        <v>1.0622</v>
      </c>
    </row>
    <row r="586">
      <c r="A586" s="389" t="s">
        <v>1969</v>
      </c>
      <c r="B586" s="389" t="s">
        <v>339</v>
      </c>
      <c r="C586" s="389" t="s">
        <v>11</v>
      </c>
      <c r="D586" s="389" t="s">
        <v>591</v>
      </c>
      <c r="E586" s="390" t="s">
        <v>371</v>
      </c>
      <c r="F586" s="391">
        <v>77030.0</v>
      </c>
      <c r="G586" s="391">
        <v>8892.0</v>
      </c>
      <c r="H586" s="391">
        <v>11.54</v>
      </c>
      <c r="I586" s="391">
        <v>5.68</v>
      </c>
      <c r="J586" s="391">
        <v>4.46</v>
      </c>
      <c r="K586" s="391">
        <v>15992.0</v>
      </c>
      <c r="L586" s="391">
        <v>281460.0</v>
      </c>
      <c r="M586" s="391">
        <v>0.2076</v>
      </c>
      <c r="N586" s="38">
        <v>1.7985</v>
      </c>
    </row>
    <row r="587">
      <c r="A587" s="389" t="s">
        <v>1969</v>
      </c>
      <c r="B587" s="389" t="s">
        <v>339</v>
      </c>
      <c r="C587" s="389" t="s">
        <v>11</v>
      </c>
      <c r="D587" s="389" t="s">
        <v>591</v>
      </c>
      <c r="E587" s="390" t="s">
        <v>35</v>
      </c>
      <c r="F587" s="391">
        <v>77030.0</v>
      </c>
      <c r="G587" s="391">
        <v>6033.0</v>
      </c>
      <c r="H587" s="391">
        <v>7.83</v>
      </c>
      <c r="I587" s="391">
        <v>4.73</v>
      </c>
      <c r="J587" s="391">
        <v>3.18</v>
      </c>
      <c r="K587" s="391">
        <v>13302.0</v>
      </c>
      <c r="L587" s="391">
        <v>281460.0</v>
      </c>
      <c r="M587" s="391">
        <v>0.1727</v>
      </c>
      <c r="N587" s="38">
        <v>2.2049</v>
      </c>
    </row>
    <row r="588">
      <c r="A588" s="389" t="s">
        <v>1969</v>
      </c>
      <c r="B588" s="389" t="s">
        <v>339</v>
      </c>
      <c r="C588" s="389" t="s">
        <v>11</v>
      </c>
      <c r="D588" s="389" t="s">
        <v>591</v>
      </c>
      <c r="E588" s="390" t="s">
        <v>365</v>
      </c>
      <c r="F588" s="391">
        <v>77030.0</v>
      </c>
      <c r="G588" s="391">
        <v>10780.0</v>
      </c>
      <c r="H588" s="391">
        <v>13.99</v>
      </c>
      <c r="I588" s="391">
        <v>3.9</v>
      </c>
      <c r="J588" s="391">
        <v>4.88</v>
      </c>
      <c r="K588" s="391">
        <v>10990.0</v>
      </c>
      <c r="L588" s="391">
        <v>281460.0</v>
      </c>
      <c r="M588" s="391">
        <v>0.1427</v>
      </c>
      <c r="N588" s="38">
        <v>1.0195</v>
      </c>
    </row>
    <row r="589">
      <c r="A589" s="389" t="s">
        <v>1969</v>
      </c>
      <c r="B589" s="389" t="s">
        <v>339</v>
      </c>
      <c r="C589" s="389" t="s">
        <v>11</v>
      </c>
      <c r="D589" s="389" t="s">
        <v>591</v>
      </c>
      <c r="E589" s="390" t="s">
        <v>45</v>
      </c>
      <c r="F589" s="391">
        <v>77030.0</v>
      </c>
      <c r="G589" s="391">
        <v>6931.0</v>
      </c>
      <c r="H589" s="391">
        <v>9.0</v>
      </c>
      <c r="I589" s="391">
        <v>2.99</v>
      </c>
      <c r="J589" s="391">
        <v>2.9</v>
      </c>
      <c r="K589" s="391">
        <v>8426.0</v>
      </c>
      <c r="L589" s="391">
        <v>281460.0</v>
      </c>
      <c r="M589" s="391">
        <v>0.1094</v>
      </c>
      <c r="N589" s="38">
        <v>1.2157</v>
      </c>
    </row>
    <row r="590">
      <c r="A590" s="389" t="s">
        <v>1969</v>
      </c>
      <c r="B590" s="389" t="s">
        <v>339</v>
      </c>
      <c r="C590" s="389" t="s">
        <v>11</v>
      </c>
      <c r="D590" s="389" t="s">
        <v>591</v>
      </c>
      <c r="E590" s="390" t="s">
        <v>369</v>
      </c>
      <c r="F590" s="391">
        <v>77030.0</v>
      </c>
      <c r="G590" s="391">
        <v>5994.0</v>
      </c>
      <c r="H590" s="391">
        <v>7.78</v>
      </c>
      <c r="I590" s="391">
        <v>2.51</v>
      </c>
      <c r="J590" s="391">
        <v>2.06</v>
      </c>
      <c r="K590" s="391">
        <v>7051.0</v>
      </c>
      <c r="L590" s="391">
        <v>281460.0</v>
      </c>
      <c r="M590" s="391">
        <v>0.0915</v>
      </c>
      <c r="N590" s="38">
        <v>1.1763</v>
      </c>
    </row>
    <row r="591">
      <c r="A591" s="389" t="s">
        <v>1969</v>
      </c>
      <c r="B591" s="389" t="s">
        <v>339</v>
      </c>
      <c r="C591" s="389" t="s">
        <v>11</v>
      </c>
      <c r="D591" s="389" t="s">
        <v>591</v>
      </c>
      <c r="E591" s="390" t="s">
        <v>108</v>
      </c>
      <c r="F591" s="391">
        <v>77030.0</v>
      </c>
      <c r="G591" s="391">
        <v>5814.0</v>
      </c>
      <c r="H591" s="391">
        <v>7.55</v>
      </c>
      <c r="I591" s="391">
        <v>2.49</v>
      </c>
      <c r="J591" s="391">
        <v>2.4</v>
      </c>
      <c r="K591" s="391">
        <v>7001.0</v>
      </c>
      <c r="L591" s="391">
        <v>281460.0</v>
      </c>
      <c r="M591" s="391">
        <v>0.0909</v>
      </c>
      <c r="N591" s="38">
        <v>1.2042</v>
      </c>
    </row>
    <row r="592">
      <c r="A592" s="389" t="s">
        <v>1969</v>
      </c>
      <c r="B592" s="389" t="s">
        <v>339</v>
      </c>
      <c r="C592" s="389" t="s">
        <v>11</v>
      </c>
      <c r="D592" s="389" t="s">
        <v>591</v>
      </c>
      <c r="E592" s="390" t="s">
        <v>284</v>
      </c>
      <c r="F592" s="391">
        <v>77030.0</v>
      </c>
      <c r="G592" s="391">
        <v>381.0</v>
      </c>
      <c r="H592" s="391">
        <v>0.49</v>
      </c>
      <c r="I592" s="391">
        <v>0.14</v>
      </c>
      <c r="J592" s="391">
        <v>0.2</v>
      </c>
      <c r="K592" s="391">
        <v>400.0</v>
      </c>
      <c r="L592" s="391">
        <v>281460.0</v>
      </c>
      <c r="M592" s="391">
        <v>0.0052</v>
      </c>
      <c r="N592" s="38">
        <v>1.0499</v>
      </c>
    </row>
    <row r="593">
      <c r="A593" s="389" t="s">
        <v>1969</v>
      </c>
      <c r="B593" s="389" t="s">
        <v>339</v>
      </c>
      <c r="C593" s="389" t="s">
        <v>11</v>
      </c>
      <c r="D593" s="389" t="s">
        <v>591</v>
      </c>
      <c r="E593" s="390" t="s">
        <v>39</v>
      </c>
      <c r="F593" s="391">
        <v>77030.0</v>
      </c>
      <c r="G593" s="391">
        <v>316.0</v>
      </c>
      <c r="H593" s="391">
        <v>0.41</v>
      </c>
      <c r="I593" s="391">
        <v>0.12</v>
      </c>
      <c r="J593" s="391">
        <v>0.12</v>
      </c>
      <c r="K593" s="391">
        <v>341.0</v>
      </c>
      <c r="L593" s="391">
        <v>281460.0</v>
      </c>
      <c r="M593" s="391">
        <v>0.0044</v>
      </c>
      <c r="N593" s="38">
        <v>1.0791</v>
      </c>
    </row>
    <row r="594">
      <c r="A594" s="389" t="s">
        <v>1969</v>
      </c>
      <c r="B594" s="389" t="s">
        <v>339</v>
      </c>
      <c r="C594" s="389" t="s">
        <v>11</v>
      </c>
      <c r="D594" s="389" t="s">
        <v>591</v>
      </c>
      <c r="E594" s="390" t="s">
        <v>283</v>
      </c>
      <c r="F594" s="391">
        <v>77030.0</v>
      </c>
      <c r="G594" s="391">
        <v>267.0</v>
      </c>
      <c r="H594" s="391">
        <v>0.35</v>
      </c>
      <c r="I594" s="391">
        <v>0.1</v>
      </c>
      <c r="J594" s="391">
        <v>0.2</v>
      </c>
      <c r="K594" s="391">
        <v>279.0</v>
      </c>
      <c r="L594" s="391">
        <v>281460.0</v>
      </c>
      <c r="M594" s="391">
        <v>0.0036</v>
      </c>
      <c r="N594" s="38">
        <v>1.0449</v>
      </c>
    </row>
    <row r="595">
      <c r="A595" s="389" t="s">
        <v>1969</v>
      </c>
      <c r="B595" s="389" t="s">
        <v>339</v>
      </c>
      <c r="C595" s="389" t="s">
        <v>11</v>
      </c>
      <c r="D595" s="389" t="s">
        <v>591</v>
      </c>
      <c r="E595" s="390" t="s">
        <v>282</v>
      </c>
      <c r="F595" s="391">
        <v>77030.0</v>
      </c>
      <c r="G595" s="391">
        <v>266.0</v>
      </c>
      <c r="H595" s="391">
        <v>0.35</v>
      </c>
      <c r="I595" s="391">
        <v>0.1</v>
      </c>
      <c r="J595" s="391">
        <v>0.16</v>
      </c>
      <c r="K595" s="391">
        <v>287.0</v>
      </c>
      <c r="L595" s="391">
        <v>281460.0</v>
      </c>
      <c r="M595" s="391">
        <v>0.0037</v>
      </c>
      <c r="N595" s="38">
        <v>1.0789</v>
      </c>
    </row>
    <row r="596">
      <c r="A596" s="389" t="s">
        <v>1969</v>
      </c>
      <c r="B596" s="389" t="s">
        <v>339</v>
      </c>
      <c r="C596" s="389" t="s">
        <v>11</v>
      </c>
      <c r="D596" s="389" t="s">
        <v>591</v>
      </c>
      <c r="E596" s="390" t="s">
        <v>27</v>
      </c>
      <c r="F596" s="391">
        <v>77030.0</v>
      </c>
      <c r="G596" s="391">
        <v>47.0</v>
      </c>
      <c r="H596" s="391">
        <v>0.06</v>
      </c>
      <c r="I596" s="391">
        <v>0.02</v>
      </c>
      <c r="J596" s="391">
        <v>0.02</v>
      </c>
      <c r="K596" s="391">
        <v>47.0</v>
      </c>
      <c r="L596" s="391">
        <v>281460.0</v>
      </c>
      <c r="M596" s="391">
        <v>6.0E-4</v>
      </c>
      <c r="N596" s="38">
        <v>1.0</v>
      </c>
    </row>
    <row r="597">
      <c r="A597" s="389" t="s">
        <v>1969</v>
      </c>
      <c r="B597" s="389" t="s">
        <v>339</v>
      </c>
      <c r="C597" s="389" t="s">
        <v>11</v>
      </c>
      <c r="D597" s="389" t="s">
        <v>591</v>
      </c>
      <c r="E597" s="390" t="s">
        <v>372</v>
      </c>
      <c r="F597" s="391">
        <v>77030.0</v>
      </c>
      <c r="G597" s="391">
        <v>3.0</v>
      </c>
      <c r="H597" s="391">
        <v>0.0</v>
      </c>
      <c r="I597" s="391">
        <v>0.0</v>
      </c>
      <c r="J597" s="391">
        <v>0.0</v>
      </c>
      <c r="K597" s="391">
        <v>8.0</v>
      </c>
      <c r="L597" s="391">
        <v>281460.0</v>
      </c>
      <c r="M597" s="391">
        <v>1.0E-4</v>
      </c>
      <c r="N597" s="38">
        <v>2.6667</v>
      </c>
    </row>
    <row r="598">
      <c r="A598" s="389" t="s">
        <v>1969</v>
      </c>
      <c r="B598" s="389" t="s">
        <v>339</v>
      </c>
      <c r="C598" s="389" t="s">
        <v>11</v>
      </c>
      <c r="D598" s="389" t="s">
        <v>591</v>
      </c>
      <c r="E598" s="390" t="s">
        <v>163</v>
      </c>
      <c r="F598" s="391">
        <v>77030.0</v>
      </c>
      <c r="G598" s="391">
        <v>2.0</v>
      </c>
      <c r="H598" s="391">
        <v>0.0</v>
      </c>
      <c r="I598" s="391">
        <v>0.0</v>
      </c>
      <c r="J598" s="391">
        <v>0.0</v>
      </c>
      <c r="K598" s="391">
        <v>2.0</v>
      </c>
      <c r="L598" s="391">
        <v>281460.0</v>
      </c>
      <c r="M598" s="391">
        <v>0.0</v>
      </c>
      <c r="N598" s="38">
        <v>1.0</v>
      </c>
    </row>
    <row r="599">
      <c r="A599" s="389" t="s">
        <v>1969</v>
      </c>
      <c r="B599" s="389" t="s">
        <v>339</v>
      </c>
      <c r="C599" s="389" t="s">
        <v>11</v>
      </c>
      <c r="D599" s="389" t="s">
        <v>591</v>
      </c>
      <c r="E599" s="390" t="s">
        <v>38</v>
      </c>
      <c r="F599" s="391">
        <v>77030.0</v>
      </c>
      <c r="G599" s="391">
        <v>12.0</v>
      </c>
      <c r="H599" s="391">
        <v>0.02</v>
      </c>
      <c r="I599" s="391">
        <v>0.0</v>
      </c>
      <c r="J599" s="391">
        <v>0.01</v>
      </c>
      <c r="K599" s="391">
        <v>12.0</v>
      </c>
      <c r="L599" s="391">
        <v>281460.0</v>
      </c>
      <c r="M599" s="391">
        <v>2.0E-4</v>
      </c>
      <c r="N599" s="38">
        <v>1.0</v>
      </c>
    </row>
    <row r="600">
      <c r="A600" s="389" t="s">
        <v>1969</v>
      </c>
      <c r="B600" s="389" t="s">
        <v>339</v>
      </c>
      <c r="C600" s="389" t="s">
        <v>11</v>
      </c>
      <c r="D600" s="389" t="s">
        <v>591</v>
      </c>
      <c r="E600" s="390" t="s">
        <v>368</v>
      </c>
      <c r="F600" s="391">
        <v>77030.0</v>
      </c>
      <c r="G600" s="391">
        <v>6.0</v>
      </c>
      <c r="H600" s="391">
        <v>0.01</v>
      </c>
      <c r="I600" s="391">
        <v>0.0</v>
      </c>
      <c r="J600" s="391">
        <v>0.0</v>
      </c>
      <c r="K600" s="391">
        <v>7.0</v>
      </c>
      <c r="L600" s="391">
        <v>281460.0</v>
      </c>
      <c r="M600" s="391">
        <v>1.0E-4</v>
      </c>
      <c r="N600" s="38">
        <v>1.1667</v>
      </c>
    </row>
    <row r="601">
      <c r="A601" s="389" t="s">
        <v>1969</v>
      </c>
      <c r="B601" s="389" t="s">
        <v>339</v>
      </c>
      <c r="C601" s="389" t="s">
        <v>357</v>
      </c>
      <c r="D601" s="389" t="s">
        <v>357</v>
      </c>
      <c r="E601" s="390" t="s">
        <v>366</v>
      </c>
      <c r="F601" s="391">
        <v>119345.0</v>
      </c>
      <c r="G601" s="391">
        <v>107414.0</v>
      </c>
      <c r="H601" s="391">
        <v>90.0</v>
      </c>
      <c r="I601" s="391">
        <v>35.69</v>
      </c>
      <c r="J601" s="391">
        <v>36.15</v>
      </c>
      <c r="K601" s="391">
        <v>2.1405195E7</v>
      </c>
      <c r="L601" s="391">
        <v>5.9967265E7</v>
      </c>
      <c r="M601" s="391">
        <v>179.3556</v>
      </c>
      <c r="N601" s="38">
        <v>199.2775</v>
      </c>
    </row>
    <row r="602">
      <c r="A602" s="389" t="s">
        <v>1969</v>
      </c>
      <c r="B602" s="389" t="s">
        <v>339</v>
      </c>
      <c r="C602" s="389" t="s">
        <v>357</v>
      </c>
      <c r="D602" s="389" t="s">
        <v>357</v>
      </c>
      <c r="E602" s="390" t="s">
        <v>370</v>
      </c>
      <c r="F602" s="391">
        <v>119345.0</v>
      </c>
      <c r="G602" s="391">
        <v>100822.0</v>
      </c>
      <c r="H602" s="391">
        <v>84.48</v>
      </c>
      <c r="I602" s="391">
        <v>16.18</v>
      </c>
      <c r="J602" s="391">
        <v>18.16</v>
      </c>
      <c r="K602" s="391">
        <v>9700345.0</v>
      </c>
      <c r="L602" s="391">
        <v>5.9967265E7</v>
      </c>
      <c r="M602" s="391">
        <v>81.2799</v>
      </c>
      <c r="N602" s="38">
        <v>96.2126</v>
      </c>
    </row>
    <row r="603">
      <c r="A603" s="389" t="s">
        <v>1969</v>
      </c>
      <c r="B603" s="389" t="s">
        <v>339</v>
      </c>
      <c r="C603" s="389" t="s">
        <v>357</v>
      </c>
      <c r="D603" s="389" t="s">
        <v>357</v>
      </c>
      <c r="E603" s="390" t="s">
        <v>37</v>
      </c>
      <c r="F603" s="391">
        <v>119345.0</v>
      </c>
      <c r="G603" s="391">
        <v>54209.0</v>
      </c>
      <c r="H603" s="391">
        <v>45.42</v>
      </c>
      <c r="I603" s="391">
        <v>12.23</v>
      </c>
      <c r="J603" s="391">
        <v>11.07</v>
      </c>
      <c r="K603" s="391">
        <v>7335275.0</v>
      </c>
      <c r="L603" s="391">
        <v>5.9967265E7</v>
      </c>
      <c r="M603" s="391">
        <v>61.4628</v>
      </c>
      <c r="N603" s="38">
        <v>135.3147</v>
      </c>
    </row>
    <row r="604">
      <c r="A604" s="389" t="s">
        <v>1969</v>
      </c>
      <c r="B604" s="389" t="s">
        <v>339</v>
      </c>
      <c r="C604" s="389" t="s">
        <v>357</v>
      </c>
      <c r="D604" s="389" t="s">
        <v>357</v>
      </c>
      <c r="E604" s="390" t="s">
        <v>35</v>
      </c>
      <c r="F604" s="391">
        <v>119345.0</v>
      </c>
      <c r="G604" s="391">
        <v>33666.0</v>
      </c>
      <c r="H604" s="391">
        <v>28.21</v>
      </c>
      <c r="I604" s="391">
        <v>9.16</v>
      </c>
      <c r="J604" s="391">
        <v>6.29</v>
      </c>
      <c r="K604" s="391">
        <v>5493830.0</v>
      </c>
      <c r="L604" s="391">
        <v>5.9967265E7</v>
      </c>
      <c r="M604" s="391">
        <v>46.0332</v>
      </c>
      <c r="N604" s="38">
        <v>163.1863</v>
      </c>
    </row>
    <row r="605">
      <c r="A605" s="389" t="s">
        <v>1969</v>
      </c>
      <c r="B605" s="389" t="s">
        <v>339</v>
      </c>
      <c r="C605" s="389" t="s">
        <v>357</v>
      </c>
      <c r="D605" s="389" t="s">
        <v>357</v>
      </c>
      <c r="E605" s="390" t="s">
        <v>363</v>
      </c>
      <c r="F605" s="391">
        <v>119345.0</v>
      </c>
      <c r="G605" s="391">
        <v>40621.0</v>
      </c>
      <c r="H605" s="391">
        <v>34.04</v>
      </c>
      <c r="I605" s="391">
        <v>7.03</v>
      </c>
      <c r="J605" s="391">
        <v>4.53</v>
      </c>
      <c r="K605" s="391">
        <v>4213640.0</v>
      </c>
      <c r="L605" s="391">
        <v>5.9967265E7</v>
      </c>
      <c r="M605" s="391">
        <v>35.3064</v>
      </c>
      <c r="N605" s="38">
        <v>103.7306</v>
      </c>
    </row>
    <row r="606">
      <c r="A606" s="389" t="s">
        <v>1969</v>
      </c>
      <c r="B606" s="389" t="s">
        <v>339</v>
      </c>
      <c r="C606" s="389" t="s">
        <v>357</v>
      </c>
      <c r="D606" s="389" t="s">
        <v>357</v>
      </c>
      <c r="E606" s="390" t="s">
        <v>371</v>
      </c>
      <c r="F606" s="391">
        <v>119345.0</v>
      </c>
      <c r="G606" s="391">
        <v>91247.0</v>
      </c>
      <c r="H606" s="391">
        <v>76.46</v>
      </c>
      <c r="I606" s="391">
        <v>6.35</v>
      </c>
      <c r="J606" s="391">
        <v>10.57</v>
      </c>
      <c r="K606" s="391">
        <v>3808185.0</v>
      </c>
      <c r="L606" s="391">
        <v>5.9967265E7</v>
      </c>
      <c r="M606" s="391">
        <v>31.909</v>
      </c>
      <c r="N606" s="38">
        <v>41.7349</v>
      </c>
    </row>
    <row r="607">
      <c r="A607" s="389" t="s">
        <v>1969</v>
      </c>
      <c r="B607" s="389" t="s">
        <v>339</v>
      </c>
      <c r="C607" s="389" t="s">
        <v>357</v>
      </c>
      <c r="D607" s="389" t="s">
        <v>357</v>
      </c>
      <c r="E607" s="390" t="s">
        <v>365</v>
      </c>
      <c r="F607" s="391">
        <v>119345.0</v>
      </c>
      <c r="G607" s="391">
        <v>50954.0</v>
      </c>
      <c r="H607" s="391">
        <v>42.69</v>
      </c>
      <c r="I607" s="391">
        <v>4.0</v>
      </c>
      <c r="J607" s="391">
        <v>4.37</v>
      </c>
      <c r="K607" s="391">
        <v>2398355.0</v>
      </c>
      <c r="L607" s="391">
        <v>5.9967265E7</v>
      </c>
      <c r="M607" s="391">
        <v>20.096</v>
      </c>
      <c r="N607" s="38">
        <v>47.069</v>
      </c>
    </row>
    <row r="608">
      <c r="A608" s="389" t="s">
        <v>1969</v>
      </c>
      <c r="B608" s="389" t="s">
        <v>339</v>
      </c>
      <c r="C608" s="389" t="s">
        <v>357</v>
      </c>
      <c r="D608" s="389" t="s">
        <v>357</v>
      </c>
      <c r="E608" s="390" t="s">
        <v>45</v>
      </c>
      <c r="F608" s="391">
        <v>119345.0</v>
      </c>
      <c r="G608" s="391">
        <v>20172.0</v>
      </c>
      <c r="H608" s="391">
        <v>16.9</v>
      </c>
      <c r="I608" s="391">
        <v>2.63</v>
      </c>
      <c r="J608" s="391">
        <v>2.04</v>
      </c>
      <c r="K608" s="391">
        <v>1577075.0</v>
      </c>
      <c r="L608" s="391">
        <v>5.9967265E7</v>
      </c>
      <c r="M608" s="391">
        <v>13.2144</v>
      </c>
      <c r="N608" s="38">
        <v>78.1814</v>
      </c>
    </row>
    <row r="609">
      <c r="A609" s="389" t="s">
        <v>1969</v>
      </c>
      <c r="B609" s="389" t="s">
        <v>339</v>
      </c>
      <c r="C609" s="389" t="s">
        <v>357</v>
      </c>
      <c r="D609" s="389" t="s">
        <v>357</v>
      </c>
      <c r="E609" s="390" t="s">
        <v>369</v>
      </c>
      <c r="F609" s="391">
        <v>119345.0</v>
      </c>
      <c r="G609" s="391">
        <v>33274.0</v>
      </c>
      <c r="H609" s="391">
        <v>27.88</v>
      </c>
      <c r="I609" s="391">
        <v>2.12</v>
      </c>
      <c r="J609" s="391">
        <v>1.8</v>
      </c>
      <c r="K609" s="391">
        <v>1269105.0</v>
      </c>
      <c r="L609" s="391">
        <v>5.9967265E7</v>
      </c>
      <c r="M609" s="391">
        <v>10.6339</v>
      </c>
      <c r="N609" s="38">
        <v>38.141</v>
      </c>
    </row>
    <row r="610">
      <c r="A610" s="389" t="s">
        <v>1969</v>
      </c>
      <c r="B610" s="389" t="s">
        <v>339</v>
      </c>
      <c r="C610" s="389" t="s">
        <v>357</v>
      </c>
      <c r="D610" s="389" t="s">
        <v>357</v>
      </c>
      <c r="E610" s="390" t="s">
        <v>367</v>
      </c>
      <c r="F610" s="391">
        <v>119345.0</v>
      </c>
      <c r="G610" s="391">
        <v>41647.0</v>
      </c>
      <c r="H610" s="391">
        <v>34.9</v>
      </c>
      <c r="I610" s="391">
        <v>2.07</v>
      </c>
      <c r="J610" s="391">
        <v>2.24</v>
      </c>
      <c r="K610" s="391">
        <v>1242985.0</v>
      </c>
      <c r="L610" s="391">
        <v>5.9967265E7</v>
      </c>
      <c r="M610" s="391">
        <v>10.4151</v>
      </c>
      <c r="N610" s="38">
        <v>29.8457</v>
      </c>
    </row>
    <row r="611">
      <c r="A611" s="389" t="s">
        <v>1969</v>
      </c>
      <c r="B611" s="389" t="s">
        <v>339</v>
      </c>
      <c r="C611" s="389" t="s">
        <v>357</v>
      </c>
      <c r="D611" s="389" t="s">
        <v>357</v>
      </c>
      <c r="E611" s="390" t="s">
        <v>108</v>
      </c>
      <c r="F611" s="391">
        <v>119345.0</v>
      </c>
      <c r="G611" s="391">
        <v>10590.0</v>
      </c>
      <c r="H611" s="391">
        <v>8.87</v>
      </c>
      <c r="I611" s="391">
        <v>0.71</v>
      </c>
      <c r="J611" s="391">
        <v>0.78</v>
      </c>
      <c r="K611" s="391">
        <v>425190.0</v>
      </c>
      <c r="L611" s="391">
        <v>5.9967265E7</v>
      </c>
      <c r="M611" s="391">
        <v>3.5627</v>
      </c>
      <c r="N611" s="38">
        <v>40.1501</v>
      </c>
    </row>
    <row r="612">
      <c r="A612" s="389" t="s">
        <v>1969</v>
      </c>
      <c r="B612" s="389" t="s">
        <v>339</v>
      </c>
      <c r="C612" s="389" t="s">
        <v>357</v>
      </c>
      <c r="D612" s="389" t="s">
        <v>357</v>
      </c>
      <c r="E612" s="390" t="s">
        <v>39</v>
      </c>
      <c r="F612" s="391">
        <v>119345.0</v>
      </c>
      <c r="G612" s="391">
        <v>22223.0</v>
      </c>
      <c r="H612" s="391">
        <v>18.62</v>
      </c>
      <c r="I612" s="391">
        <v>0.55</v>
      </c>
      <c r="J612" s="391">
        <v>0.54</v>
      </c>
      <c r="K612" s="391">
        <v>332085.0</v>
      </c>
      <c r="L612" s="391">
        <v>5.9967265E7</v>
      </c>
      <c r="M612" s="391">
        <v>2.7826</v>
      </c>
      <c r="N612" s="38">
        <v>14.9433</v>
      </c>
    </row>
    <row r="613">
      <c r="A613" s="389" t="s">
        <v>1969</v>
      </c>
      <c r="B613" s="389" t="s">
        <v>339</v>
      </c>
      <c r="C613" s="389" t="s">
        <v>357</v>
      </c>
      <c r="D613" s="389" t="s">
        <v>357</v>
      </c>
      <c r="E613" s="390" t="s">
        <v>284</v>
      </c>
      <c r="F613" s="391">
        <v>119345.0</v>
      </c>
      <c r="G613" s="391">
        <v>2474.0</v>
      </c>
      <c r="H613" s="391">
        <v>2.07</v>
      </c>
      <c r="I613" s="391">
        <v>0.39</v>
      </c>
      <c r="J613" s="391">
        <v>0.38</v>
      </c>
      <c r="K613" s="391">
        <v>234200.0</v>
      </c>
      <c r="L613" s="391">
        <v>5.9967265E7</v>
      </c>
      <c r="M613" s="391">
        <v>1.9624</v>
      </c>
      <c r="N613" s="38">
        <v>94.6645</v>
      </c>
    </row>
    <row r="614">
      <c r="A614" s="389" t="s">
        <v>1969</v>
      </c>
      <c r="B614" s="389" t="s">
        <v>339</v>
      </c>
      <c r="C614" s="389" t="s">
        <v>357</v>
      </c>
      <c r="D614" s="389" t="s">
        <v>357</v>
      </c>
      <c r="E614" s="390" t="s">
        <v>282</v>
      </c>
      <c r="F614" s="391">
        <v>119345.0</v>
      </c>
      <c r="G614" s="391">
        <v>1980.0</v>
      </c>
      <c r="H614" s="391">
        <v>1.66</v>
      </c>
      <c r="I614" s="391">
        <v>0.3</v>
      </c>
      <c r="J614" s="391">
        <v>0.35</v>
      </c>
      <c r="K614" s="391">
        <v>179100.0</v>
      </c>
      <c r="L614" s="391">
        <v>5.9967265E7</v>
      </c>
      <c r="M614" s="391">
        <v>1.5007</v>
      </c>
      <c r="N614" s="38">
        <v>90.4545</v>
      </c>
    </row>
    <row r="615">
      <c r="A615" s="389" t="s">
        <v>1969</v>
      </c>
      <c r="B615" s="389" t="s">
        <v>339</v>
      </c>
      <c r="C615" s="389" t="s">
        <v>357</v>
      </c>
      <c r="D615" s="389" t="s">
        <v>357</v>
      </c>
      <c r="E615" s="390" t="s">
        <v>283</v>
      </c>
      <c r="F615" s="391">
        <v>119345.0</v>
      </c>
      <c r="G615" s="391">
        <v>1984.0</v>
      </c>
      <c r="H615" s="391">
        <v>1.66</v>
      </c>
      <c r="I615" s="391">
        <v>0.3</v>
      </c>
      <c r="J615" s="391">
        <v>0.39</v>
      </c>
      <c r="K615" s="391">
        <v>177375.0</v>
      </c>
      <c r="L615" s="391">
        <v>5.9967265E7</v>
      </c>
      <c r="M615" s="391">
        <v>1.4862</v>
      </c>
      <c r="N615" s="38">
        <v>89.4027</v>
      </c>
    </row>
    <row r="616">
      <c r="A616" s="389" t="s">
        <v>1969</v>
      </c>
      <c r="B616" s="389" t="s">
        <v>339</v>
      </c>
      <c r="C616" s="389" t="s">
        <v>357</v>
      </c>
      <c r="D616" s="389" t="s">
        <v>357</v>
      </c>
      <c r="E616" s="390" t="s">
        <v>368</v>
      </c>
      <c r="F616" s="391">
        <v>119345.0</v>
      </c>
      <c r="G616" s="391">
        <v>2163.0</v>
      </c>
      <c r="H616" s="391">
        <v>1.81</v>
      </c>
      <c r="I616" s="391">
        <v>0.11</v>
      </c>
      <c r="J616" s="391">
        <v>0.14</v>
      </c>
      <c r="K616" s="391">
        <v>63325.0</v>
      </c>
      <c r="L616" s="391">
        <v>5.9967265E7</v>
      </c>
      <c r="M616" s="391">
        <v>0.5306</v>
      </c>
      <c r="N616" s="38">
        <v>29.2765</v>
      </c>
    </row>
    <row r="617">
      <c r="A617" s="389" t="s">
        <v>1969</v>
      </c>
      <c r="B617" s="389" t="s">
        <v>339</v>
      </c>
      <c r="C617" s="389" t="s">
        <v>357</v>
      </c>
      <c r="D617" s="389" t="s">
        <v>357</v>
      </c>
      <c r="E617" s="390" t="s">
        <v>27</v>
      </c>
      <c r="F617" s="391">
        <v>119345.0</v>
      </c>
      <c r="G617" s="391">
        <v>491.0</v>
      </c>
      <c r="H617" s="391">
        <v>0.41</v>
      </c>
      <c r="I617" s="391">
        <v>0.07</v>
      </c>
      <c r="J617" s="391">
        <v>0.06</v>
      </c>
      <c r="K617" s="391">
        <v>40125.0</v>
      </c>
      <c r="L617" s="391">
        <v>5.9967265E7</v>
      </c>
      <c r="M617" s="391">
        <v>0.3362</v>
      </c>
      <c r="N617" s="38">
        <v>81.721</v>
      </c>
    </row>
    <row r="618">
      <c r="A618" s="389" t="s">
        <v>1969</v>
      </c>
      <c r="B618" s="389" t="s">
        <v>339</v>
      </c>
      <c r="C618" s="389" t="s">
        <v>357</v>
      </c>
      <c r="D618" s="389" t="s">
        <v>357</v>
      </c>
      <c r="E618" s="390" t="s">
        <v>30</v>
      </c>
      <c r="F618" s="391">
        <v>119345.0</v>
      </c>
      <c r="G618" s="391">
        <v>849.0</v>
      </c>
      <c r="H618" s="391">
        <v>0.71</v>
      </c>
      <c r="I618" s="391">
        <v>0.04</v>
      </c>
      <c r="J618" s="391">
        <v>0.04</v>
      </c>
      <c r="K618" s="391">
        <v>22375.0</v>
      </c>
      <c r="L618" s="391">
        <v>5.9967265E7</v>
      </c>
      <c r="M618" s="391">
        <v>0.1875</v>
      </c>
      <c r="N618" s="38">
        <v>26.3545</v>
      </c>
    </row>
    <row r="619">
      <c r="A619" s="389" t="s">
        <v>1969</v>
      </c>
      <c r="B619" s="389" t="s">
        <v>339</v>
      </c>
      <c r="C619" s="389" t="s">
        <v>357</v>
      </c>
      <c r="D619" s="389" t="s">
        <v>357</v>
      </c>
      <c r="E619" s="390" t="s">
        <v>38</v>
      </c>
      <c r="F619" s="391">
        <v>119345.0</v>
      </c>
      <c r="G619" s="391">
        <v>178.0</v>
      </c>
      <c r="H619" s="391">
        <v>0.15</v>
      </c>
      <c r="I619" s="391">
        <v>0.04</v>
      </c>
      <c r="J619" s="391">
        <v>0.05</v>
      </c>
      <c r="K619" s="391">
        <v>25325.0</v>
      </c>
      <c r="L619" s="391">
        <v>5.9967265E7</v>
      </c>
      <c r="M619" s="391">
        <v>0.2122</v>
      </c>
      <c r="N619" s="38">
        <v>142.2753</v>
      </c>
    </row>
    <row r="620">
      <c r="A620" s="389" t="s">
        <v>1969</v>
      </c>
      <c r="B620" s="389" t="s">
        <v>339</v>
      </c>
      <c r="C620" s="389" t="s">
        <v>357</v>
      </c>
      <c r="D620" s="389" t="s">
        <v>357</v>
      </c>
      <c r="E620" s="390" t="s">
        <v>163</v>
      </c>
      <c r="F620" s="391">
        <v>119345.0</v>
      </c>
      <c r="G620" s="391">
        <v>931.0</v>
      </c>
      <c r="H620" s="391">
        <v>0.78</v>
      </c>
      <c r="I620" s="391">
        <v>0.04</v>
      </c>
      <c r="J620" s="391">
        <v>0.06</v>
      </c>
      <c r="K620" s="391">
        <v>24175.0</v>
      </c>
      <c r="L620" s="391">
        <v>5.9967265E7</v>
      </c>
      <c r="M620" s="391">
        <v>0.2026</v>
      </c>
      <c r="N620" s="38">
        <v>25.9667</v>
      </c>
    </row>
    <row r="621">
      <c r="A621" s="389" t="s">
        <v>1969</v>
      </c>
      <c r="B621" s="389" t="s">
        <v>339</v>
      </c>
      <c r="C621" s="389" t="s">
        <v>6</v>
      </c>
      <c r="D621" s="389" t="s">
        <v>591</v>
      </c>
      <c r="E621" s="390" t="s">
        <v>370</v>
      </c>
      <c r="F621" s="391">
        <v>107995.0</v>
      </c>
      <c r="G621" s="391">
        <v>73861.0</v>
      </c>
      <c r="H621" s="391">
        <v>68.39</v>
      </c>
      <c r="I621" s="391">
        <v>26.64</v>
      </c>
      <c r="J621" s="391">
        <v>23.97</v>
      </c>
      <c r="K621" s="391">
        <v>214636.0</v>
      </c>
      <c r="L621" s="391">
        <v>805566.0</v>
      </c>
      <c r="M621" s="391">
        <v>1.9875</v>
      </c>
      <c r="N621" s="38">
        <v>2.9059</v>
      </c>
    </row>
    <row r="622">
      <c r="A622" s="389" t="s">
        <v>1969</v>
      </c>
      <c r="B622" s="389" t="s">
        <v>339</v>
      </c>
      <c r="C622" s="389" t="s">
        <v>6</v>
      </c>
      <c r="D622" s="389" t="s">
        <v>591</v>
      </c>
      <c r="E622" s="390" t="s">
        <v>371</v>
      </c>
      <c r="F622" s="391">
        <v>107995.0</v>
      </c>
      <c r="G622" s="391">
        <v>74729.0</v>
      </c>
      <c r="H622" s="391">
        <v>69.2</v>
      </c>
      <c r="I622" s="391">
        <v>25.77</v>
      </c>
      <c r="J622" s="391">
        <v>23.73</v>
      </c>
      <c r="K622" s="391">
        <v>207572.0</v>
      </c>
      <c r="L622" s="391">
        <v>805566.0</v>
      </c>
      <c r="M622" s="391">
        <v>1.9221</v>
      </c>
      <c r="N622" s="38">
        <v>2.7777</v>
      </c>
    </row>
    <row r="623">
      <c r="A623" s="389" t="s">
        <v>1969</v>
      </c>
      <c r="B623" s="389" t="s">
        <v>339</v>
      </c>
      <c r="C623" s="389" t="s">
        <v>6</v>
      </c>
      <c r="D623" s="389" t="s">
        <v>591</v>
      </c>
      <c r="E623" s="390" t="s">
        <v>369</v>
      </c>
      <c r="F623" s="391">
        <v>107995.0</v>
      </c>
      <c r="G623" s="391">
        <v>83431.0</v>
      </c>
      <c r="H623" s="391">
        <v>77.25</v>
      </c>
      <c r="I623" s="391">
        <v>23.74</v>
      </c>
      <c r="J623" s="391">
        <v>30.49</v>
      </c>
      <c r="K623" s="391">
        <v>191272.0</v>
      </c>
      <c r="L623" s="391">
        <v>805566.0</v>
      </c>
      <c r="M623" s="391">
        <v>1.7711</v>
      </c>
      <c r="N623" s="38">
        <v>2.2926</v>
      </c>
    </row>
    <row r="624">
      <c r="A624" s="389" t="s">
        <v>1969</v>
      </c>
      <c r="B624" s="389" t="s">
        <v>339</v>
      </c>
      <c r="C624" s="389" t="s">
        <v>6</v>
      </c>
      <c r="D624" s="389" t="s">
        <v>591</v>
      </c>
      <c r="E624" s="390" t="s">
        <v>39</v>
      </c>
      <c r="F624" s="391">
        <v>107995.0</v>
      </c>
      <c r="G624" s="391">
        <v>60834.0</v>
      </c>
      <c r="H624" s="391">
        <v>56.33</v>
      </c>
      <c r="I624" s="391">
        <v>15.33</v>
      </c>
      <c r="J624" s="391">
        <v>14.29</v>
      </c>
      <c r="K624" s="391">
        <v>123472.0</v>
      </c>
      <c r="L624" s="391">
        <v>805566.0</v>
      </c>
      <c r="M624" s="391">
        <v>1.1433</v>
      </c>
      <c r="N624" s="38">
        <v>2.0297</v>
      </c>
    </row>
    <row r="625">
      <c r="A625" s="389" t="s">
        <v>1969</v>
      </c>
      <c r="B625" s="389" t="s">
        <v>339</v>
      </c>
      <c r="C625" s="389" t="s">
        <v>6</v>
      </c>
      <c r="D625" s="389" t="s">
        <v>591</v>
      </c>
      <c r="E625" s="390" t="s">
        <v>44</v>
      </c>
      <c r="F625" s="391">
        <v>107995.0</v>
      </c>
      <c r="G625" s="391">
        <v>17355.0</v>
      </c>
      <c r="H625" s="391">
        <v>16.07</v>
      </c>
      <c r="I625" s="391">
        <v>2.83</v>
      </c>
      <c r="J625" s="391">
        <v>2.61</v>
      </c>
      <c r="K625" s="391">
        <v>22836.0</v>
      </c>
      <c r="L625" s="391">
        <v>805566.0</v>
      </c>
      <c r="M625" s="391">
        <v>0.2115</v>
      </c>
      <c r="N625" s="38">
        <v>1.3158</v>
      </c>
    </row>
    <row r="626">
      <c r="A626" s="389" t="s">
        <v>1969</v>
      </c>
      <c r="B626" s="389" t="s">
        <v>339</v>
      </c>
      <c r="C626" s="389" t="s">
        <v>6</v>
      </c>
      <c r="D626" s="389" t="s">
        <v>591</v>
      </c>
      <c r="E626" s="390" t="s">
        <v>367</v>
      </c>
      <c r="F626" s="391">
        <v>107995.0</v>
      </c>
      <c r="G626" s="391">
        <v>15540.0</v>
      </c>
      <c r="H626" s="391">
        <v>14.39</v>
      </c>
      <c r="I626" s="391">
        <v>2.68</v>
      </c>
      <c r="J626" s="391">
        <v>2.05</v>
      </c>
      <c r="K626" s="391">
        <v>21555.0</v>
      </c>
      <c r="L626" s="391">
        <v>805566.0</v>
      </c>
      <c r="M626" s="391">
        <v>0.1996</v>
      </c>
      <c r="N626" s="38">
        <v>1.3871</v>
      </c>
    </row>
    <row r="627">
      <c r="A627" s="389" t="s">
        <v>1969</v>
      </c>
      <c r="B627" s="389" t="s">
        <v>339</v>
      </c>
      <c r="C627" s="389" t="s">
        <v>6</v>
      </c>
      <c r="D627" s="389" t="s">
        <v>591</v>
      </c>
      <c r="E627" s="390" t="s">
        <v>37</v>
      </c>
      <c r="F627" s="391">
        <v>107995.0</v>
      </c>
      <c r="G627" s="391">
        <v>8962.0</v>
      </c>
      <c r="H627" s="391">
        <v>8.3</v>
      </c>
      <c r="I627" s="391">
        <v>1.43</v>
      </c>
      <c r="J627" s="391">
        <v>1.36</v>
      </c>
      <c r="K627" s="391">
        <v>11502.0</v>
      </c>
      <c r="L627" s="391">
        <v>805566.0</v>
      </c>
      <c r="M627" s="391">
        <v>0.1065</v>
      </c>
      <c r="N627" s="38">
        <v>1.2834</v>
      </c>
    </row>
    <row r="628">
      <c r="A628" s="389" t="s">
        <v>1969</v>
      </c>
      <c r="B628" s="389" t="s">
        <v>339</v>
      </c>
      <c r="C628" s="389" t="s">
        <v>6</v>
      </c>
      <c r="D628" s="389" t="s">
        <v>591</v>
      </c>
      <c r="E628" s="390" t="s">
        <v>365</v>
      </c>
      <c r="F628" s="391">
        <v>107995.0</v>
      </c>
      <c r="G628" s="391">
        <v>7900.0</v>
      </c>
      <c r="H628" s="391">
        <v>7.32</v>
      </c>
      <c r="I628" s="391">
        <v>1.0</v>
      </c>
      <c r="J628" s="391">
        <v>0.96</v>
      </c>
      <c r="K628" s="391">
        <v>8080.0</v>
      </c>
      <c r="L628" s="391">
        <v>805566.0</v>
      </c>
      <c r="M628" s="391">
        <v>0.0748</v>
      </c>
      <c r="N628" s="38">
        <v>1.0228</v>
      </c>
    </row>
    <row r="629">
      <c r="A629" s="389" t="s">
        <v>1969</v>
      </c>
      <c r="B629" s="389" t="s">
        <v>339</v>
      </c>
      <c r="C629" s="389" t="s">
        <v>6</v>
      </c>
      <c r="D629" s="389" t="s">
        <v>591</v>
      </c>
      <c r="E629" s="390" t="s">
        <v>45</v>
      </c>
      <c r="F629" s="391">
        <v>107995.0</v>
      </c>
      <c r="G629" s="391">
        <v>2058.0</v>
      </c>
      <c r="H629" s="391">
        <v>1.91</v>
      </c>
      <c r="I629" s="391">
        <v>0.27</v>
      </c>
      <c r="J629" s="391">
        <v>0.19</v>
      </c>
      <c r="K629" s="391">
        <v>2187.0</v>
      </c>
      <c r="L629" s="391">
        <v>805566.0</v>
      </c>
      <c r="M629" s="391">
        <v>0.0203</v>
      </c>
      <c r="N629" s="38">
        <v>1.0627</v>
      </c>
    </row>
    <row r="630">
      <c r="A630" s="389" t="s">
        <v>1969</v>
      </c>
      <c r="B630" s="389" t="s">
        <v>339</v>
      </c>
      <c r="C630" s="389" t="s">
        <v>6</v>
      </c>
      <c r="D630" s="389" t="s">
        <v>591</v>
      </c>
      <c r="E630" s="390" t="s">
        <v>108</v>
      </c>
      <c r="F630" s="391">
        <v>107995.0</v>
      </c>
      <c r="G630" s="391">
        <v>1084.0</v>
      </c>
      <c r="H630" s="391">
        <v>1.0</v>
      </c>
      <c r="I630" s="391">
        <v>0.16</v>
      </c>
      <c r="J630" s="391">
        <v>0.12</v>
      </c>
      <c r="K630" s="391">
        <v>1313.0</v>
      </c>
      <c r="L630" s="391">
        <v>805566.0</v>
      </c>
      <c r="M630" s="391">
        <v>0.0122</v>
      </c>
      <c r="N630" s="38">
        <v>1.2113</v>
      </c>
    </row>
    <row r="631">
      <c r="A631" s="389" t="s">
        <v>1969</v>
      </c>
      <c r="B631" s="389" t="s">
        <v>339</v>
      </c>
      <c r="C631" s="389" t="s">
        <v>6</v>
      </c>
      <c r="D631" s="389" t="s">
        <v>591</v>
      </c>
      <c r="E631" s="390" t="s">
        <v>38</v>
      </c>
      <c r="F631" s="391">
        <v>107995.0</v>
      </c>
      <c r="G631" s="391">
        <v>578.0</v>
      </c>
      <c r="H631" s="391">
        <v>0.54</v>
      </c>
      <c r="I631" s="391">
        <v>0.07</v>
      </c>
      <c r="J631" s="391">
        <v>0.09</v>
      </c>
      <c r="K631" s="391">
        <v>595.0</v>
      </c>
      <c r="L631" s="391">
        <v>805566.0</v>
      </c>
      <c r="M631" s="391">
        <v>0.0055</v>
      </c>
      <c r="N631" s="38">
        <v>1.0294</v>
      </c>
    </row>
    <row r="632">
      <c r="A632" s="389" t="s">
        <v>1969</v>
      </c>
      <c r="B632" s="389" t="s">
        <v>339</v>
      </c>
      <c r="C632" s="389" t="s">
        <v>6</v>
      </c>
      <c r="D632" s="389" t="s">
        <v>591</v>
      </c>
      <c r="E632" s="390" t="s">
        <v>368</v>
      </c>
      <c r="F632" s="391">
        <v>107995.0</v>
      </c>
      <c r="G632" s="391">
        <v>358.0</v>
      </c>
      <c r="H632" s="391">
        <v>0.33</v>
      </c>
      <c r="I632" s="391">
        <v>0.05</v>
      </c>
      <c r="J632" s="391">
        <v>0.09</v>
      </c>
      <c r="K632" s="391">
        <v>379.0</v>
      </c>
      <c r="L632" s="391">
        <v>805566.0</v>
      </c>
      <c r="M632" s="391">
        <v>0.0035</v>
      </c>
      <c r="N632" s="38">
        <v>1.0587</v>
      </c>
    </row>
    <row r="633">
      <c r="A633" s="389" t="s">
        <v>1969</v>
      </c>
      <c r="B633" s="389" t="s">
        <v>339</v>
      </c>
      <c r="C633" s="389" t="s">
        <v>6</v>
      </c>
      <c r="D633" s="389" t="s">
        <v>591</v>
      </c>
      <c r="E633" s="390" t="s">
        <v>27</v>
      </c>
      <c r="F633" s="391">
        <v>107995.0</v>
      </c>
      <c r="G633" s="391">
        <v>39.0</v>
      </c>
      <c r="H633" s="391">
        <v>0.04</v>
      </c>
      <c r="I633" s="391">
        <v>0.01</v>
      </c>
      <c r="J633" s="391">
        <v>0.02</v>
      </c>
      <c r="K633" s="391">
        <v>42.0</v>
      </c>
      <c r="L633" s="391">
        <v>805566.0</v>
      </c>
      <c r="M633" s="391">
        <v>4.0E-4</v>
      </c>
      <c r="N633" s="38">
        <v>1.0769</v>
      </c>
    </row>
    <row r="634">
      <c r="A634" s="389" t="s">
        <v>1969</v>
      </c>
      <c r="B634" s="389" t="s">
        <v>339</v>
      </c>
      <c r="C634" s="389" t="s">
        <v>6</v>
      </c>
      <c r="D634" s="389" t="s">
        <v>591</v>
      </c>
      <c r="E634" s="390" t="s">
        <v>163</v>
      </c>
      <c r="F634" s="391">
        <v>107995.0</v>
      </c>
      <c r="G634" s="391">
        <v>65.0</v>
      </c>
      <c r="H634" s="391">
        <v>0.06</v>
      </c>
      <c r="I634" s="391">
        <v>0.01</v>
      </c>
      <c r="J634" s="391">
        <v>0.02</v>
      </c>
      <c r="K634" s="391">
        <v>66.0</v>
      </c>
      <c r="L634" s="391">
        <v>805566.0</v>
      </c>
      <c r="M634" s="391">
        <v>6.0E-4</v>
      </c>
      <c r="N634" s="38">
        <v>1.0154</v>
      </c>
    </row>
    <row r="635">
      <c r="A635" s="389" t="s">
        <v>1969</v>
      </c>
      <c r="B635" s="389" t="s">
        <v>339</v>
      </c>
      <c r="C635" s="389" t="s">
        <v>6</v>
      </c>
      <c r="D635" s="389" t="s">
        <v>591</v>
      </c>
      <c r="E635" s="390" t="s">
        <v>30</v>
      </c>
      <c r="F635" s="391">
        <v>107995.0</v>
      </c>
      <c r="G635" s="391">
        <v>50.0</v>
      </c>
      <c r="H635" s="391">
        <v>0.05</v>
      </c>
      <c r="I635" s="391">
        <v>0.01</v>
      </c>
      <c r="J635" s="391">
        <v>0.01</v>
      </c>
      <c r="K635" s="391">
        <v>51.0</v>
      </c>
      <c r="L635" s="391">
        <v>805566.0</v>
      </c>
      <c r="M635" s="391">
        <v>5.0E-4</v>
      </c>
      <c r="N635" s="38">
        <v>1.02</v>
      </c>
    </row>
    <row r="636">
      <c r="A636" s="389" t="s">
        <v>1969</v>
      </c>
      <c r="B636" s="389" t="s">
        <v>339</v>
      </c>
      <c r="C636" s="389" t="s">
        <v>6</v>
      </c>
      <c r="D636" s="389" t="s">
        <v>591</v>
      </c>
      <c r="E636" s="390" t="s">
        <v>282</v>
      </c>
      <c r="F636" s="391">
        <v>107995.0</v>
      </c>
      <c r="G636" s="391">
        <v>1.0</v>
      </c>
      <c r="H636" s="391">
        <v>0.0</v>
      </c>
      <c r="I636" s="391">
        <v>0.0</v>
      </c>
      <c r="J636" s="391">
        <v>0.0</v>
      </c>
      <c r="K636" s="391">
        <v>2.0</v>
      </c>
      <c r="L636" s="391">
        <v>805566.0</v>
      </c>
      <c r="M636" s="391">
        <v>0.0</v>
      </c>
      <c r="N636" s="38">
        <v>2.0</v>
      </c>
    </row>
    <row r="637">
      <c r="A637" s="389" t="s">
        <v>1969</v>
      </c>
      <c r="B637" s="389" t="s">
        <v>339</v>
      </c>
      <c r="C637" s="389" t="s">
        <v>6</v>
      </c>
      <c r="D637" s="389" t="s">
        <v>591</v>
      </c>
      <c r="E637" s="390" t="s">
        <v>49</v>
      </c>
      <c r="F637" s="391">
        <v>107995.0</v>
      </c>
      <c r="G637" s="391">
        <v>1.0</v>
      </c>
      <c r="H637" s="391">
        <v>0.0</v>
      </c>
      <c r="I637" s="391">
        <v>0.0</v>
      </c>
      <c r="J637" s="391">
        <v>0.0</v>
      </c>
      <c r="K637" s="391">
        <v>2.0</v>
      </c>
      <c r="L637" s="391">
        <v>805566.0</v>
      </c>
      <c r="M637" s="391">
        <v>0.0</v>
      </c>
      <c r="N637" s="38">
        <v>2.0</v>
      </c>
    </row>
    <row r="638">
      <c r="A638" s="389" t="s">
        <v>1969</v>
      </c>
      <c r="B638" s="389" t="s">
        <v>339</v>
      </c>
      <c r="C638" s="389" t="s">
        <v>6</v>
      </c>
      <c r="D638" s="389" t="s">
        <v>591</v>
      </c>
      <c r="E638" s="390" t="s">
        <v>284</v>
      </c>
      <c r="F638" s="391">
        <v>107995.0</v>
      </c>
      <c r="G638" s="391">
        <v>2.0</v>
      </c>
      <c r="H638" s="391">
        <v>0.0</v>
      </c>
      <c r="I638" s="391">
        <v>0.0</v>
      </c>
      <c r="J638" s="391">
        <v>0.0</v>
      </c>
      <c r="K638" s="391">
        <v>2.0</v>
      </c>
      <c r="L638" s="391">
        <v>805566.0</v>
      </c>
      <c r="M638" s="391">
        <v>0.0</v>
      </c>
      <c r="N638" s="38">
        <v>1.0</v>
      </c>
    </row>
    <row r="639">
      <c r="A639" s="389" t="s">
        <v>1969</v>
      </c>
      <c r="B639" s="389" t="s">
        <v>339</v>
      </c>
      <c r="C639" s="389" t="s">
        <v>6</v>
      </c>
      <c r="D639" s="389" t="s">
        <v>591</v>
      </c>
      <c r="E639" s="390" t="s">
        <v>283</v>
      </c>
      <c r="F639" s="391">
        <v>107995.0</v>
      </c>
      <c r="G639" s="391">
        <v>2.0</v>
      </c>
      <c r="H639" s="391">
        <v>0.0</v>
      </c>
      <c r="I639" s="391">
        <v>0.0</v>
      </c>
      <c r="J639" s="391">
        <v>0.0</v>
      </c>
      <c r="K639" s="391">
        <v>2.0</v>
      </c>
      <c r="L639" s="391">
        <v>805566.0</v>
      </c>
      <c r="M639" s="391">
        <v>0.0</v>
      </c>
      <c r="N639" s="38">
        <v>1.0</v>
      </c>
    </row>
    <row r="640">
      <c r="A640" s="389" t="s">
        <v>1969</v>
      </c>
      <c r="B640" s="389" t="s">
        <v>339</v>
      </c>
      <c r="C640" s="389" t="s">
        <v>10</v>
      </c>
      <c r="D640" s="389" t="s">
        <v>591</v>
      </c>
      <c r="E640" s="390" t="s">
        <v>366</v>
      </c>
      <c r="F640" s="391">
        <v>90219.0</v>
      </c>
      <c r="G640" s="391">
        <v>52448.0</v>
      </c>
      <c r="H640" s="391">
        <v>58.13</v>
      </c>
      <c r="I640" s="391">
        <v>20.77</v>
      </c>
      <c r="J640" s="391">
        <v>19.09</v>
      </c>
      <c r="K640" s="391">
        <v>119404.0</v>
      </c>
      <c r="L640" s="391">
        <v>574961.0</v>
      </c>
      <c r="M640" s="391">
        <v>1.3235</v>
      </c>
      <c r="N640" s="38">
        <v>2.2766</v>
      </c>
    </row>
    <row r="641">
      <c r="A641" s="389" t="s">
        <v>1969</v>
      </c>
      <c r="B641" s="389" t="s">
        <v>339</v>
      </c>
      <c r="C641" s="389" t="s">
        <v>10</v>
      </c>
      <c r="D641" s="389" t="s">
        <v>591</v>
      </c>
      <c r="E641" s="390" t="s">
        <v>370</v>
      </c>
      <c r="F641" s="391">
        <v>90219.0</v>
      </c>
      <c r="G641" s="391">
        <v>59163.0</v>
      </c>
      <c r="H641" s="391">
        <v>65.58</v>
      </c>
      <c r="I641" s="391">
        <v>18.89</v>
      </c>
      <c r="J641" s="391">
        <v>22.46</v>
      </c>
      <c r="K641" s="391">
        <v>108608.0</v>
      </c>
      <c r="L641" s="391">
        <v>574961.0</v>
      </c>
      <c r="M641" s="391">
        <v>1.2038</v>
      </c>
      <c r="N641" s="38">
        <v>1.8357</v>
      </c>
    </row>
    <row r="642">
      <c r="A642" s="389" t="s">
        <v>1969</v>
      </c>
      <c r="B642" s="389" t="s">
        <v>339</v>
      </c>
      <c r="C642" s="389" t="s">
        <v>10</v>
      </c>
      <c r="D642" s="389" t="s">
        <v>591</v>
      </c>
      <c r="E642" s="390" t="s">
        <v>363</v>
      </c>
      <c r="F642" s="391">
        <v>90219.0</v>
      </c>
      <c r="G642" s="391">
        <v>28330.0</v>
      </c>
      <c r="H642" s="391">
        <v>31.4</v>
      </c>
      <c r="I642" s="391">
        <v>16.23</v>
      </c>
      <c r="J642" s="391">
        <v>10.91</v>
      </c>
      <c r="K642" s="391">
        <v>93319.0</v>
      </c>
      <c r="L642" s="391">
        <v>574961.0</v>
      </c>
      <c r="M642" s="391">
        <v>1.0344</v>
      </c>
      <c r="N642" s="38">
        <v>3.294</v>
      </c>
    </row>
    <row r="643">
      <c r="A643" s="389" t="s">
        <v>1969</v>
      </c>
      <c r="B643" s="389" t="s">
        <v>339</v>
      </c>
      <c r="C643" s="389" t="s">
        <v>10</v>
      </c>
      <c r="D643" s="389" t="s">
        <v>591</v>
      </c>
      <c r="E643" s="390" t="s">
        <v>37</v>
      </c>
      <c r="F643" s="391">
        <v>90219.0</v>
      </c>
      <c r="G643" s="391">
        <v>38265.0</v>
      </c>
      <c r="H643" s="391">
        <v>42.41</v>
      </c>
      <c r="I643" s="391">
        <v>12.01</v>
      </c>
      <c r="J643" s="391">
        <v>13.91</v>
      </c>
      <c r="K643" s="391">
        <v>69043.0</v>
      </c>
      <c r="L643" s="391">
        <v>574961.0</v>
      </c>
      <c r="M643" s="391">
        <v>0.7653</v>
      </c>
      <c r="N643" s="38">
        <v>1.8043</v>
      </c>
    </row>
    <row r="644">
      <c r="A644" s="389" t="s">
        <v>1969</v>
      </c>
      <c r="B644" s="389" t="s">
        <v>339</v>
      </c>
      <c r="C644" s="389" t="s">
        <v>10</v>
      </c>
      <c r="D644" s="389" t="s">
        <v>591</v>
      </c>
      <c r="E644" s="390" t="s">
        <v>371</v>
      </c>
      <c r="F644" s="391">
        <v>90219.0</v>
      </c>
      <c r="G644" s="391">
        <v>40503.0</v>
      </c>
      <c r="H644" s="391">
        <v>44.89</v>
      </c>
      <c r="I644" s="391">
        <v>11.34</v>
      </c>
      <c r="J644" s="391">
        <v>10.84</v>
      </c>
      <c r="K644" s="391">
        <v>65214.0</v>
      </c>
      <c r="L644" s="391">
        <v>574961.0</v>
      </c>
      <c r="M644" s="391">
        <v>0.7228</v>
      </c>
      <c r="N644" s="38">
        <v>1.6101</v>
      </c>
    </row>
    <row r="645">
      <c r="A645" s="389" t="s">
        <v>1969</v>
      </c>
      <c r="B645" s="389" t="s">
        <v>339</v>
      </c>
      <c r="C645" s="389" t="s">
        <v>10</v>
      </c>
      <c r="D645" s="389" t="s">
        <v>591</v>
      </c>
      <c r="E645" s="390" t="s">
        <v>35</v>
      </c>
      <c r="F645" s="391">
        <v>90219.0</v>
      </c>
      <c r="G645" s="391">
        <v>9674.0</v>
      </c>
      <c r="H645" s="391">
        <v>10.72</v>
      </c>
      <c r="I645" s="391">
        <v>6.43</v>
      </c>
      <c r="J645" s="391">
        <v>4.41</v>
      </c>
      <c r="K645" s="391">
        <v>36982.0</v>
      </c>
      <c r="L645" s="391">
        <v>574961.0</v>
      </c>
      <c r="M645" s="391">
        <v>0.4099</v>
      </c>
      <c r="N645" s="38">
        <v>3.8228</v>
      </c>
    </row>
    <row r="646">
      <c r="A646" s="389" t="s">
        <v>1969</v>
      </c>
      <c r="B646" s="389" t="s">
        <v>339</v>
      </c>
      <c r="C646" s="389" t="s">
        <v>10</v>
      </c>
      <c r="D646" s="389" t="s">
        <v>591</v>
      </c>
      <c r="E646" s="390" t="s">
        <v>365</v>
      </c>
      <c r="F646" s="391">
        <v>90219.0</v>
      </c>
      <c r="G646" s="391">
        <v>25040.0</v>
      </c>
      <c r="H646" s="391">
        <v>27.75</v>
      </c>
      <c r="I646" s="391">
        <v>4.61</v>
      </c>
      <c r="J646" s="391">
        <v>6.04</v>
      </c>
      <c r="K646" s="391">
        <v>26499.0</v>
      </c>
      <c r="L646" s="391">
        <v>574961.0</v>
      </c>
      <c r="M646" s="391">
        <v>0.2937</v>
      </c>
      <c r="N646" s="38">
        <v>1.0583</v>
      </c>
    </row>
    <row r="647">
      <c r="A647" s="389" t="s">
        <v>1969</v>
      </c>
      <c r="B647" s="389" t="s">
        <v>339</v>
      </c>
      <c r="C647" s="389" t="s">
        <v>10</v>
      </c>
      <c r="D647" s="389" t="s">
        <v>591</v>
      </c>
      <c r="E647" s="390" t="s">
        <v>369</v>
      </c>
      <c r="F647" s="391">
        <v>90219.0</v>
      </c>
      <c r="G647" s="391">
        <v>11433.0</v>
      </c>
      <c r="H647" s="391">
        <v>12.67</v>
      </c>
      <c r="I647" s="391">
        <v>2.66</v>
      </c>
      <c r="J647" s="391">
        <v>3.14</v>
      </c>
      <c r="K647" s="391">
        <v>15303.0</v>
      </c>
      <c r="L647" s="391">
        <v>574961.0</v>
      </c>
      <c r="M647" s="391">
        <v>0.1696</v>
      </c>
      <c r="N647" s="38">
        <v>1.3385</v>
      </c>
    </row>
    <row r="648">
      <c r="A648" s="389" t="s">
        <v>1969</v>
      </c>
      <c r="B648" s="389" t="s">
        <v>339</v>
      </c>
      <c r="C648" s="389" t="s">
        <v>10</v>
      </c>
      <c r="D648" s="389" t="s">
        <v>591</v>
      </c>
      <c r="E648" s="390" t="s">
        <v>45</v>
      </c>
      <c r="F648" s="391">
        <v>90219.0</v>
      </c>
      <c r="G648" s="391">
        <v>8611.0</v>
      </c>
      <c r="H648" s="391">
        <v>9.54</v>
      </c>
      <c r="I648" s="391">
        <v>1.74</v>
      </c>
      <c r="J648" s="391">
        <v>1.76</v>
      </c>
      <c r="K648" s="391">
        <v>9991.0</v>
      </c>
      <c r="L648" s="391">
        <v>574961.0</v>
      </c>
      <c r="M648" s="391">
        <v>0.1107</v>
      </c>
      <c r="N648" s="38">
        <v>1.1603</v>
      </c>
    </row>
    <row r="649">
      <c r="A649" s="389" t="s">
        <v>1969</v>
      </c>
      <c r="B649" s="389" t="s">
        <v>339</v>
      </c>
      <c r="C649" s="389" t="s">
        <v>10</v>
      </c>
      <c r="D649" s="389" t="s">
        <v>591</v>
      </c>
      <c r="E649" s="390" t="s">
        <v>108</v>
      </c>
      <c r="F649" s="391">
        <v>90219.0</v>
      </c>
      <c r="G649" s="391">
        <v>5542.0</v>
      </c>
      <c r="H649" s="391">
        <v>6.14</v>
      </c>
      <c r="I649" s="391">
        <v>1.27</v>
      </c>
      <c r="J649" s="391">
        <v>1.72</v>
      </c>
      <c r="K649" s="391">
        <v>7295.0</v>
      </c>
      <c r="L649" s="391">
        <v>574961.0</v>
      </c>
      <c r="M649" s="391">
        <v>0.0809</v>
      </c>
      <c r="N649" s="38">
        <v>1.3163</v>
      </c>
    </row>
    <row r="650">
      <c r="A650" s="389" t="s">
        <v>1969</v>
      </c>
      <c r="B650" s="389" t="s">
        <v>339</v>
      </c>
      <c r="C650" s="389" t="s">
        <v>10</v>
      </c>
      <c r="D650" s="389" t="s">
        <v>591</v>
      </c>
      <c r="E650" s="390" t="s">
        <v>284</v>
      </c>
      <c r="F650" s="391">
        <v>90219.0</v>
      </c>
      <c r="G650" s="391">
        <v>5770.0</v>
      </c>
      <c r="H650" s="391">
        <v>6.4</v>
      </c>
      <c r="I650" s="391">
        <v>1.11</v>
      </c>
      <c r="J650" s="391">
        <v>1.5</v>
      </c>
      <c r="K650" s="391">
        <v>6393.0</v>
      </c>
      <c r="L650" s="391">
        <v>574961.0</v>
      </c>
      <c r="M650" s="391">
        <v>0.0709</v>
      </c>
      <c r="N650" s="38">
        <v>1.108</v>
      </c>
    </row>
    <row r="651">
      <c r="A651" s="389" t="s">
        <v>1969</v>
      </c>
      <c r="B651" s="389" t="s">
        <v>339</v>
      </c>
      <c r="C651" s="389" t="s">
        <v>10</v>
      </c>
      <c r="D651" s="389" t="s">
        <v>591</v>
      </c>
      <c r="E651" s="390" t="s">
        <v>282</v>
      </c>
      <c r="F651" s="391">
        <v>90219.0</v>
      </c>
      <c r="G651" s="391">
        <v>5462.0</v>
      </c>
      <c r="H651" s="391">
        <v>6.05</v>
      </c>
      <c r="I651" s="391">
        <v>1.01</v>
      </c>
      <c r="J651" s="391">
        <v>1.54</v>
      </c>
      <c r="K651" s="391">
        <v>5823.0</v>
      </c>
      <c r="L651" s="391">
        <v>574961.0</v>
      </c>
      <c r="M651" s="391">
        <v>0.0645</v>
      </c>
      <c r="N651" s="38">
        <v>1.0661</v>
      </c>
    </row>
    <row r="652">
      <c r="A652" s="389" t="s">
        <v>1969</v>
      </c>
      <c r="B652" s="389" t="s">
        <v>339</v>
      </c>
      <c r="C652" s="389" t="s">
        <v>10</v>
      </c>
      <c r="D652" s="389" t="s">
        <v>591</v>
      </c>
      <c r="E652" s="390" t="s">
        <v>283</v>
      </c>
      <c r="F652" s="391">
        <v>90219.0</v>
      </c>
      <c r="G652" s="391">
        <v>5179.0</v>
      </c>
      <c r="H652" s="391">
        <v>5.74</v>
      </c>
      <c r="I652" s="391">
        <v>0.95</v>
      </c>
      <c r="J652" s="391">
        <v>1.57</v>
      </c>
      <c r="K652" s="391">
        <v>5485.0</v>
      </c>
      <c r="L652" s="391">
        <v>574961.0</v>
      </c>
      <c r="M652" s="391">
        <v>0.0608</v>
      </c>
      <c r="N652" s="38">
        <v>1.0591</v>
      </c>
    </row>
    <row r="653">
      <c r="A653" s="389" t="s">
        <v>1969</v>
      </c>
      <c r="B653" s="389" t="s">
        <v>339</v>
      </c>
      <c r="C653" s="389" t="s">
        <v>10</v>
      </c>
      <c r="D653" s="389" t="s">
        <v>591</v>
      </c>
      <c r="E653" s="390" t="s">
        <v>39</v>
      </c>
      <c r="F653" s="391">
        <v>90219.0</v>
      </c>
      <c r="G653" s="391">
        <v>3429.0</v>
      </c>
      <c r="H653" s="391">
        <v>3.8</v>
      </c>
      <c r="I653" s="391">
        <v>0.68</v>
      </c>
      <c r="J653" s="391">
        <v>0.73</v>
      </c>
      <c r="K653" s="391">
        <v>3883.0</v>
      </c>
      <c r="L653" s="391">
        <v>574961.0</v>
      </c>
      <c r="M653" s="391">
        <v>0.043</v>
      </c>
      <c r="N653" s="38">
        <v>1.1324</v>
      </c>
    </row>
    <row r="654">
      <c r="A654" s="389" t="s">
        <v>1969</v>
      </c>
      <c r="B654" s="389" t="s">
        <v>339</v>
      </c>
      <c r="C654" s="389" t="s">
        <v>10</v>
      </c>
      <c r="D654" s="389" t="s">
        <v>591</v>
      </c>
      <c r="E654" s="390" t="s">
        <v>27</v>
      </c>
      <c r="F654" s="391">
        <v>90219.0</v>
      </c>
      <c r="G654" s="391">
        <v>1523.0</v>
      </c>
      <c r="H654" s="391">
        <v>1.69</v>
      </c>
      <c r="I654" s="391">
        <v>0.27</v>
      </c>
      <c r="J654" s="391">
        <v>0.31</v>
      </c>
      <c r="K654" s="391">
        <v>1541.0</v>
      </c>
      <c r="L654" s="391">
        <v>574961.0</v>
      </c>
      <c r="M654" s="391">
        <v>0.0171</v>
      </c>
      <c r="N654" s="38">
        <v>1.0118</v>
      </c>
    </row>
    <row r="655">
      <c r="A655" s="389" t="s">
        <v>1969</v>
      </c>
      <c r="B655" s="389" t="s">
        <v>339</v>
      </c>
      <c r="C655" s="389" t="s">
        <v>10</v>
      </c>
      <c r="D655" s="389" t="s">
        <v>591</v>
      </c>
      <c r="E655" s="390" t="s">
        <v>38</v>
      </c>
      <c r="F655" s="391">
        <v>90219.0</v>
      </c>
      <c r="G655" s="391">
        <v>171.0</v>
      </c>
      <c r="H655" s="391">
        <v>0.19</v>
      </c>
      <c r="I655" s="391">
        <v>0.03</v>
      </c>
      <c r="J655" s="391">
        <v>0.06</v>
      </c>
      <c r="K655" s="391">
        <v>171.0</v>
      </c>
      <c r="L655" s="391">
        <v>574961.0</v>
      </c>
      <c r="M655" s="391">
        <v>0.0019</v>
      </c>
      <c r="N655" s="38">
        <v>1.0</v>
      </c>
    </row>
    <row r="656">
      <c r="A656" s="389" t="s">
        <v>1969</v>
      </c>
      <c r="B656" s="389" t="s">
        <v>339</v>
      </c>
      <c r="C656" s="389" t="s">
        <v>10</v>
      </c>
      <c r="D656" s="389" t="s">
        <v>591</v>
      </c>
      <c r="E656" s="390" t="s">
        <v>367</v>
      </c>
      <c r="F656" s="391">
        <v>90219.0</v>
      </c>
      <c r="G656" s="391">
        <v>1.0</v>
      </c>
      <c r="H656" s="391">
        <v>0.0</v>
      </c>
      <c r="I656" s="391">
        <v>0.0</v>
      </c>
      <c r="J656" s="391">
        <v>0.0</v>
      </c>
      <c r="K656" s="391">
        <v>2.0</v>
      </c>
      <c r="L656" s="391">
        <v>574961.0</v>
      </c>
      <c r="M656" s="391">
        <v>0.0</v>
      </c>
      <c r="N656" s="38">
        <v>2.0</v>
      </c>
    </row>
    <row r="657">
      <c r="A657" s="389" t="s">
        <v>1969</v>
      </c>
      <c r="B657" s="389" t="s">
        <v>339</v>
      </c>
      <c r="C657" s="389" t="s">
        <v>10</v>
      </c>
      <c r="D657" s="389" t="s">
        <v>591</v>
      </c>
      <c r="E657" s="390" t="s">
        <v>30</v>
      </c>
      <c r="F657" s="391">
        <v>90219.0</v>
      </c>
      <c r="G657" s="391">
        <v>2.0</v>
      </c>
      <c r="H657" s="391">
        <v>0.0</v>
      </c>
      <c r="I657" s="391">
        <v>0.0</v>
      </c>
      <c r="J657" s="391">
        <v>0.0</v>
      </c>
      <c r="K657" s="391">
        <v>2.0</v>
      </c>
      <c r="L657" s="391">
        <v>574961.0</v>
      </c>
      <c r="M657" s="391">
        <v>0.0</v>
      </c>
      <c r="N657" s="38">
        <v>1.0</v>
      </c>
    </row>
    <row r="658">
      <c r="A658" s="389" t="s">
        <v>1969</v>
      </c>
      <c r="B658" s="389" t="s">
        <v>339</v>
      </c>
      <c r="C658" s="389" t="s">
        <v>10</v>
      </c>
      <c r="D658" s="389" t="s">
        <v>591</v>
      </c>
      <c r="E658" s="390" t="s">
        <v>163</v>
      </c>
      <c r="F658" s="391">
        <v>90219.0</v>
      </c>
      <c r="G658" s="391">
        <v>3.0</v>
      </c>
      <c r="H658" s="391">
        <v>0.0</v>
      </c>
      <c r="I658" s="391">
        <v>0.0</v>
      </c>
      <c r="J658" s="391">
        <v>0.0</v>
      </c>
      <c r="K658" s="391">
        <v>3.0</v>
      </c>
      <c r="L658" s="391">
        <v>574961.0</v>
      </c>
      <c r="M658" s="391">
        <v>0.0</v>
      </c>
      <c r="N658" s="38">
        <v>1.0</v>
      </c>
    </row>
    <row r="659">
      <c r="A659" s="389" t="s">
        <v>1969</v>
      </c>
      <c r="B659" s="389" t="s">
        <v>339</v>
      </c>
      <c r="C659" s="389" t="s">
        <v>9</v>
      </c>
      <c r="D659" s="389" t="s">
        <v>591</v>
      </c>
      <c r="E659" s="390" t="s">
        <v>366</v>
      </c>
      <c r="F659" s="391">
        <v>94438.0</v>
      </c>
      <c r="G659" s="391">
        <v>62233.0</v>
      </c>
      <c r="H659" s="391">
        <v>65.9</v>
      </c>
      <c r="I659" s="391">
        <v>25.96</v>
      </c>
      <c r="J659" s="391">
        <v>24.57</v>
      </c>
      <c r="K659" s="391">
        <v>180767.0</v>
      </c>
      <c r="L659" s="391">
        <v>696197.0</v>
      </c>
      <c r="M659" s="391">
        <v>1.9141</v>
      </c>
      <c r="N659" s="38">
        <v>2.9047</v>
      </c>
    </row>
    <row r="660">
      <c r="A660" s="389" t="s">
        <v>1969</v>
      </c>
      <c r="B660" s="389" t="s">
        <v>339</v>
      </c>
      <c r="C660" s="389" t="s">
        <v>9</v>
      </c>
      <c r="D660" s="389" t="s">
        <v>591</v>
      </c>
      <c r="E660" s="390" t="s">
        <v>370</v>
      </c>
      <c r="F660" s="391">
        <v>94438.0</v>
      </c>
      <c r="G660" s="391">
        <v>59079.0</v>
      </c>
      <c r="H660" s="391">
        <v>62.56</v>
      </c>
      <c r="I660" s="391">
        <v>15.62</v>
      </c>
      <c r="J660" s="391">
        <v>17.92</v>
      </c>
      <c r="K660" s="391">
        <v>108750.0</v>
      </c>
      <c r="L660" s="391">
        <v>696197.0</v>
      </c>
      <c r="M660" s="391">
        <v>1.1515</v>
      </c>
      <c r="N660" s="38">
        <v>1.8408</v>
      </c>
    </row>
    <row r="661">
      <c r="A661" s="389" t="s">
        <v>1969</v>
      </c>
      <c r="B661" s="389" t="s">
        <v>339</v>
      </c>
      <c r="C661" s="389" t="s">
        <v>9</v>
      </c>
      <c r="D661" s="389" t="s">
        <v>591</v>
      </c>
      <c r="E661" s="390" t="s">
        <v>363</v>
      </c>
      <c r="F661" s="391">
        <v>94438.0</v>
      </c>
      <c r="G661" s="391">
        <v>28429.0</v>
      </c>
      <c r="H661" s="391">
        <v>30.1</v>
      </c>
      <c r="I661" s="391">
        <v>13.41</v>
      </c>
      <c r="J661" s="391">
        <v>9.04</v>
      </c>
      <c r="K661" s="391">
        <v>93383.0</v>
      </c>
      <c r="L661" s="391">
        <v>696197.0</v>
      </c>
      <c r="M661" s="391">
        <v>0.9888</v>
      </c>
      <c r="N661" s="38">
        <v>3.2848</v>
      </c>
    </row>
    <row r="662">
      <c r="A662" s="389" t="s">
        <v>1969</v>
      </c>
      <c r="B662" s="389" t="s">
        <v>339</v>
      </c>
      <c r="C662" s="389" t="s">
        <v>9</v>
      </c>
      <c r="D662" s="389" t="s">
        <v>591</v>
      </c>
      <c r="E662" s="390" t="s">
        <v>35</v>
      </c>
      <c r="F662" s="391">
        <v>94438.0</v>
      </c>
      <c r="G662" s="391">
        <v>28651.0</v>
      </c>
      <c r="H662" s="391">
        <v>30.34</v>
      </c>
      <c r="I662" s="391">
        <v>10.3</v>
      </c>
      <c r="J662" s="391">
        <v>9.7</v>
      </c>
      <c r="K662" s="391">
        <v>71737.0</v>
      </c>
      <c r="L662" s="391">
        <v>696197.0</v>
      </c>
      <c r="M662" s="391">
        <v>0.7596</v>
      </c>
      <c r="N662" s="38">
        <v>2.5038</v>
      </c>
    </row>
    <row r="663">
      <c r="A663" s="389" t="s">
        <v>1969</v>
      </c>
      <c r="B663" s="389" t="s">
        <v>339</v>
      </c>
      <c r="C663" s="389" t="s">
        <v>9</v>
      </c>
      <c r="D663" s="389" t="s">
        <v>591</v>
      </c>
      <c r="E663" s="390" t="s">
        <v>37</v>
      </c>
      <c r="F663" s="391">
        <v>94438.0</v>
      </c>
      <c r="G663" s="391">
        <v>30897.0</v>
      </c>
      <c r="H663" s="391">
        <v>32.72</v>
      </c>
      <c r="I663" s="391">
        <v>7.05</v>
      </c>
      <c r="J663" s="391">
        <v>8.08</v>
      </c>
      <c r="K663" s="391">
        <v>49057.0</v>
      </c>
      <c r="L663" s="391">
        <v>696197.0</v>
      </c>
      <c r="M663" s="391">
        <v>0.5195</v>
      </c>
      <c r="N663" s="38">
        <v>1.5878</v>
      </c>
    </row>
    <row r="664">
      <c r="A664" s="389" t="s">
        <v>1969</v>
      </c>
      <c r="B664" s="389" t="s">
        <v>339</v>
      </c>
      <c r="C664" s="389" t="s">
        <v>9</v>
      </c>
      <c r="D664" s="389" t="s">
        <v>591</v>
      </c>
      <c r="E664" s="390" t="s">
        <v>369</v>
      </c>
      <c r="F664" s="391">
        <v>94438.0</v>
      </c>
      <c r="G664" s="391">
        <v>25331.0</v>
      </c>
      <c r="H664" s="391">
        <v>26.82</v>
      </c>
      <c r="I664" s="391">
        <v>5.31</v>
      </c>
      <c r="J664" s="391">
        <v>5.8</v>
      </c>
      <c r="K664" s="391">
        <v>36975.0</v>
      </c>
      <c r="L664" s="391">
        <v>696197.0</v>
      </c>
      <c r="M664" s="391">
        <v>0.3915</v>
      </c>
      <c r="N664" s="38">
        <v>1.4597</v>
      </c>
    </row>
    <row r="665">
      <c r="A665" s="389" t="s">
        <v>1969</v>
      </c>
      <c r="B665" s="389" t="s">
        <v>339</v>
      </c>
      <c r="C665" s="389" t="s">
        <v>9</v>
      </c>
      <c r="D665" s="389" t="s">
        <v>591</v>
      </c>
      <c r="E665" s="390" t="s">
        <v>371</v>
      </c>
      <c r="F665" s="391">
        <v>94438.0</v>
      </c>
      <c r="G665" s="391">
        <v>15948.0</v>
      </c>
      <c r="H665" s="391">
        <v>16.89</v>
      </c>
      <c r="I665" s="391">
        <v>4.48</v>
      </c>
      <c r="J665" s="391">
        <v>3.95</v>
      </c>
      <c r="K665" s="391">
        <v>31158.0</v>
      </c>
      <c r="L665" s="391">
        <v>696197.0</v>
      </c>
      <c r="M665" s="391">
        <v>0.3299</v>
      </c>
      <c r="N665" s="38">
        <v>1.9537</v>
      </c>
    </row>
    <row r="666">
      <c r="A666" s="389" t="s">
        <v>1969</v>
      </c>
      <c r="B666" s="389" t="s">
        <v>339</v>
      </c>
      <c r="C666" s="389" t="s">
        <v>9</v>
      </c>
      <c r="D666" s="389" t="s">
        <v>591</v>
      </c>
      <c r="E666" s="390" t="s">
        <v>44</v>
      </c>
      <c r="F666" s="391">
        <v>94438.0</v>
      </c>
      <c r="G666" s="391">
        <v>17355.0</v>
      </c>
      <c r="H666" s="391">
        <v>18.38</v>
      </c>
      <c r="I666" s="391">
        <v>3.28</v>
      </c>
      <c r="J666" s="391">
        <v>3.62</v>
      </c>
      <c r="K666" s="391">
        <v>22836.0</v>
      </c>
      <c r="L666" s="391">
        <v>696197.0</v>
      </c>
      <c r="M666" s="391">
        <v>0.2418</v>
      </c>
      <c r="N666" s="38">
        <v>1.3158</v>
      </c>
    </row>
    <row r="667">
      <c r="A667" s="389" t="s">
        <v>1969</v>
      </c>
      <c r="B667" s="389" t="s">
        <v>339</v>
      </c>
      <c r="C667" s="389" t="s">
        <v>9</v>
      </c>
      <c r="D667" s="389" t="s">
        <v>591</v>
      </c>
      <c r="E667" s="390" t="s">
        <v>282</v>
      </c>
      <c r="F667" s="391">
        <v>94438.0</v>
      </c>
      <c r="G667" s="391">
        <v>18563.0</v>
      </c>
      <c r="H667" s="391">
        <v>19.66</v>
      </c>
      <c r="I667" s="391">
        <v>3.15</v>
      </c>
      <c r="J667" s="391">
        <v>3.78</v>
      </c>
      <c r="K667" s="391">
        <v>21899.0</v>
      </c>
      <c r="L667" s="391">
        <v>696197.0</v>
      </c>
      <c r="M667" s="391">
        <v>0.2319</v>
      </c>
      <c r="N667" s="38">
        <v>1.1797</v>
      </c>
    </row>
    <row r="668">
      <c r="A668" s="389" t="s">
        <v>1969</v>
      </c>
      <c r="B668" s="389" t="s">
        <v>339</v>
      </c>
      <c r="C668" s="389" t="s">
        <v>9</v>
      </c>
      <c r="D668" s="389" t="s">
        <v>591</v>
      </c>
      <c r="E668" s="390" t="s">
        <v>283</v>
      </c>
      <c r="F668" s="391">
        <v>94438.0</v>
      </c>
      <c r="G668" s="391">
        <v>17322.0</v>
      </c>
      <c r="H668" s="391">
        <v>18.34</v>
      </c>
      <c r="I668" s="391">
        <v>2.86</v>
      </c>
      <c r="J668" s="391">
        <v>3.66</v>
      </c>
      <c r="K668" s="391">
        <v>19896.0</v>
      </c>
      <c r="L668" s="391">
        <v>696197.0</v>
      </c>
      <c r="M668" s="391">
        <v>0.2107</v>
      </c>
      <c r="N668" s="38">
        <v>1.1486</v>
      </c>
    </row>
    <row r="669">
      <c r="A669" s="389" t="s">
        <v>1969</v>
      </c>
      <c r="B669" s="389" t="s">
        <v>339</v>
      </c>
      <c r="C669" s="389" t="s">
        <v>9</v>
      </c>
      <c r="D669" s="389" t="s">
        <v>591</v>
      </c>
      <c r="E669" s="390" t="s">
        <v>284</v>
      </c>
      <c r="F669" s="391">
        <v>94438.0</v>
      </c>
      <c r="G669" s="391">
        <v>15466.0</v>
      </c>
      <c r="H669" s="391">
        <v>16.38</v>
      </c>
      <c r="I669" s="391">
        <v>2.68</v>
      </c>
      <c r="J669" s="391">
        <v>3.39</v>
      </c>
      <c r="K669" s="391">
        <v>18638.0</v>
      </c>
      <c r="L669" s="391">
        <v>696197.0</v>
      </c>
      <c r="M669" s="391">
        <v>0.1974</v>
      </c>
      <c r="N669" s="38">
        <v>1.2051</v>
      </c>
    </row>
    <row r="670">
      <c r="A670" s="389" t="s">
        <v>1969</v>
      </c>
      <c r="B670" s="389" t="s">
        <v>339</v>
      </c>
      <c r="C670" s="389" t="s">
        <v>9</v>
      </c>
      <c r="D670" s="389" t="s">
        <v>591</v>
      </c>
      <c r="E670" s="390" t="s">
        <v>365</v>
      </c>
      <c r="F670" s="391">
        <v>94438.0</v>
      </c>
      <c r="G670" s="391">
        <v>17671.0</v>
      </c>
      <c r="H670" s="391">
        <v>18.71</v>
      </c>
      <c r="I670" s="391">
        <v>2.64</v>
      </c>
      <c r="J670" s="391">
        <v>3.31</v>
      </c>
      <c r="K670" s="391">
        <v>18381.0</v>
      </c>
      <c r="L670" s="391">
        <v>696197.0</v>
      </c>
      <c r="M670" s="391">
        <v>0.1946</v>
      </c>
      <c r="N670" s="38">
        <v>1.0402</v>
      </c>
    </row>
    <row r="671">
      <c r="A671" s="389" t="s">
        <v>1969</v>
      </c>
      <c r="B671" s="389" t="s">
        <v>339</v>
      </c>
      <c r="C671" s="389" t="s">
        <v>9</v>
      </c>
      <c r="D671" s="389" t="s">
        <v>591</v>
      </c>
      <c r="E671" s="390" t="s">
        <v>45</v>
      </c>
      <c r="F671" s="391">
        <v>94438.0</v>
      </c>
      <c r="G671" s="391">
        <v>8227.0</v>
      </c>
      <c r="H671" s="391">
        <v>8.71</v>
      </c>
      <c r="I671" s="391">
        <v>1.35</v>
      </c>
      <c r="J671" s="391">
        <v>1.21</v>
      </c>
      <c r="K671" s="391">
        <v>9397.0</v>
      </c>
      <c r="L671" s="391">
        <v>696197.0</v>
      </c>
      <c r="M671" s="391">
        <v>0.0995</v>
      </c>
      <c r="N671" s="38">
        <v>1.1422</v>
      </c>
    </row>
    <row r="672">
      <c r="A672" s="389" t="s">
        <v>1969</v>
      </c>
      <c r="B672" s="389" t="s">
        <v>339</v>
      </c>
      <c r="C672" s="389" t="s">
        <v>9</v>
      </c>
      <c r="D672" s="389" t="s">
        <v>591</v>
      </c>
      <c r="E672" s="390" t="s">
        <v>367</v>
      </c>
      <c r="F672" s="391">
        <v>94438.0</v>
      </c>
      <c r="G672" s="391">
        <v>5191.0</v>
      </c>
      <c r="H672" s="391">
        <v>5.5</v>
      </c>
      <c r="I672" s="391">
        <v>0.87</v>
      </c>
      <c r="J672" s="391">
        <v>0.71</v>
      </c>
      <c r="K672" s="391">
        <v>6085.0</v>
      </c>
      <c r="L672" s="391">
        <v>696197.0</v>
      </c>
      <c r="M672" s="391">
        <v>0.0644</v>
      </c>
      <c r="N672" s="38">
        <v>1.1722</v>
      </c>
    </row>
    <row r="673">
      <c r="A673" s="389" t="s">
        <v>1969</v>
      </c>
      <c r="B673" s="389" t="s">
        <v>339</v>
      </c>
      <c r="C673" s="389" t="s">
        <v>9</v>
      </c>
      <c r="D673" s="389" t="s">
        <v>591</v>
      </c>
      <c r="E673" s="390" t="s">
        <v>27</v>
      </c>
      <c r="F673" s="391">
        <v>94438.0</v>
      </c>
      <c r="G673" s="391">
        <v>5505.0</v>
      </c>
      <c r="H673" s="391">
        <v>5.83</v>
      </c>
      <c r="I673" s="391">
        <v>0.8</v>
      </c>
      <c r="J673" s="391">
        <v>0.82</v>
      </c>
      <c r="K673" s="391">
        <v>5584.0</v>
      </c>
      <c r="L673" s="391">
        <v>696197.0</v>
      </c>
      <c r="M673" s="391">
        <v>0.0591</v>
      </c>
      <c r="N673" s="38">
        <v>1.0144</v>
      </c>
    </row>
    <row r="674">
      <c r="A674" s="389" t="s">
        <v>1969</v>
      </c>
      <c r="B674" s="389" t="s">
        <v>339</v>
      </c>
      <c r="C674" s="389" t="s">
        <v>9</v>
      </c>
      <c r="D674" s="389" t="s">
        <v>591</v>
      </c>
      <c r="E674" s="390" t="s">
        <v>39</v>
      </c>
      <c r="F674" s="391">
        <v>94438.0</v>
      </c>
      <c r="G674" s="391">
        <v>840.0</v>
      </c>
      <c r="H674" s="391">
        <v>0.89</v>
      </c>
      <c r="I674" s="391">
        <v>0.14</v>
      </c>
      <c r="J674" s="391">
        <v>0.23</v>
      </c>
      <c r="K674" s="391">
        <v>943.0</v>
      </c>
      <c r="L674" s="391">
        <v>696197.0</v>
      </c>
      <c r="M674" s="391">
        <v>0.01</v>
      </c>
      <c r="N674" s="38">
        <v>1.1226</v>
      </c>
    </row>
    <row r="675">
      <c r="A675" s="389" t="s">
        <v>1969</v>
      </c>
      <c r="B675" s="389" t="s">
        <v>339</v>
      </c>
      <c r="C675" s="389" t="s">
        <v>9</v>
      </c>
      <c r="D675" s="389" t="s">
        <v>591</v>
      </c>
      <c r="E675" s="390" t="s">
        <v>38</v>
      </c>
      <c r="F675" s="391">
        <v>94438.0</v>
      </c>
      <c r="G675" s="391">
        <v>561.0</v>
      </c>
      <c r="H675" s="391">
        <v>0.59</v>
      </c>
      <c r="I675" s="391">
        <v>0.08</v>
      </c>
      <c r="J675" s="391">
        <v>0.19</v>
      </c>
      <c r="K675" s="391">
        <v>573.0</v>
      </c>
      <c r="L675" s="391">
        <v>696197.0</v>
      </c>
      <c r="M675" s="391">
        <v>0.0061</v>
      </c>
      <c r="N675" s="38">
        <v>1.0214</v>
      </c>
    </row>
    <row r="676">
      <c r="A676" s="389" t="s">
        <v>1969</v>
      </c>
      <c r="B676" s="389" t="s">
        <v>339</v>
      </c>
      <c r="C676" s="389" t="s">
        <v>9</v>
      </c>
      <c r="D676" s="389" t="s">
        <v>591</v>
      </c>
      <c r="E676" s="390" t="s">
        <v>108</v>
      </c>
      <c r="F676" s="391">
        <v>94438.0</v>
      </c>
      <c r="G676" s="391">
        <v>94.0</v>
      </c>
      <c r="H676" s="391">
        <v>0.1</v>
      </c>
      <c r="I676" s="391">
        <v>0.02</v>
      </c>
      <c r="J676" s="391">
        <v>0.02</v>
      </c>
      <c r="K676" s="391">
        <v>124.0</v>
      </c>
      <c r="L676" s="391">
        <v>696197.0</v>
      </c>
      <c r="M676" s="391">
        <v>0.0013</v>
      </c>
      <c r="N676" s="38">
        <v>1.3191</v>
      </c>
    </row>
    <row r="677">
      <c r="A677" s="389" t="s">
        <v>1969</v>
      </c>
      <c r="B677" s="389" t="s">
        <v>339</v>
      </c>
      <c r="C677" s="389" t="s">
        <v>9</v>
      </c>
      <c r="D677" s="389" t="s">
        <v>591</v>
      </c>
      <c r="E677" s="390" t="s">
        <v>368</v>
      </c>
      <c r="F677" s="391">
        <v>94438.0</v>
      </c>
      <c r="G677" s="391">
        <v>12.0</v>
      </c>
      <c r="H677" s="391">
        <v>0.01</v>
      </c>
      <c r="I677" s="391">
        <v>0.0</v>
      </c>
      <c r="J677" s="391">
        <v>0.0</v>
      </c>
      <c r="K677" s="391">
        <v>12.0</v>
      </c>
      <c r="L677" s="391">
        <v>696197.0</v>
      </c>
      <c r="M677" s="391">
        <v>1.0E-4</v>
      </c>
      <c r="N677" s="38">
        <v>1.0</v>
      </c>
    </row>
    <row r="678">
      <c r="A678" s="389" t="s">
        <v>1969</v>
      </c>
      <c r="B678" s="389" t="s">
        <v>339</v>
      </c>
      <c r="C678" s="389" t="s">
        <v>9</v>
      </c>
      <c r="D678" s="389" t="s">
        <v>591</v>
      </c>
      <c r="E678" s="390" t="s">
        <v>163</v>
      </c>
      <c r="F678" s="391">
        <v>94438.0</v>
      </c>
      <c r="G678" s="391">
        <v>2.0</v>
      </c>
      <c r="H678" s="391">
        <v>0.0</v>
      </c>
      <c r="I678" s="391">
        <v>0.0</v>
      </c>
      <c r="J678" s="391">
        <v>0.0</v>
      </c>
      <c r="K678" s="391">
        <v>2.0</v>
      </c>
      <c r="L678" s="391">
        <v>696197.0</v>
      </c>
      <c r="M678" s="391">
        <v>0.0</v>
      </c>
      <c r="N678" s="38">
        <v>1.0</v>
      </c>
    </row>
    <row r="679">
      <c r="A679" s="389" t="s">
        <v>1969</v>
      </c>
      <c r="B679" s="389" t="s">
        <v>339</v>
      </c>
      <c r="C679" s="389" t="s">
        <v>358</v>
      </c>
      <c r="D679" s="389" t="s">
        <v>1968</v>
      </c>
      <c r="E679" s="390" t="s">
        <v>366</v>
      </c>
      <c r="F679" s="391">
        <v>26478.0</v>
      </c>
      <c r="G679" s="391">
        <v>18162.0</v>
      </c>
      <c r="H679" s="391">
        <v>68.59</v>
      </c>
      <c r="I679" s="391">
        <v>72.16</v>
      </c>
      <c r="J679" s="391">
        <v>64.22</v>
      </c>
      <c r="K679" s="391">
        <v>563295.0</v>
      </c>
      <c r="L679" s="391">
        <v>780600.0</v>
      </c>
      <c r="M679" s="391">
        <v>21.2741</v>
      </c>
      <c r="N679" s="38">
        <v>31.015</v>
      </c>
    </row>
    <row r="680">
      <c r="A680" s="389" t="s">
        <v>1969</v>
      </c>
      <c r="B680" s="389" t="s">
        <v>339</v>
      </c>
      <c r="C680" s="389" t="s">
        <v>358</v>
      </c>
      <c r="D680" s="389" t="s">
        <v>1968</v>
      </c>
      <c r="E680" s="390" t="s">
        <v>371</v>
      </c>
      <c r="F680" s="391">
        <v>26478.0</v>
      </c>
      <c r="G680" s="391">
        <v>9137.0</v>
      </c>
      <c r="H680" s="391">
        <v>34.51</v>
      </c>
      <c r="I680" s="391">
        <v>19.92</v>
      </c>
      <c r="J680" s="391">
        <v>27.33</v>
      </c>
      <c r="K680" s="391">
        <v>155530.0</v>
      </c>
      <c r="L680" s="391">
        <v>780600.0</v>
      </c>
      <c r="M680" s="391">
        <v>5.8739</v>
      </c>
      <c r="N680" s="38">
        <v>17.022</v>
      </c>
    </row>
    <row r="681">
      <c r="A681" s="389" t="s">
        <v>1969</v>
      </c>
      <c r="B681" s="389" t="s">
        <v>339</v>
      </c>
      <c r="C681" s="389" t="s">
        <v>358</v>
      </c>
      <c r="D681" s="389" t="s">
        <v>1968</v>
      </c>
      <c r="E681" s="390" t="s">
        <v>108</v>
      </c>
      <c r="F681" s="391">
        <v>26478.0</v>
      </c>
      <c r="G681" s="391">
        <v>1346.0</v>
      </c>
      <c r="H681" s="391">
        <v>5.08</v>
      </c>
      <c r="I681" s="391">
        <v>3.64</v>
      </c>
      <c r="J681" s="391">
        <v>3.62</v>
      </c>
      <c r="K681" s="391">
        <v>28435.0</v>
      </c>
      <c r="L681" s="391">
        <v>780600.0</v>
      </c>
      <c r="M681" s="391">
        <v>1.0739</v>
      </c>
      <c r="N681" s="38">
        <v>21.1256</v>
      </c>
    </row>
    <row r="682">
      <c r="A682" s="389" t="s">
        <v>1969</v>
      </c>
      <c r="B682" s="389" t="s">
        <v>339</v>
      </c>
      <c r="C682" s="389" t="s">
        <v>358</v>
      </c>
      <c r="D682" s="389" t="s">
        <v>1968</v>
      </c>
      <c r="E682" s="390" t="s">
        <v>369</v>
      </c>
      <c r="F682" s="391">
        <v>26478.0</v>
      </c>
      <c r="G682" s="391">
        <v>881.0</v>
      </c>
      <c r="H682" s="391">
        <v>3.33</v>
      </c>
      <c r="I682" s="391">
        <v>3.54</v>
      </c>
      <c r="J682" s="391">
        <v>3.29</v>
      </c>
      <c r="K682" s="391">
        <v>27625.0</v>
      </c>
      <c r="L682" s="391">
        <v>780600.0</v>
      </c>
      <c r="M682" s="391">
        <v>1.0433</v>
      </c>
      <c r="N682" s="38">
        <v>31.3564</v>
      </c>
    </row>
    <row r="683">
      <c r="A683" s="389" t="s">
        <v>1969</v>
      </c>
      <c r="B683" s="389" t="s">
        <v>339</v>
      </c>
      <c r="C683" s="389" t="s">
        <v>358</v>
      </c>
      <c r="D683" s="389" t="s">
        <v>1968</v>
      </c>
      <c r="E683" s="390" t="s">
        <v>368</v>
      </c>
      <c r="F683" s="391">
        <v>26478.0</v>
      </c>
      <c r="G683" s="391">
        <v>359.0</v>
      </c>
      <c r="H683" s="391">
        <v>1.36</v>
      </c>
      <c r="I683" s="391">
        <v>0.49</v>
      </c>
      <c r="J683" s="391">
        <v>1.04</v>
      </c>
      <c r="K683" s="391">
        <v>3840.0</v>
      </c>
      <c r="L683" s="391">
        <v>780600.0</v>
      </c>
      <c r="M683" s="391">
        <v>0.145</v>
      </c>
      <c r="N683" s="38">
        <v>10.6964</v>
      </c>
    </row>
    <row r="684">
      <c r="A684" s="389" t="s">
        <v>1969</v>
      </c>
      <c r="B684" s="389" t="s">
        <v>339</v>
      </c>
      <c r="C684" s="389" t="s">
        <v>358</v>
      </c>
      <c r="D684" s="389" t="s">
        <v>1968</v>
      </c>
      <c r="E684" s="390" t="s">
        <v>163</v>
      </c>
      <c r="F684" s="391">
        <v>26478.0</v>
      </c>
      <c r="G684" s="391">
        <v>175.0</v>
      </c>
      <c r="H684" s="391">
        <v>0.66</v>
      </c>
      <c r="I684" s="391">
        <v>0.23</v>
      </c>
      <c r="J684" s="391">
        <v>0.49</v>
      </c>
      <c r="K684" s="391">
        <v>1770.0</v>
      </c>
      <c r="L684" s="391">
        <v>780600.0</v>
      </c>
      <c r="M684" s="391">
        <v>0.0668</v>
      </c>
      <c r="N684" s="38">
        <v>10.1143</v>
      </c>
    </row>
    <row r="685">
      <c r="A685" s="389" t="s">
        <v>1969</v>
      </c>
      <c r="B685" s="389" t="s">
        <v>339</v>
      </c>
      <c r="C685" s="389" t="s">
        <v>358</v>
      </c>
      <c r="D685" s="389" t="s">
        <v>1968</v>
      </c>
      <c r="E685" s="390" t="s">
        <v>35</v>
      </c>
      <c r="F685" s="391">
        <v>26478.0</v>
      </c>
      <c r="G685" s="391">
        <v>2.0</v>
      </c>
      <c r="H685" s="391">
        <v>0.01</v>
      </c>
      <c r="I685" s="391">
        <v>0.01</v>
      </c>
      <c r="J685" s="391">
        <v>0.01</v>
      </c>
      <c r="K685" s="391">
        <v>60.0</v>
      </c>
      <c r="L685" s="391">
        <v>780600.0</v>
      </c>
      <c r="M685" s="391">
        <v>0.0023</v>
      </c>
      <c r="N685" s="38">
        <v>30.0</v>
      </c>
    </row>
    <row r="686">
      <c r="A686" s="389" t="s">
        <v>1969</v>
      </c>
      <c r="B686" s="389" t="s">
        <v>339</v>
      </c>
      <c r="C686" s="389" t="s">
        <v>358</v>
      </c>
      <c r="D686" s="389" t="s">
        <v>1968</v>
      </c>
      <c r="E686" s="390" t="s">
        <v>30</v>
      </c>
      <c r="F686" s="391">
        <v>26478.0</v>
      </c>
      <c r="G686" s="391">
        <v>3.0</v>
      </c>
      <c r="H686" s="391">
        <v>0.01</v>
      </c>
      <c r="I686" s="391">
        <v>0.01</v>
      </c>
      <c r="J686" s="391">
        <v>0.01</v>
      </c>
      <c r="K686" s="391">
        <v>45.0</v>
      </c>
      <c r="L686" s="391">
        <v>780600.0</v>
      </c>
      <c r="M686" s="391">
        <v>0.0017</v>
      </c>
      <c r="N686" s="38">
        <v>15.0</v>
      </c>
    </row>
    <row r="687">
      <c r="A687" s="389" t="s">
        <v>1969</v>
      </c>
      <c r="B687" s="389" t="s">
        <v>339</v>
      </c>
      <c r="C687" s="389" t="s">
        <v>359</v>
      </c>
      <c r="D687" s="389" t="s">
        <v>1968</v>
      </c>
      <c r="E687" s="390" t="s">
        <v>371</v>
      </c>
      <c r="F687" s="391">
        <v>79688.0</v>
      </c>
      <c r="G687" s="391">
        <v>69246.0</v>
      </c>
      <c r="H687" s="391">
        <v>86.9</v>
      </c>
      <c r="I687" s="391">
        <v>48.73</v>
      </c>
      <c r="J687" s="391">
        <v>64.74</v>
      </c>
      <c r="K687" s="391">
        <v>1581615.0</v>
      </c>
      <c r="L687" s="391">
        <v>3245955.0</v>
      </c>
      <c r="M687" s="391">
        <v>19.8476</v>
      </c>
      <c r="N687" s="38">
        <v>22.8405</v>
      </c>
    </row>
    <row r="688">
      <c r="A688" s="389" t="s">
        <v>1969</v>
      </c>
      <c r="B688" s="389" t="s">
        <v>339</v>
      </c>
      <c r="C688" s="389" t="s">
        <v>359</v>
      </c>
      <c r="D688" s="389" t="s">
        <v>1968</v>
      </c>
      <c r="E688" s="390" t="s">
        <v>366</v>
      </c>
      <c r="F688" s="391">
        <v>79688.0</v>
      </c>
      <c r="G688" s="391">
        <v>18552.0</v>
      </c>
      <c r="H688" s="391">
        <v>23.28</v>
      </c>
      <c r="I688" s="391">
        <v>35.46</v>
      </c>
      <c r="J688" s="391">
        <v>15.94</v>
      </c>
      <c r="K688" s="391">
        <v>1150935.0</v>
      </c>
      <c r="L688" s="391">
        <v>3245955.0</v>
      </c>
      <c r="M688" s="391">
        <v>14.443</v>
      </c>
      <c r="N688" s="38">
        <v>62.0383</v>
      </c>
    </row>
    <row r="689">
      <c r="A689" s="389" t="s">
        <v>1969</v>
      </c>
      <c r="B689" s="389" t="s">
        <v>339</v>
      </c>
      <c r="C689" s="389" t="s">
        <v>359</v>
      </c>
      <c r="D689" s="389" t="s">
        <v>1968</v>
      </c>
      <c r="E689" s="390" t="s">
        <v>368</v>
      </c>
      <c r="F689" s="391">
        <v>79688.0</v>
      </c>
      <c r="G689" s="391">
        <v>26164.0</v>
      </c>
      <c r="H689" s="391">
        <v>32.83</v>
      </c>
      <c r="I689" s="391">
        <v>10.79</v>
      </c>
      <c r="J689" s="391">
        <v>12.57</v>
      </c>
      <c r="K689" s="391">
        <v>350355.0</v>
      </c>
      <c r="L689" s="391">
        <v>3245955.0</v>
      </c>
      <c r="M689" s="391">
        <v>4.3966</v>
      </c>
      <c r="N689" s="38">
        <v>13.3907</v>
      </c>
    </row>
    <row r="690">
      <c r="A690" s="389" t="s">
        <v>1969</v>
      </c>
      <c r="B690" s="389" t="s">
        <v>339</v>
      </c>
      <c r="C690" s="389" t="s">
        <v>359</v>
      </c>
      <c r="D690" s="389" t="s">
        <v>1968</v>
      </c>
      <c r="E690" s="390" t="s">
        <v>163</v>
      </c>
      <c r="F690" s="391">
        <v>79688.0</v>
      </c>
      <c r="G690" s="391">
        <v>8083.0</v>
      </c>
      <c r="H690" s="391">
        <v>10.14</v>
      </c>
      <c r="I690" s="391">
        <v>2.53</v>
      </c>
      <c r="J690" s="391">
        <v>3.52</v>
      </c>
      <c r="K690" s="391">
        <v>82015.0</v>
      </c>
      <c r="L690" s="391">
        <v>3245955.0</v>
      </c>
      <c r="M690" s="391">
        <v>1.0292</v>
      </c>
      <c r="N690" s="38">
        <v>10.1466</v>
      </c>
    </row>
    <row r="691">
      <c r="A691" s="389" t="s">
        <v>1969</v>
      </c>
      <c r="B691" s="389" t="s">
        <v>339</v>
      </c>
      <c r="C691" s="389" t="s">
        <v>359</v>
      </c>
      <c r="D691" s="389" t="s">
        <v>1968</v>
      </c>
      <c r="E691" s="390" t="s">
        <v>108</v>
      </c>
      <c r="F691" s="391">
        <v>79688.0</v>
      </c>
      <c r="G691" s="391">
        <v>4369.0</v>
      </c>
      <c r="H691" s="391">
        <v>5.48</v>
      </c>
      <c r="I691" s="391">
        <v>1.53</v>
      </c>
      <c r="J691" s="391">
        <v>2.17</v>
      </c>
      <c r="K691" s="391">
        <v>49570.0</v>
      </c>
      <c r="L691" s="391">
        <v>3245955.0</v>
      </c>
      <c r="M691" s="391">
        <v>0.6221</v>
      </c>
      <c r="N691" s="38">
        <v>11.3458</v>
      </c>
    </row>
    <row r="692">
      <c r="A692" s="389" t="s">
        <v>1969</v>
      </c>
      <c r="B692" s="389" t="s">
        <v>339</v>
      </c>
      <c r="C692" s="389" t="s">
        <v>359</v>
      </c>
      <c r="D692" s="389" t="s">
        <v>1968</v>
      </c>
      <c r="E692" s="390" t="s">
        <v>369</v>
      </c>
      <c r="F692" s="391">
        <v>79688.0</v>
      </c>
      <c r="G692" s="391">
        <v>888.0</v>
      </c>
      <c r="H692" s="391">
        <v>1.11</v>
      </c>
      <c r="I692" s="391">
        <v>0.85</v>
      </c>
      <c r="J692" s="391">
        <v>0.83</v>
      </c>
      <c r="K692" s="391">
        <v>27685.0</v>
      </c>
      <c r="L692" s="391">
        <v>3245955.0</v>
      </c>
      <c r="M692" s="391">
        <v>0.3474</v>
      </c>
      <c r="N692" s="38">
        <v>31.1768</v>
      </c>
    </row>
    <row r="693">
      <c r="A693" s="389" t="s">
        <v>1969</v>
      </c>
      <c r="B693" s="389" t="s">
        <v>339</v>
      </c>
      <c r="C693" s="389" t="s">
        <v>359</v>
      </c>
      <c r="D693" s="389" t="s">
        <v>1968</v>
      </c>
      <c r="E693" s="390" t="s">
        <v>39</v>
      </c>
      <c r="F693" s="391">
        <v>79688.0</v>
      </c>
      <c r="G693" s="391">
        <v>316.0</v>
      </c>
      <c r="H693" s="391">
        <v>0.4</v>
      </c>
      <c r="I693" s="391">
        <v>0.1</v>
      </c>
      <c r="J693" s="391">
        <v>0.2</v>
      </c>
      <c r="K693" s="391">
        <v>3400.0</v>
      </c>
      <c r="L693" s="391">
        <v>3245955.0</v>
      </c>
      <c r="M693" s="391">
        <v>0.0427</v>
      </c>
      <c r="N693" s="38">
        <v>10.7595</v>
      </c>
    </row>
    <row r="694">
      <c r="A694" s="389" t="s">
        <v>1969</v>
      </c>
      <c r="B694" s="389" t="s">
        <v>339</v>
      </c>
      <c r="C694" s="389" t="s">
        <v>359</v>
      </c>
      <c r="D694" s="389" t="s">
        <v>1968</v>
      </c>
      <c r="E694" s="390" t="s">
        <v>30</v>
      </c>
      <c r="F694" s="391">
        <v>79688.0</v>
      </c>
      <c r="G694" s="391">
        <v>15.0</v>
      </c>
      <c r="H694" s="391">
        <v>0.02</v>
      </c>
      <c r="I694" s="391">
        <v>0.01</v>
      </c>
      <c r="J694" s="391">
        <v>0.01</v>
      </c>
      <c r="K694" s="391">
        <v>225.0</v>
      </c>
      <c r="L694" s="391">
        <v>3245955.0</v>
      </c>
      <c r="M694" s="391">
        <v>0.0028</v>
      </c>
      <c r="N694" s="38">
        <v>15.0</v>
      </c>
    </row>
    <row r="695">
      <c r="A695" s="389" t="s">
        <v>1969</v>
      </c>
      <c r="B695" s="389" t="s">
        <v>339</v>
      </c>
      <c r="C695" s="389" t="s">
        <v>359</v>
      </c>
      <c r="D695" s="389" t="s">
        <v>1968</v>
      </c>
      <c r="E695" s="390" t="s">
        <v>41</v>
      </c>
      <c r="F695" s="391">
        <v>79688.0</v>
      </c>
      <c r="G695" s="391">
        <v>1.0</v>
      </c>
      <c r="H695" s="391">
        <v>0.0</v>
      </c>
      <c r="I695" s="391">
        <v>0.0</v>
      </c>
      <c r="J695" s="391">
        <v>0.0</v>
      </c>
      <c r="K695" s="391">
        <v>15.0</v>
      </c>
      <c r="L695" s="391">
        <v>3245955.0</v>
      </c>
      <c r="M695" s="391">
        <v>2.0E-4</v>
      </c>
      <c r="N695" s="38">
        <v>15.0</v>
      </c>
    </row>
    <row r="696">
      <c r="A696" s="389" t="s">
        <v>1969</v>
      </c>
      <c r="B696" s="389" t="s">
        <v>339</v>
      </c>
      <c r="C696" s="389" t="s">
        <v>359</v>
      </c>
      <c r="D696" s="389" t="s">
        <v>1968</v>
      </c>
      <c r="E696" s="390" t="s">
        <v>37</v>
      </c>
      <c r="F696" s="391">
        <v>79688.0</v>
      </c>
      <c r="G696" s="391">
        <v>1.0</v>
      </c>
      <c r="H696" s="391">
        <v>0.0</v>
      </c>
      <c r="I696" s="391">
        <v>0.0</v>
      </c>
      <c r="J696" s="391">
        <v>0.0</v>
      </c>
      <c r="K696" s="391">
        <v>15.0</v>
      </c>
      <c r="L696" s="391">
        <v>3245955.0</v>
      </c>
      <c r="M696" s="391">
        <v>2.0E-4</v>
      </c>
      <c r="N696" s="38">
        <v>15.0</v>
      </c>
    </row>
    <row r="697">
      <c r="A697" s="389" t="s">
        <v>1969</v>
      </c>
      <c r="B697" s="389" t="s">
        <v>339</v>
      </c>
      <c r="C697" s="389" t="s">
        <v>359</v>
      </c>
      <c r="D697" s="389" t="s">
        <v>1968</v>
      </c>
      <c r="E697" s="390" t="s">
        <v>370</v>
      </c>
      <c r="F697" s="391">
        <v>79688.0</v>
      </c>
      <c r="G697" s="391">
        <v>1.0</v>
      </c>
      <c r="H697" s="391">
        <v>0.0</v>
      </c>
      <c r="I697" s="391">
        <v>0.0</v>
      </c>
      <c r="J697" s="391">
        <v>0.0</v>
      </c>
      <c r="K697" s="391">
        <v>15.0</v>
      </c>
      <c r="L697" s="391">
        <v>3245955.0</v>
      </c>
      <c r="M697" s="391">
        <v>2.0E-4</v>
      </c>
      <c r="N697" s="38">
        <v>15.0</v>
      </c>
    </row>
    <row r="698">
      <c r="A698" s="389" t="s">
        <v>1969</v>
      </c>
      <c r="B698" s="389" t="s">
        <v>339</v>
      </c>
      <c r="C698" s="389" t="s">
        <v>359</v>
      </c>
      <c r="D698" s="389" t="s">
        <v>1968</v>
      </c>
      <c r="E698" s="390" t="s">
        <v>367</v>
      </c>
      <c r="F698" s="391">
        <v>79688.0</v>
      </c>
      <c r="G698" s="391">
        <v>2.0</v>
      </c>
      <c r="H698" s="391">
        <v>0.0</v>
      </c>
      <c r="I698" s="391">
        <v>0.0</v>
      </c>
      <c r="J698" s="391">
        <v>0.0</v>
      </c>
      <c r="K698" s="391">
        <v>20.0</v>
      </c>
      <c r="L698" s="391">
        <v>3245955.0</v>
      </c>
      <c r="M698" s="391">
        <v>3.0E-4</v>
      </c>
      <c r="N698" s="38">
        <v>10.0</v>
      </c>
    </row>
    <row r="699">
      <c r="A699" s="389" t="s">
        <v>1969</v>
      </c>
      <c r="B699" s="389" t="s">
        <v>339</v>
      </c>
      <c r="C699" s="389" t="s">
        <v>359</v>
      </c>
      <c r="D699" s="389" t="s">
        <v>1968</v>
      </c>
      <c r="E699" s="390" t="s">
        <v>35</v>
      </c>
      <c r="F699" s="391">
        <v>79688.0</v>
      </c>
      <c r="G699" s="391">
        <v>4.0</v>
      </c>
      <c r="H699" s="391">
        <v>0.01</v>
      </c>
      <c r="I699" s="391">
        <v>0.0</v>
      </c>
      <c r="J699" s="391">
        <v>0.0</v>
      </c>
      <c r="K699" s="391">
        <v>90.0</v>
      </c>
      <c r="L699" s="391">
        <v>3245955.0</v>
      </c>
      <c r="M699" s="391">
        <v>0.0011</v>
      </c>
      <c r="N699" s="38">
        <v>22.5</v>
      </c>
    </row>
    <row r="700">
      <c r="A700" s="389" t="s">
        <v>1969</v>
      </c>
      <c r="B700" s="389" t="s">
        <v>339</v>
      </c>
      <c r="C700" s="389" t="s">
        <v>360</v>
      </c>
      <c r="D700" s="389" t="s">
        <v>1968</v>
      </c>
      <c r="E700" s="390" t="s">
        <v>371</v>
      </c>
      <c r="F700" s="391">
        <v>94807.0</v>
      </c>
      <c r="G700" s="391">
        <v>85375.0</v>
      </c>
      <c r="H700" s="391">
        <v>90.05</v>
      </c>
      <c r="I700" s="391">
        <v>47.02</v>
      </c>
      <c r="J700" s="391">
        <v>64.01</v>
      </c>
      <c r="K700" s="391">
        <v>1790255.0</v>
      </c>
      <c r="L700" s="391">
        <v>3807365.0</v>
      </c>
      <c r="M700" s="391">
        <v>18.8832</v>
      </c>
      <c r="N700" s="38">
        <v>20.9693</v>
      </c>
    </row>
    <row r="701">
      <c r="A701" s="389" t="s">
        <v>1969</v>
      </c>
      <c r="B701" s="389" t="s">
        <v>339</v>
      </c>
      <c r="C701" s="389" t="s">
        <v>360</v>
      </c>
      <c r="D701" s="389" t="s">
        <v>1968</v>
      </c>
      <c r="E701" s="390" t="s">
        <v>366</v>
      </c>
      <c r="F701" s="391">
        <v>94807.0</v>
      </c>
      <c r="G701" s="391">
        <v>18440.0</v>
      </c>
      <c r="H701" s="391">
        <v>19.45</v>
      </c>
      <c r="I701" s="391">
        <v>30.03</v>
      </c>
      <c r="J701" s="391">
        <v>12.04</v>
      </c>
      <c r="K701" s="391">
        <v>1143495.0</v>
      </c>
      <c r="L701" s="391">
        <v>3807365.0</v>
      </c>
      <c r="M701" s="391">
        <v>12.0613</v>
      </c>
      <c r="N701" s="38">
        <v>62.0117</v>
      </c>
    </row>
    <row r="702">
      <c r="A702" s="389" t="s">
        <v>1969</v>
      </c>
      <c r="B702" s="389" t="s">
        <v>339</v>
      </c>
      <c r="C702" s="389" t="s">
        <v>360</v>
      </c>
      <c r="D702" s="389" t="s">
        <v>1968</v>
      </c>
      <c r="E702" s="390" t="s">
        <v>368</v>
      </c>
      <c r="F702" s="391">
        <v>94807.0</v>
      </c>
      <c r="G702" s="391">
        <v>43244.0</v>
      </c>
      <c r="H702" s="391">
        <v>45.61</v>
      </c>
      <c r="I702" s="391">
        <v>16.98</v>
      </c>
      <c r="J702" s="391">
        <v>17.29</v>
      </c>
      <c r="K702" s="391">
        <v>646575.0</v>
      </c>
      <c r="L702" s="391">
        <v>3807365.0</v>
      </c>
      <c r="M702" s="391">
        <v>6.8199</v>
      </c>
      <c r="N702" s="38">
        <v>14.9518</v>
      </c>
    </row>
    <row r="703">
      <c r="A703" s="389" t="s">
        <v>1969</v>
      </c>
      <c r="B703" s="389" t="s">
        <v>339</v>
      </c>
      <c r="C703" s="389" t="s">
        <v>360</v>
      </c>
      <c r="D703" s="389" t="s">
        <v>1968</v>
      </c>
      <c r="E703" s="390" t="s">
        <v>163</v>
      </c>
      <c r="F703" s="391">
        <v>94807.0</v>
      </c>
      <c r="G703" s="391">
        <v>16230.0</v>
      </c>
      <c r="H703" s="391">
        <v>17.12</v>
      </c>
      <c r="I703" s="391">
        <v>4.34</v>
      </c>
      <c r="J703" s="391">
        <v>5.0</v>
      </c>
      <c r="K703" s="391">
        <v>165280.0</v>
      </c>
      <c r="L703" s="391">
        <v>3807365.0</v>
      </c>
      <c r="M703" s="391">
        <v>1.7433</v>
      </c>
      <c r="N703" s="38">
        <v>10.1836</v>
      </c>
    </row>
    <row r="704">
      <c r="A704" s="389" t="s">
        <v>1969</v>
      </c>
      <c r="B704" s="389" t="s">
        <v>339</v>
      </c>
      <c r="C704" s="389" t="s">
        <v>360</v>
      </c>
      <c r="D704" s="389" t="s">
        <v>1968</v>
      </c>
      <c r="E704" s="390" t="s">
        <v>369</v>
      </c>
      <c r="F704" s="391">
        <v>94807.0</v>
      </c>
      <c r="G704" s="391">
        <v>889.0</v>
      </c>
      <c r="H704" s="391">
        <v>0.94</v>
      </c>
      <c r="I704" s="391">
        <v>0.73</v>
      </c>
      <c r="J704" s="391">
        <v>0.66</v>
      </c>
      <c r="K704" s="391">
        <v>27720.0</v>
      </c>
      <c r="L704" s="391">
        <v>3807365.0</v>
      </c>
      <c r="M704" s="391">
        <v>0.2924</v>
      </c>
      <c r="N704" s="38">
        <v>31.1811</v>
      </c>
    </row>
    <row r="705">
      <c r="A705" s="389" t="s">
        <v>1969</v>
      </c>
      <c r="B705" s="389" t="s">
        <v>339</v>
      </c>
      <c r="C705" s="389" t="s">
        <v>360</v>
      </c>
      <c r="D705" s="389" t="s">
        <v>1968</v>
      </c>
      <c r="E705" s="390" t="s">
        <v>108</v>
      </c>
      <c r="F705" s="391">
        <v>94807.0</v>
      </c>
      <c r="G705" s="391">
        <v>1831.0</v>
      </c>
      <c r="H705" s="391">
        <v>1.93</v>
      </c>
      <c r="I705" s="391">
        <v>0.57</v>
      </c>
      <c r="J705" s="391">
        <v>0.54</v>
      </c>
      <c r="K705" s="391">
        <v>21610.0</v>
      </c>
      <c r="L705" s="391">
        <v>3807365.0</v>
      </c>
      <c r="M705" s="391">
        <v>0.2279</v>
      </c>
      <c r="N705" s="38">
        <v>11.8023</v>
      </c>
    </row>
    <row r="706">
      <c r="A706" s="389" t="s">
        <v>1969</v>
      </c>
      <c r="B706" s="389" t="s">
        <v>339</v>
      </c>
      <c r="C706" s="389" t="s">
        <v>360</v>
      </c>
      <c r="D706" s="389" t="s">
        <v>1968</v>
      </c>
      <c r="E706" s="390" t="s">
        <v>39</v>
      </c>
      <c r="F706" s="391">
        <v>94807.0</v>
      </c>
      <c r="G706" s="391">
        <v>840.0</v>
      </c>
      <c r="H706" s="391">
        <v>0.89</v>
      </c>
      <c r="I706" s="391">
        <v>0.25</v>
      </c>
      <c r="J706" s="391">
        <v>0.38</v>
      </c>
      <c r="K706" s="391">
        <v>9390.0</v>
      </c>
      <c r="L706" s="391">
        <v>3807365.0</v>
      </c>
      <c r="M706" s="391">
        <v>0.099</v>
      </c>
      <c r="N706" s="38">
        <v>11.1786</v>
      </c>
    </row>
    <row r="707">
      <c r="A707" s="389" t="s">
        <v>1969</v>
      </c>
      <c r="B707" s="389" t="s">
        <v>339</v>
      </c>
      <c r="C707" s="389" t="s">
        <v>360</v>
      </c>
      <c r="D707" s="389" t="s">
        <v>1968</v>
      </c>
      <c r="E707" s="390" t="s">
        <v>30</v>
      </c>
      <c r="F707" s="391">
        <v>94807.0</v>
      </c>
      <c r="G707" s="391">
        <v>191.0</v>
      </c>
      <c r="H707" s="391">
        <v>0.2</v>
      </c>
      <c r="I707" s="391">
        <v>0.08</v>
      </c>
      <c r="J707" s="391">
        <v>0.08</v>
      </c>
      <c r="K707" s="391">
        <v>2895.0</v>
      </c>
      <c r="L707" s="391">
        <v>3807365.0</v>
      </c>
      <c r="M707" s="391">
        <v>0.0305</v>
      </c>
      <c r="N707" s="38">
        <v>15.1571</v>
      </c>
    </row>
    <row r="708">
      <c r="A708" s="389" t="s">
        <v>1969</v>
      </c>
      <c r="B708" s="389" t="s">
        <v>339</v>
      </c>
      <c r="C708" s="389" t="s">
        <v>360</v>
      </c>
      <c r="D708" s="389" t="s">
        <v>1968</v>
      </c>
      <c r="E708" s="390" t="s">
        <v>372</v>
      </c>
      <c r="F708" s="391">
        <v>94807.0</v>
      </c>
      <c r="G708" s="391">
        <v>7.0</v>
      </c>
      <c r="H708" s="391">
        <v>0.01</v>
      </c>
      <c r="I708" s="391">
        <v>0.0</v>
      </c>
      <c r="J708" s="391">
        <v>0.0</v>
      </c>
      <c r="K708" s="391">
        <v>70.0</v>
      </c>
      <c r="L708" s="391">
        <v>3807365.0</v>
      </c>
      <c r="M708" s="391">
        <v>7.0E-4</v>
      </c>
      <c r="N708" s="38">
        <v>10.0</v>
      </c>
    </row>
    <row r="709">
      <c r="A709" s="389" t="s">
        <v>1969</v>
      </c>
      <c r="B709" s="389" t="s">
        <v>339</v>
      </c>
      <c r="C709" s="389" t="s">
        <v>360</v>
      </c>
      <c r="D709" s="389" t="s">
        <v>1968</v>
      </c>
      <c r="E709" s="390" t="s">
        <v>35</v>
      </c>
      <c r="F709" s="391">
        <v>94807.0</v>
      </c>
      <c r="G709" s="391">
        <v>2.0</v>
      </c>
      <c r="H709" s="391">
        <v>0.0</v>
      </c>
      <c r="I709" s="391">
        <v>0.0</v>
      </c>
      <c r="J709" s="391">
        <v>0.0</v>
      </c>
      <c r="K709" s="391">
        <v>30.0</v>
      </c>
      <c r="L709" s="391">
        <v>3807365.0</v>
      </c>
      <c r="M709" s="391">
        <v>3.0E-4</v>
      </c>
      <c r="N709" s="38">
        <v>15.0</v>
      </c>
    </row>
    <row r="710">
      <c r="A710" s="389" t="s">
        <v>1969</v>
      </c>
      <c r="B710" s="389" t="s">
        <v>339</v>
      </c>
      <c r="C710" s="389" t="s">
        <v>360</v>
      </c>
      <c r="D710" s="389" t="s">
        <v>1968</v>
      </c>
      <c r="E710" s="390" t="s">
        <v>370</v>
      </c>
      <c r="F710" s="391">
        <v>94807.0</v>
      </c>
      <c r="G710" s="391">
        <v>3.0</v>
      </c>
      <c r="H710" s="391">
        <v>0.0</v>
      </c>
      <c r="I710" s="391">
        <v>0.0</v>
      </c>
      <c r="J710" s="391">
        <v>0.0</v>
      </c>
      <c r="K710" s="391">
        <v>45.0</v>
      </c>
      <c r="L710" s="391">
        <v>3807365.0</v>
      </c>
      <c r="M710" s="391">
        <v>5.0E-4</v>
      </c>
      <c r="N710" s="38">
        <v>15.0</v>
      </c>
    </row>
    <row r="711">
      <c r="A711" s="389" t="s">
        <v>1969</v>
      </c>
      <c r="B711" s="389" t="s">
        <v>339</v>
      </c>
      <c r="C711" s="389" t="s">
        <v>12</v>
      </c>
      <c r="D711" s="389" t="s">
        <v>1968</v>
      </c>
      <c r="E711" s="390" t="s">
        <v>44</v>
      </c>
      <c r="F711" s="391">
        <v>116906.0</v>
      </c>
      <c r="G711" s="391">
        <v>71551.0</v>
      </c>
      <c r="H711" s="391">
        <v>61.2</v>
      </c>
      <c r="I711" s="391">
        <v>26.4</v>
      </c>
      <c r="J711" s="391">
        <v>22.11</v>
      </c>
      <c r="K711" s="391">
        <v>1.885798E7</v>
      </c>
      <c r="L711" s="391">
        <v>7.1426716E7</v>
      </c>
      <c r="M711" s="391">
        <v>161.3089</v>
      </c>
      <c r="N711" s="38">
        <v>263.56</v>
      </c>
    </row>
    <row r="712">
      <c r="A712" s="389" t="s">
        <v>1969</v>
      </c>
      <c r="B712" s="389" t="s">
        <v>339</v>
      </c>
      <c r="C712" s="389" t="s">
        <v>12</v>
      </c>
      <c r="D712" s="389" t="s">
        <v>1968</v>
      </c>
      <c r="E712" s="390" t="s">
        <v>366</v>
      </c>
      <c r="F712" s="391">
        <v>116906.0</v>
      </c>
      <c r="G712" s="391">
        <v>98593.0</v>
      </c>
      <c r="H712" s="391">
        <v>84.34</v>
      </c>
      <c r="I712" s="391">
        <v>24.96</v>
      </c>
      <c r="J712" s="391">
        <v>23.72</v>
      </c>
      <c r="K712" s="391">
        <v>1.7825095E7</v>
      </c>
      <c r="L712" s="391">
        <v>7.1426716E7</v>
      </c>
      <c r="M712" s="391">
        <v>152.4737</v>
      </c>
      <c r="N712" s="38">
        <v>180.7947</v>
      </c>
    </row>
    <row r="713">
      <c r="A713" s="389" t="s">
        <v>1969</v>
      </c>
      <c r="B713" s="389" t="s">
        <v>339</v>
      </c>
      <c r="C713" s="389" t="s">
        <v>12</v>
      </c>
      <c r="D713" s="389" t="s">
        <v>1968</v>
      </c>
      <c r="E713" s="390" t="s">
        <v>371</v>
      </c>
      <c r="F713" s="391">
        <v>116906.0</v>
      </c>
      <c r="G713" s="391">
        <v>87987.0</v>
      </c>
      <c r="H713" s="391">
        <v>75.26</v>
      </c>
      <c r="I713" s="391">
        <v>15.4</v>
      </c>
      <c r="J713" s="391">
        <v>20.49</v>
      </c>
      <c r="K713" s="391">
        <v>1.100293E7</v>
      </c>
      <c r="L713" s="391">
        <v>7.1426716E7</v>
      </c>
      <c r="M713" s="391">
        <v>94.1178</v>
      </c>
      <c r="N713" s="38">
        <v>125.0518</v>
      </c>
    </row>
    <row r="714">
      <c r="A714" s="389" t="s">
        <v>1969</v>
      </c>
      <c r="B714" s="389" t="s">
        <v>339</v>
      </c>
      <c r="C714" s="389" t="s">
        <v>12</v>
      </c>
      <c r="D714" s="389" t="s">
        <v>1968</v>
      </c>
      <c r="E714" s="390" t="s">
        <v>370</v>
      </c>
      <c r="F714" s="391">
        <v>116906.0</v>
      </c>
      <c r="G714" s="391">
        <v>88054.0</v>
      </c>
      <c r="H714" s="391">
        <v>75.32</v>
      </c>
      <c r="I714" s="391">
        <v>11.32</v>
      </c>
      <c r="J714" s="391">
        <v>12.11</v>
      </c>
      <c r="K714" s="391">
        <v>8088735.0</v>
      </c>
      <c r="L714" s="391">
        <v>7.1426716E7</v>
      </c>
      <c r="M714" s="391">
        <v>69.1901</v>
      </c>
      <c r="N714" s="38">
        <v>91.8611</v>
      </c>
    </row>
    <row r="715">
      <c r="A715" s="389" t="s">
        <v>1969</v>
      </c>
      <c r="B715" s="389" t="s">
        <v>339</v>
      </c>
      <c r="C715" s="389" t="s">
        <v>12</v>
      </c>
      <c r="D715" s="389" t="s">
        <v>1968</v>
      </c>
      <c r="E715" s="390" t="s">
        <v>39</v>
      </c>
      <c r="F715" s="391">
        <v>116906.0</v>
      </c>
      <c r="G715" s="391">
        <v>61172.0</v>
      </c>
      <c r="H715" s="391">
        <v>52.33</v>
      </c>
      <c r="I715" s="391">
        <v>10.54</v>
      </c>
      <c r="J715" s="391">
        <v>10.17</v>
      </c>
      <c r="K715" s="391">
        <v>7524810.0</v>
      </c>
      <c r="L715" s="391">
        <v>7.1426716E7</v>
      </c>
      <c r="M715" s="391">
        <v>64.3663</v>
      </c>
      <c r="N715" s="38">
        <v>123.0107</v>
      </c>
    </row>
    <row r="716">
      <c r="A716" s="389" t="s">
        <v>1969</v>
      </c>
      <c r="B716" s="389" t="s">
        <v>339</v>
      </c>
      <c r="C716" s="389" t="s">
        <v>12</v>
      </c>
      <c r="D716" s="389" t="s">
        <v>1968</v>
      </c>
      <c r="E716" s="390" t="s">
        <v>367</v>
      </c>
      <c r="F716" s="391">
        <v>116906.0</v>
      </c>
      <c r="G716" s="391">
        <v>41505.0</v>
      </c>
      <c r="H716" s="391">
        <v>35.5</v>
      </c>
      <c r="I716" s="391">
        <v>2.83</v>
      </c>
      <c r="J716" s="391">
        <v>3.12</v>
      </c>
      <c r="K716" s="391">
        <v>2024460.0</v>
      </c>
      <c r="L716" s="391">
        <v>7.1426716E7</v>
      </c>
      <c r="M716" s="391">
        <v>17.317</v>
      </c>
      <c r="N716" s="38">
        <v>48.7763</v>
      </c>
    </row>
    <row r="717">
      <c r="A717" s="389" t="s">
        <v>1969</v>
      </c>
      <c r="B717" s="389" t="s">
        <v>339</v>
      </c>
      <c r="C717" s="389" t="s">
        <v>12</v>
      </c>
      <c r="D717" s="389" t="s">
        <v>1968</v>
      </c>
      <c r="E717" s="390" t="s">
        <v>365</v>
      </c>
      <c r="F717" s="391">
        <v>116906.0</v>
      </c>
      <c r="G717" s="391">
        <v>31525.0</v>
      </c>
      <c r="H717" s="391">
        <v>26.97</v>
      </c>
      <c r="I717" s="391">
        <v>2.11</v>
      </c>
      <c r="J717" s="391">
        <v>2.27</v>
      </c>
      <c r="K717" s="391">
        <v>1506510.0</v>
      </c>
      <c r="L717" s="391">
        <v>7.1426716E7</v>
      </c>
      <c r="M717" s="391">
        <v>12.8865</v>
      </c>
      <c r="N717" s="38">
        <v>47.7878</v>
      </c>
    </row>
    <row r="718">
      <c r="A718" s="389" t="s">
        <v>1969</v>
      </c>
      <c r="B718" s="389" t="s">
        <v>339</v>
      </c>
      <c r="C718" s="389" t="s">
        <v>12</v>
      </c>
      <c r="D718" s="389" t="s">
        <v>1968</v>
      </c>
      <c r="E718" s="390" t="s">
        <v>363</v>
      </c>
      <c r="F718" s="391">
        <v>116906.0</v>
      </c>
      <c r="G718" s="391">
        <v>30945.0</v>
      </c>
      <c r="H718" s="391">
        <v>26.47</v>
      </c>
      <c r="I718" s="391">
        <v>1.94</v>
      </c>
      <c r="J718" s="391">
        <v>1.5</v>
      </c>
      <c r="K718" s="391">
        <v>1386705.0</v>
      </c>
      <c r="L718" s="391">
        <v>7.1426716E7</v>
      </c>
      <c r="M718" s="391">
        <v>11.8617</v>
      </c>
      <c r="N718" s="38">
        <v>44.8119</v>
      </c>
    </row>
    <row r="719">
      <c r="A719" s="389" t="s">
        <v>1969</v>
      </c>
      <c r="B719" s="389" t="s">
        <v>339</v>
      </c>
      <c r="C719" s="389" t="s">
        <v>12</v>
      </c>
      <c r="D719" s="389" t="s">
        <v>1968</v>
      </c>
      <c r="E719" s="390" t="s">
        <v>38</v>
      </c>
      <c r="F719" s="391">
        <v>116906.0</v>
      </c>
      <c r="G719" s="391">
        <v>31814.0</v>
      </c>
      <c r="H719" s="391">
        <v>27.21</v>
      </c>
      <c r="I719" s="391">
        <v>1.93</v>
      </c>
      <c r="J719" s="391">
        <v>2.01</v>
      </c>
      <c r="K719" s="391">
        <v>1376220.0</v>
      </c>
      <c r="L719" s="391">
        <v>7.1426716E7</v>
      </c>
      <c r="M719" s="391">
        <v>11.772</v>
      </c>
      <c r="N719" s="38">
        <v>43.2583</v>
      </c>
    </row>
    <row r="720">
      <c r="A720" s="389" t="s">
        <v>1969</v>
      </c>
      <c r="B720" s="389" t="s">
        <v>339</v>
      </c>
      <c r="C720" s="389" t="s">
        <v>12</v>
      </c>
      <c r="D720" s="389" t="s">
        <v>1968</v>
      </c>
      <c r="E720" s="390" t="s">
        <v>369</v>
      </c>
      <c r="F720" s="391">
        <v>116906.0</v>
      </c>
      <c r="G720" s="391">
        <v>10289.0</v>
      </c>
      <c r="H720" s="391">
        <v>8.8</v>
      </c>
      <c r="I720" s="391">
        <v>1.07</v>
      </c>
      <c r="J720" s="391">
        <v>0.96</v>
      </c>
      <c r="K720" s="391">
        <v>761306.0</v>
      </c>
      <c r="L720" s="391">
        <v>7.1426716E7</v>
      </c>
      <c r="M720" s="391">
        <v>6.5121</v>
      </c>
      <c r="N720" s="38">
        <v>73.9922</v>
      </c>
    </row>
    <row r="721">
      <c r="A721" s="389" t="s">
        <v>1969</v>
      </c>
      <c r="B721" s="389" t="s">
        <v>339</v>
      </c>
      <c r="C721" s="389" t="s">
        <v>12</v>
      </c>
      <c r="D721" s="389" t="s">
        <v>1968</v>
      </c>
      <c r="E721" s="390" t="s">
        <v>27</v>
      </c>
      <c r="F721" s="391">
        <v>116906.0</v>
      </c>
      <c r="G721" s="391">
        <v>11269.0</v>
      </c>
      <c r="H721" s="391">
        <v>9.64</v>
      </c>
      <c r="I721" s="391">
        <v>0.63</v>
      </c>
      <c r="J721" s="391">
        <v>0.53</v>
      </c>
      <c r="K721" s="391">
        <v>450720.0</v>
      </c>
      <c r="L721" s="391">
        <v>7.1426716E7</v>
      </c>
      <c r="M721" s="391">
        <v>3.8554</v>
      </c>
      <c r="N721" s="38">
        <v>39.9965</v>
      </c>
    </row>
    <row r="722">
      <c r="A722" s="389" t="s">
        <v>1969</v>
      </c>
      <c r="B722" s="389" t="s">
        <v>339</v>
      </c>
      <c r="C722" s="389" t="s">
        <v>12</v>
      </c>
      <c r="D722" s="389" t="s">
        <v>1968</v>
      </c>
      <c r="E722" s="390" t="s">
        <v>368</v>
      </c>
      <c r="F722" s="391">
        <v>116906.0</v>
      </c>
      <c r="G722" s="391">
        <v>10349.0</v>
      </c>
      <c r="H722" s="391">
        <v>8.85</v>
      </c>
      <c r="I722" s="391">
        <v>0.55</v>
      </c>
      <c r="J722" s="391">
        <v>0.59</v>
      </c>
      <c r="K722" s="391">
        <v>390660.0</v>
      </c>
      <c r="L722" s="391">
        <v>7.1426716E7</v>
      </c>
      <c r="M722" s="391">
        <v>3.3417</v>
      </c>
      <c r="N722" s="38">
        <v>37.7486</v>
      </c>
    </row>
    <row r="723">
      <c r="A723" s="389" t="s">
        <v>1969</v>
      </c>
      <c r="B723" s="389" t="s">
        <v>339</v>
      </c>
      <c r="C723" s="389" t="s">
        <v>12</v>
      </c>
      <c r="D723" s="389" t="s">
        <v>1968</v>
      </c>
      <c r="E723" s="390" t="s">
        <v>163</v>
      </c>
      <c r="F723" s="391">
        <v>116906.0</v>
      </c>
      <c r="G723" s="391">
        <v>3356.0</v>
      </c>
      <c r="H723" s="391">
        <v>2.87</v>
      </c>
      <c r="I723" s="391">
        <v>0.15</v>
      </c>
      <c r="J723" s="391">
        <v>0.18</v>
      </c>
      <c r="K723" s="391">
        <v>105405.0</v>
      </c>
      <c r="L723" s="391">
        <v>7.1426716E7</v>
      </c>
      <c r="M723" s="391">
        <v>0.9016</v>
      </c>
      <c r="N723" s="38">
        <v>31.4079</v>
      </c>
    </row>
    <row r="724">
      <c r="A724" s="389" t="s">
        <v>1969</v>
      </c>
      <c r="B724" s="389" t="s">
        <v>339</v>
      </c>
      <c r="C724" s="389" t="s">
        <v>12</v>
      </c>
      <c r="D724" s="389" t="s">
        <v>1968</v>
      </c>
      <c r="E724" s="390" t="s">
        <v>30</v>
      </c>
      <c r="F724" s="391">
        <v>116906.0</v>
      </c>
      <c r="G724" s="391">
        <v>2983.0</v>
      </c>
      <c r="H724" s="391">
        <v>2.55</v>
      </c>
      <c r="I724" s="391">
        <v>0.14</v>
      </c>
      <c r="J724" s="391">
        <v>0.17</v>
      </c>
      <c r="K724" s="391">
        <v>97440.0</v>
      </c>
      <c r="L724" s="391">
        <v>7.1426716E7</v>
      </c>
      <c r="M724" s="391">
        <v>0.8335</v>
      </c>
      <c r="N724" s="38">
        <v>32.6651</v>
      </c>
    </row>
    <row r="725">
      <c r="A725" s="389" t="s">
        <v>1969</v>
      </c>
      <c r="B725" s="389" t="s">
        <v>339</v>
      </c>
      <c r="C725" s="389" t="s">
        <v>12</v>
      </c>
      <c r="D725" s="389" t="s">
        <v>1968</v>
      </c>
      <c r="E725" s="390" t="s">
        <v>45</v>
      </c>
      <c r="F725" s="391">
        <v>116906.0</v>
      </c>
      <c r="G725" s="391">
        <v>311.0</v>
      </c>
      <c r="H725" s="391">
        <v>0.27</v>
      </c>
      <c r="I725" s="391">
        <v>0.02</v>
      </c>
      <c r="J725" s="391">
        <v>0.04</v>
      </c>
      <c r="K725" s="391">
        <v>16070.0</v>
      </c>
      <c r="L725" s="391">
        <v>7.1426716E7</v>
      </c>
      <c r="M725" s="391">
        <v>0.1375</v>
      </c>
      <c r="N725" s="38">
        <v>51.672</v>
      </c>
    </row>
    <row r="726">
      <c r="A726" s="389" t="s">
        <v>1969</v>
      </c>
      <c r="B726" s="389" t="s">
        <v>339</v>
      </c>
      <c r="C726" s="389" t="s">
        <v>12</v>
      </c>
      <c r="D726" s="389" t="s">
        <v>1968</v>
      </c>
      <c r="E726" s="390" t="s">
        <v>108</v>
      </c>
      <c r="F726" s="391">
        <v>116906.0</v>
      </c>
      <c r="G726" s="391">
        <v>674.0</v>
      </c>
      <c r="H726" s="391">
        <v>0.58</v>
      </c>
      <c r="I726" s="391">
        <v>0.02</v>
      </c>
      <c r="J726" s="391">
        <v>0.03</v>
      </c>
      <c r="K726" s="391">
        <v>11420.0</v>
      </c>
      <c r="L726" s="391">
        <v>7.1426716E7</v>
      </c>
      <c r="M726" s="391">
        <v>0.0977</v>
      </c>
      <c r="N726" s="38">
        <v>16.9436</v>
      </c>
    </row>
    <row r="727">
      <c r="A727" s="389" t="s">
        <v>1969</v>
      </c>
      <c r="B727" s="389" t="s">
        <v>339</v>
      </c>
      <c r="C727" s="389" t="s">
        <v>12</v>
      </c>
      <c r="D727" s="389" t="s">
        <v>1968</v>
      </c>
      <c r="E727" s="390" t="s">
        <v>35</v>
      </c>
      <c r="F727" s="391">
        <v>116906.0</v>
      </c>
      <c r="G727" s="391">
        <v>2.0</v>
      </c>
      <c r="H727" s="391">
        <v>0.0</v>
      </c>
      <c r="I727" s="391">
        <v>0.0</v>
      </c>
      <c r="J727" s="391">
        <v>0.0</v>
      </c>
      <c r="K727" s="391">
        <v>130.0</v>
      </c>
      <c r="L727" s="391">
        <v>7.1426716E7</v>
      </c>
      <c r="M727" s="391">
        <v>0.0011</v>
      </c>
      <c r="N727" s="38">
        <v>65.0</v>
      </c>
    </row>
    <row r="728">
      <c r="A728" s="389" t="s">
        <v>1969</v>
      </c>
      <c r="B728" s="389" t="s">
        <v>339</v>
      </c>
      <c r="C728" s="389" t="s">
        <v>12</v>
      </c>
      <c r="D728" s="389" t="s">
        <v>1968</v>
      </c>
      <c r="E728" s="390" t="s">
        <v>372</v>
      </c>
      <c r="F728" s="391">
        <v>116906.0</v>
      </c>
      <c r="G728" s="391">
        <v>3.0</v>
      </c>
      <c r="H728" s="391">
        <v>0.0</v>
      </c>
      <c r="I728" s="391">
        <v>0.0</v>
      </c>
      <c r="J728" s="391">
        <v>0.0</v>
      </c>
      <c r="K728" s="391">
        <v>60.0</v>
      </c>
      <c r="L728" s="391">
        <v>7.1426716E7</v>
      </c>
      <c r="M728" s="391">
        <v>5.0E-4</v>
      </c>
      <c r="N728" s="38">
        <v>20.0</v>
      </c>
    </row>
    <row r="729">
      <c r="A729" s="389" t="s">
        <v>1969</v>
      </c>
      <c r="B729" s="389" t="s">
        <v>339</v>
      </c>
      <c r="C729" s="389" t="s">
        <v>12</v>
      </c>
      <c r="D729" s="389" t="s">
        <v>1968</v>
      </c>
      <c r="E729" s="390" t="s">
        <v>37</v>
      </c>
      <c r="F729" s="391">
        <v>116906.0</v>
      </c>
      <c r="G729" s="391">
        <v>2.0</v>
      </c>
      <c r="H729" s="391">
        <v>0.0</v>
      </c>
      <c r="I729" s="391">
        <v>0.0</v>
      </c>
      <c r="J729" s="391">
        <v>0.0</v>
      </c>
      <c r="K729" s="391">
        <v>60.0</v>
      </c>
      <c r="L729" s="391">
        <v>7.1426716E7</v>
      </c>
      <c r="M729" s="391">
        <v>5.0E-4</v>
      </c>
      <c r="N729" s="38">
        <v>30.0</v>
      </c>
    </row>
    <row r="730">
      <c r="A730" s="389" t="s">
        <v>1970</v>
      </c>
      <c r="B730" s="389" t="s">
        <v>137</v>
      </c>
      <c r="C730" s="389" t="s">
        <v>8</v>
      </c>
      <c r="D730" s="389" t="s">
        <v>591</v>
      </c>
      <c r="E730" s="390" t="s">
        <v>369</v>
      </c>
      <c r="F730" s="391">
        <v>123764.0</v>
      </c>
      <c r="G730" s="391">
        <v>88735.0</v>
      </c>
      <c r="H730" s="391">
        <v>71.7</v>
      </c>
      <c r="I730" s="391">
        <v>28.27</v>
      </c>
      <c r="J730" s="391">
        <v>37.03</v>
      </c>
      <c r="K730" s="391">
        <v>151210.0</v>
      </c>
      <c r="L730" s="391">
        <v>534927.0</v>
      </c>
      <c r="M730" s="391">
        <v>1.2218</v>
      </c>
      <c r="N730" s="38">
        <v>1.7041</v>
      </c>
    </row>
    <row r="731">
      <c r="A731" s="389" t="s">
        <v>1970</v>
      </c>
      <c r="B731" s="389" t="s">
        <v>137</v>
      </c>
      <c r="C731" s="389" t="s">
        <v>8</v>
      </c>
      <c r="D731" s="389" t="s">
        <v>591</v>
      </c>
      <c r="E731" s="390" t="s">
        <v>370</v>
      </c>
      <c r="F731" s="391">
        <v>123764.0</v>
      </c>
      <c r="G731" s="391">
        <v>75516.0</v>
      </c>
      <c r="H731" s="391">
        <v>61.02</v>
      </c>
      <c r="I731" s="391">
        <v>22.45</v>
      </c>
      <c r="J731" s="391">
        <v>22.7</v>
      </c>
      <c r="K731" s="391">
        <v>120110.0</v>
      </c>
      <c r="L731" s="391">
        <v>534927.0</v>
      </c>
      <c r="M731" s="391">
        <v>0.9705</v>
      </c>
      <c r="N731" s="38">
        <v>1.5905</v>
      </c>
    </row>
    <row r="732">
      <c r="A732" s="389" t="s">
        <v>1970</v>
      </c>
      <c r="B732" s="389" t="s">
        <v>137</v>
      </c>
      <c r="C732" s="389" t="s">
        <v>8</v>
      </c>
      <c r="D732" s="389" t="s">
        <v>591</v>
      </c>
      <c r="E732" s="390" t="s">
        <v>44</v>
      </c>
      <c r="F732" s="391">
        <v>123764.0</v>
      </c>
      <c r="G732" s="391">
        <v>36528.0</v>
      </c>
      <c r="H732" s="391">
        <v>29.51</v>
      </c>
      <c r="I732" s="391">
        <v>11.27</v>
      </c>
      <c r="J732" s="391">
        <v>9.0</v>
      </c>
      <c r="K732" s="391">
        <v>60288.0</v>
      </c>
      <c r="L732" s="391">
        <v>534927.0</v>
      </c>
      <c r="M732" s="391">
        <v>0.4871</v>
      </c>
      <c r="N732" s="38">
        <v>1.6505</v>
      </c>
    </row>
    <row r="733">
      <c r="A733" s="389" t="s">
        <v>1970</v>
      </c>
      <c r="B733" s="389" t="s">
        <v>137</v>
      </c>
      <c r="C733" s="389" t="s">
        <v>8</v>
      </c>
      <c r="D733" s="389" t="s">
        <v>591</v>
      </c>
      <c r="E733" s="390" t="s">
        <v>371</v>
      </c>
      <c r="F733" s="391">
        <v>123764.0</v>
      </c>
      <c r="G733" s="391">
        <v>41071.0</v>
      </c>
      <c r="H733" s="391">
        <v>33.18</v>
      </c>
      <c r="I733" s="391">
        <v>10.88</v>
      </c>
      <c r="J733" s="391">
        <v>8.22</v>
      </c>
      <c r="K733" s="391">
        <v>58193.0</v>
      </c>
      <c r="L733" s="391">
        <v>534927.0</v>
      </c>
      <c r="M733" s="391">
        <v>0.4702</v>
      </c>
      <c r="N733" s="38">
        <v>1.4169</v>
      </c>
    </row>
    <row r="734">
      <c r="A734" s="389" t="s">
        <v>1970</v>
      </c>
      <c r="B734" s="389" t="s">
        <v>137</v>
      </c>
      <c r="C734" s="389" t="s">
        <v>8</v>
      </c>
      <c r="D734" s="389" t="s">
        <v>591</v>
      </c>
      <c r="E734" s="390" t="s">
        <v>37</v>
      </c>
      <c r="F734" s="391">
        <v>123764.0</v>
      </c>
      <c r="G734" s="391">
        <v>29264.0</v>
      </c>
      <c r="H734" s="391">
        <v>23.65</v>
      </c>
      <c r="I734" s="391">
        <v>8.5</v>
      </c>
      <c r="J734" s="391">
        <v>8.06</v>
      </c>
      <c r="K734" s="391">
        <v>45475.0</v>
      </c>
      <c r="L734" s="391">
        <v>534927.0</v>
      </c>
      <c r="M734" s="391">
        <v>0.3674</v>
      </c>
      <c r="N734" s="38">
        <v>1.554</v>
      </c>
    </row>
    <row r="735">
      <c r="A735" s="389" t="s">
        <v>1970</v>
      </c>
      <c r="B735" s="389" t="s">
        <v>137</v>
      </c>
      <c r="C735" s="389" t="s">
        <v>8</v>
      </c>
      <c r="D735" s="389" t="s">
        <v>591</v>
      </c>
      <c r="E735" s="390" t="s">
        <v>39</v>
      </c>
      <c r="F735" s="391">
        <v>123764.0</v>
      </c>
      <c r="G735" s="391">
        <v>30425.0</v>
      </c>
      <c r="H735" s="391">
        <v>24.58</v>
      </c>
      <c r="I735" s="391">
        <v>8.08</v>
      </c>
      <c r="J735" s="391">
        <v>5.58</v>
      </c>
      <c r="K735" s="391">
        <v>43201.0</v>
      </c>
      <c r="L735" s="391">
        <v>534927.0</v>
      </c>
      <c r="M735" s="391">
        <v>0.3491</v>
      </c>
      <c r="N735" s="38">
        <v>1.4199</v>
      </c>
    </row>
    <row r="736">
      <c r="A736" s="389" t="s">
        <v>1970</v>
      </c>
      <c r="B736" s="389" t="s">
        <v>137</v>
      </c>
      <c r="C736" s="389" t="s">
        <v>8</v>
      </c>
      <c r="D736" s="389" t="s">
        <v>591</v>
      </c>
      <c r="E736" s="390" t="s">
        <v>45</v>
      </c>
      <c r="F736" s="391">
        <v>123764.0</v>
      </c>
      <c r="G736" s="391">
        <v>20086.0</v>
      </c>
      <c r="H736" s="391">
        <v>16.23</v>
      </c>
      <c r="I736" s="391">
        <v>4.86</v>
      </c>
      <c r="J736" s="391">
        <v>3.51</v>
      </c>
      <c r="K736" s="391">
        <v>26024.0</v>
      </c>
      <c r="L736" s="391">
        <v>534927.0</v>
      </c>
      <c r="M736" s="391">
        <v>0.2103</v>
      </c>
      <c r="N736" s="38">
        <v>1.2956</v>
      </c>
    </row>
    <row r="737">
      <c r="A737" s="389" t="s">
        <v>1970</v>
      </c>
      <c r="B737" s="389" t="s">
        <v>137</v>
      </c>
      <c r="C737" s="389" t="s">
        <v>8</v>
      </c>
      <c r="D737" s="389" t="s">
        <v>591</v>
      </c>
      <c r="E737" s="390" t="s">
        <v>365</v>
      </c>
      <c r="F737" s="391">
        <v>123764.0</v>
      </c>
      <c r="G737" s="391">
        <v>20470.0</v>
      </c>
      <c r="H737" s="391">
        <v>16.54</v>
      </c>
      <c r="I737" s="391">
        <v>3.97</v>
      </c>
      <c r="J737" s="391">
        <v>4.32</v>
      </c>
      <c r="K737" s="391">
        <v>21261.0</v>
      </c>
      <c r="L737" s="391">
        <v>534927.0</v>
      </c>
      <c r="M737" s="391">
        <v>0.1718</v>
      </c>
      <c r="N737" s="38">
        <v>1.0386</v>
      </c>
    </row>
    <row r="738">
      <c r="A738" s="389" t="s">
        <v>1970</v>
      </c>
      <c r="B738" s="389" t="s">
        <v>137</v>
      </c>
      <c r="C738" s="389" t="s">
        <v>8</v>
      </c>
      <c r="D738" s="389" t="s">
        <v>591</v>
      </c>
      <c r="E738" s="390" t="s">
        <v>108</v>
      </c>
      <c r="F738" s="391">
        <v>123764.0</v>
      </c>
      <c r="G738" s="391">
        <v>6240.0</v>
      </c>
      <c r="H738" s="391">
        <v>5.04</v>
      </c>
      <c r="I738" s="391">
        <v>1.39</v>
      </c>
      <c r="J738" s="391">
        <v>1.31</v>
      </c>
      <c r="K738" s="391">
        <v>7409.0</v>
      </c>
      <c r="L738" s="391">
        <v>534927.0</v>
      </c>
      <c r="M738" s="391">
        <v>0.0599</v>
      </c>
      <c r="N738" s="38">
        <v>1.1873</v>
      </c>
    </row>
    <row r="739">
      <c r="A739" s="389" t="s">
        <v>1970</v>
      </c>
      <c r="B739" s="389" t="s">
        <v>137</v>
      </c>
      <c r="C739" s="389" t="s">
        <v>8</v>
      </c>
      <c r="D739" s="389" t="s">
        <v>591</v>
      </c>
      <c r="E739" s="390" t="s">
        <v>38</v>
      </c>
      <c r="F739" s="391">
        <v>123764.0</v>
      </c>
      <c r="G739" s="391">
        <v>1575.0</v>
      </c>
      <c r="H739" s="391">
        <v>1.27</v>
      </c>
      <c r="I739" s="391">
        <v>0.3</v>
      </c>
      <c r="J739" s="391">
        <v>0.24</v>
      </c>
      <c r="K739" s="391">
        <v>1628.0</v>
      </c>
      <c r="L739" s="391">
        <v>534927.0</v>
      </c>
      <c r="M739" s="391">
        <v>0.0132</v>
      </c>
      <c r="N739" s="38">
        <v>1.0337</v>
      </c>
    </row>
    <row r="740">
      <c r="A740" s="389" t="s">
        <v>1970</v>
      </c>
      <c r="B740" s="389" t="s">
        <v>137</v>
      </c>
      <c r="C740" s="389" t="s">
        <v>8</v>
      </c>
      <c r="D740" s="389" t="s">
        <v>591</v>
      </c>
      <c r="E740" s="390" t="s">
        <v>368</v>
      </c>
      <c r="F740" s="391">
        <v>123764.0</v>
      </c>
      <c r="G740" s="391">
        <v>51.0</v>
      </c>
      <c r="H740" s="391">
        <v>0.04</v>
      </c>
      <c r="I740" s="391">
        <v>0.01</v>
      </c>
      <c r="J740" s="391">
        <v>0.01</v>
      </c>
      <c r="K740" s="391">
        <v>53.0</v>
      </c>
      <c r="L740" s="391">
        <v>534927.0</v>
      </c>
      <c r="M740" s="391">
        <v>4.0E-4</v>
      </c>
      <c r="N740" s="38">
        <v>1.0392</v>
      </c>
    </row>
    <row r="741">
      <c r="A741" s="389" t="s">
        <v>1970</v>
      </c>
      <c r="B741" s="389" t="s">
        <v>137</v>
      </c>
      <c r="C741" s="389" t="s">
        <v>8</v>
      </c>
      <c r="D741" s="389" t="s">
        <v>591</v>
      </c>
      <c r="E741" s="390" t="s">
        <v>163</v>
      </c>
      <c r="F741" s="391">
        <v>123764.0</v>
      </c>
      <c r="G741" s="391">
        <v>6.0</v>
      </c>
      <c r="H741" s="391">
        <v>0.0</v>
      </c>
      <c r="I741" s="391">
        <v>0.0</v>
      </c>
      <c r="J741" s="391">
        <v>0.0</v>
      </c>
      <c r="K741" s="391">
        <v>7.0</v>
      </c>
      <c r="L741" s="391">
        <v>534927.0</v>
      </c>
      <c r="M741" s="391">
        <v>1.0E-4</v>
      </c>
      <c r="N741" s="38">
        <v>1.1667</v>
      </c>
    </row>
    <row r="742">
      <c r="A742" s="389" t="s">
        <v>1970</v>
      </c>
      <c r="B742" s="389" t="s">
        <v>137</v>
      </c>
      <c r="C742" s="389" t="s">
        <v>8</v>
      </c>
      <c r="D742" s="389" t="s">
        <v>591</v>
      </c>
      <c r="E742" s="390" t="s">
        <v>27</v>
      </c>
      <c r="F742" s="391">
        <v>123764.0</v>
      </c>
      <c r="G742" s="391">
        <v>16.0</v>
      </c>
      <c r="H742" s="391">
        <v>0.01</v>
      </c>
      <c r="I742" s="391">
        <v>0.0</v>
      </c>
      <c r="J742" s="391">
        <v>0.01</v>
      </c>
      <c r="K742" s="391">
        <v>22.0</v>
      </c>
      <c r="L742" s="391">
        <v>534927.0</v>
      </c>
      <c r="M742" s="391">
        <v>2.0E-4</v>
      </c>
      <c r="N742" s="38">
        <v>1.375</v>
      </c>
    </row>
    <row r="743">
      <c r="A743" s="389" t="s">
        <v>1970</v>
      </c>
      <c r="B743" s="389" t="s">
        <v>137</v>
      </c>
      <c r="C743" s="389" t="s">
        <v>8</v>
      </c>
      <c r="D743" s="389" t="s">
        <v>591</v>
      </c>
      <c r="E743" s="390" t="s">
        <v>30</v>
      </c>
      <c r="F743" s="391">
        <v>123764.0</v>
      </c>
      <c r="G743" s="391">
        <v>10.0</v>
      </c>
      <c r="H743" s="391">
        <v>0.01</v>
      </c>
      <c r="I743" s="391">
        <v>0.0</v>
      </c>
      <c r="J743" s="391">
        <v>0.0</v>
      </c>
      <c r="K743" s="391">
        <v>10.0</v>
      </c>
      <c r="L743" s="391">
        <v>534927.0</v>
      </c>
      <c r="M743" s="391">
        <v>1.0E-4</v>
      </c>
      <c r="N743" s="38">
        <v>1.0</v>
      </c>
    </row>
    <row r="744">
      <c r="A744" s="389" t="s">
        <v>1970</v>
      </c>
      <c r="B744" s="389" t="s">
        <v>137</v>
      </c>
      <c r="C744" s="389" t="s">
        <v>8</v>
      </c>
      <c r="D744" s="389" t="s">
        <v>591</v>
      </c>
      <c r="E744" s="390" t="s">
        <v>284</v>
      </c>
      <c r="F744" s="391">
        <v>123764.0</v>
      </c>
      <c r="G744" s="391">
        <v>4.0</v>
      </c>
      <c r="H744" s="391">
        <v>0.0</v>
      </c>
      <c r="I744" s="391">
        <v>0.0</v>
      </c>
      <c r="J744" s="391">
        <v>0.0</v>
      </c>
      <c r="K744" s="391">
        <v>6.0</v>
      </c>
      <c r="L744" s="391">
        <v>534927.0</v>
      </c>
      <c r="M744" s="391">
        <v>0.0</v>
      </c>
      <c r="N744" s="38">
        <v>1.5</v>
      </c>
    </row>
    <row r="745">
      <c r="A745" s="389" t="s">
        <v>1970</v>
      </c>
      <c r="B745" s="389" t="s">
        <v>137</v>
      </c>
      <c r="C745" s="389" t="s">
        <v>8</v>
      </c>
      <c r="D745" s="389" t="s">
        <v>591</v>
      </c>
      <c r="E745" s="390" t="s">
        <v>367</v>
      </c>
      <c r="F745" s="391">
        <v>123764.0</v>
      </c>
      <c r="G745" s="391">
        <v>2.0</v>
      </c>
      <c r="H745" s="391">
        <v>0.0</v>
      </c>
      <c r="I745" s="391">
        <v>0.0</v>
      </c>
      <c r="J745" s="391">
        <v>0.0</v>
      </c>
      <c r="K745" s="391">
        <v>4.0</v>
      </c>
      <c r="L745" s="391">
        <v>534927.0</v>
      </c>
      <c r="M745" s="391">
        <v>0.0</v>
      </c>
      <c r="N745" s="38">
        <v>2.0</v>
      </c>
    </row>
    <row r="746">
      <c r="A746" s="389" t="s">
        <v>1970</v>
      </c>
      <c r="B746" s="389" t="s">
        <v>137</v>
      </c>
      <c r="C746" s="389" t="s">
        <v>8</v>
      </c>
      <c r="D746" s="389" t="s">
        <v>591</v>
      </c>
      <c r="E746" s="390" t="s">
        <v>372</v>
      </c>
      <c r="F746" s="391">
        <v>123764.0</v>
      </c>
      <c r="G746" s="391">
        <v>13.0</v>
      </c>
      <c r="H746" s="391">
        <v>0.01</v>
      </c>
      <c r="I746" s="391">
        <v>0.0</v>
      </c>
      <c r="J746" s="391">
        <v>0.01</v>
      </c>
      <c r="K746" s="391">
        <v>26.0</v>
      </c>
      <c r="L746" s="391">
        <v>534927.0</v>
      </c>
      <c r="M746" s="391">
        <v>2.0E-4</v>
      </c>
      <c r="N746" s="38">
        <v>2.0</v>
      </c>
    </row>
    <row r="747">
      <c r="A747" s="389" t="s">
        <v>1970</v>
      </c>
      <c r="B747" s="389" t="s">
        <v>137</v>
      </c>
      <c r="C747" s="389" t="s">
        <v>7</v>
      </c>
      <c r="D747" s="389" t="s">
        <v>591</v>
      </c>
      <c r="E747" s="390" t="s">
        <v>370</v>
      </c>
      <c r="F747" s="391">
        <v>144562.0</v>
      </c>
      <c r="G747" s="391">
        <v>114492.0</v>
      </c>
      <c r="H747" s="391">
        <v>79.2</v>
      </c>
      <c r="I747" s="391">
        <v>36.93</v>
      </c>
      <c r="J747" s="391">
        <v>33.69</v>
      </c>
      <c r="K747" s="391">
        <v>478574.0</v>
      </c>
      <c r="L747" s="391">
        <v>1295759.0</v>
      </c>
      <c r="M747" s="391">
        <v>3.3105</v>
      </c>
      <c r="N747" s="38">
        <v>4.18</v>
      </c>
    </row>
    <row r="748">
      <c r="A748" s="389" t="s">
        <v>1970</v>
      </c>
      <c r="B748" s="389" t="s">
        <v>137</v>
      </c>
      <c r="C748" s="389" t="s">
        <v>7</v>
      </c>
      <c r="D748" s="389" t="s">
        <v>591</v>
      </c>
      <c r="E748" s="390" t="s">
        <v>371</v>
      </c>
      <c r="F748" s="391">
        <v>144562.0</v>
      </c>
      <c r="G748" s="391">
        <v>103888.0</v>
      </c>
      <c r="H748" s="391">
        <v>71.86</v>
      </c>
      <c r="I748" s="391">
        <v>21.15</v>
      </c>
      <c r="J748" s="391">
        <v>24.2</v>
      </c>
      <c r="K748" s="391">
        <v>274027.0</v>
      </c>
      <c r="L748" s="391">
        <v>1295759.0</v>
      </c>
      <c r="M748" s="391">
        <v>1.8956</v>
      </c>
      <c r="N748" s="38">
        <v>2.6377</v>
      </c>
    </row>
    <row r="749">
      <c r="A749" s="389" t="s">
        <v>1970</v>
      </c>
      <c r="B749" s="389" t="s">
        <v>137</v>
      </c>
      <c r="C749" s="389" t="s">
        <v>7</v>
      </c>
      <c r="D749" s="389" t="s">
        <v>591</v>
      </c>
      <c r="E749" s="390" t="s">
        <v>369</v>
      </c>
      <c r="F749" s="391">
        <v>144562.0</v>
      </c>
      <c r="G749" s="391">
        <v>88888.0</v>
      </c>
      <c r="H749" s="391">
        <v>61.49</v>
      </c>
      <c r="I749" s="391">
        <v>11.69</v>
      </c>
      <c r="J749" s="391">
        <v>14.52</v>
      </c>
      <c r="K749" s="391">
        <v>151464.0</v>
      </c>
      <c r="L749" s="391">
        <v>1295759.0</v>
      </c>
      <c r="M749" s="391">
        <v>1.0477</v>
      </c>
      <c r="N749" s="38">
        <v>1.704</v>
      </c>
    </row>
    <row r="750">
      <c r="A750" s="389" t="s">
        <v>1970</v>
      </c>
      <c r="B750" s="389" t="s">
        <v>137</v>
      </c>
      <c r="C750" s="389" t="s">
        <v>7</v>
      </c>
      <c r="D750" s="389" t="s">
        <v>591</v>
      </c>
      <c r="E750" s="390" t="s">
        <v>368</v>
      </c>
      <c r="F750" s="391">
        <v>144562.0</v>
      </c>
      <c r="G750" s="391">
        <v>68752.0</v>
      </c>
      <c r="H750" s="391">
        <v>47.56</v>
      </c>
      <c r="I750" s="391">
        <v>7.17</v>
      </c>
      <c r="J750" s="391">
        <v>7.99</v>
      </c>
      <c r="K750" s="391">
        <v>92966.0</v>
      </c>
      <c r="L750" s="391">
        <v>1295759.0</v>
      </c>
      <c r="M750" s="391">
        <v>0.6431</v>
      </c>
      <c r="N750" s="38">
        <v>1.3522</v>
      </c>
    </row>
    <row r="751">
      <c r="A751" s="389" t="s">
        <v>1970</v>
      </c>
      <c r="B751" s="389" t="s">
        <v>137</v>
      </c>
      <c r="C751" s="389" t="s">
        <v>7</v>
      </c>
      <c r="D751" s="389" t="s">
        <v>591</v>
      </c>
      <c r="E751" s="390" t="s">
        <v>39</v>
      </c>
      <c r="F751" s="391">
        <v>144562.0</v>
      </c>
      <c r="G751" s="391">
        <v>55197.0</v>
      </c>
      <c r="H751" s="391">
        <v>38.18</v>
      </c>
      <c r="I751" s="391">
        <v>7.08</v>
      </c>
      <c r="J751" s="391">
        <v>5.76</v>
      </c>
      <c r="K751" s="391">
        <v>91786.0</v>
      </c>
      <c r="L751" s="391">
        <v>1295759.0</v>
      </c>
      <c r="M751" s="391">
        <v>0.6349</v>
      </c>
      <c r="N751" s="38">
        <v>1.6629</v>
      </c>
    </row>
    <row r="752">
      <c r="A752" s="389" t="s">
        <v>1970</v>
      </c>
      <c r="B752" s="389" t="s">
        <v>137</v>
      </c>
      <c r="C752" s="389" t="s">
        <v>7</v>
      </c>
      <c r="D752" s="389" t="s">
        <v>591</v>
      </c>
      <c r="E752" s="390" t="s">
        <v>44</v>
      </c>
      <c r="F752" s="391">
        <v>144562.0</v>
      </c>
      <c r="G752" s="391">
        <v>36528.0</v>
      </c>
      <c r="H752" s="391">
        <v>25.27</v>
      </c>
      <c r="I752" s="391">
        <v>4.65</v>
      </c>
      <c r="J752" s="391">
        <v>3.68</v>
      </c>
      <c r="K752" s="391">
        <v>60288.0</v>
      </c>
      <c r="L752" s="391">
        <v>1295759.0</v>
      </c>
      <c r="M752" s="391">
        <v>0.417</v>
      </c>
      <c r="N752" s="38">
        <v>1.6505</v>
      </c>
    </row>
    <row r="753">
      <c r="A753" s="389" t="s">
        <v>1970</v>
      </c>
      <c r="B753" s="389" t="s">
        <v>137</v>
      </c>
      <c r="C753" s="389" t="s">
        <v>7</v>
      </c>
      <c r="D753" s="389" t="s">
        <v>591</v>
      </c>
      <c r="E753" s="390" t="s">
        <v>163</v>
      </c>
      <c r="F753" s="391">
        <v>144562.0</v>
      </c>
      <c r="G753" s="391">
        <v>34097.0</v>
      </c>
      <c r="H753" s="391">
        <v>23.59</v>
      </c>
      <c r="I753" s="391">
        <v>2.69</v>
      </c>
      <c r="J753" s="391">
        <v>2.82</v>
      </c>
      <c r="K753" s="391">
        <v>34879.0</v>
      </c>
      <c r="L753" s="391">
        <v>1295759.0</v>
      </c>
      <c r="M753" s="391">
        <v>0.2413</v>
      </c>
      <c r="N753" s="38">
        <v>1.0229</v>
      </c>
    </row>
    <row r="754">
      <c r="A754" s="389" t="s">
        <v>1970</v>
      </c>
      <c r="B754" s="389" t="s">
        <v>137</v>
      </c>
      <c r="C754" s="389" t="s">
        <v>7</v>
      </c>
      <c r="D754" s="389" t="s">
        <v>591</v>
      </c>
      <c r="E754" s="390" t="s">
        <v>365</v>
      </c>
      <c r="F754" s="391">
        <v>144562.0</v>
      </c>
      <c r="G754" s="391">
        <v>22139.0</v>
      </c>
      <c r="H754" s="391">
        <v>15.31</v>
      </c>
      <c r="I754" s="391">
        <v>1.97</v>
      </c>
      <c r="J754" s="391">
        <v>1.83</v>
      </c>
      <c r="K754" s="391">
        <v>25490.0</v>
      </c>
      <c r="L754" s="391">
        <v>1295759.0</v>
      </c>
      <c r="M754" s="391">
        <v>0.1763</v>
      </c>
      <c r="N754" s="38">
        <v>1.1514</v>
      </c>
    </row>
    <row r="755">
      <c r="A755" s="389" t="s">
        <v>1970</v>
      </c>
      <c r="B755" s="389" t="s">
        <v>137</v>
      </c>
      <c r="C755" s="389" t="s">
        <v>7</v>
      </c>
      <c r="D755" s="389" t="s">
        <v>591</v>
      </c>
      <c r="E755" s="390" t="s">
        <v>367</v>
      </c>
      <c r="F755" s="391">
        <v>144562.0</v>
      </c>
      <c r="G755" s="391">
        <v>17737.0</v>
      </c>
      <c r="H755" s="391">
        <v>12.27</v>
      </c>
      <c r="I755" s="391">
        <v>1.9</v>
      </c>
      <c r="J755" s="391">
        <v>1.5</v>
      </c>
      <c r="K755" s="391">
        <v>24674.0</v>
      </c>
      <c r="L755" s="391">
        <v>1295759.0</v>
      </c>
      <c r="M755" s="391">
        <v>0.1707</v>
      </c>
      <c r="N755" s="38">
        <v>1.3911</v>
      </c>
    </row>
    <row r="756">
      <c r="A756" s="389" t="s">
        <v>1970</v>
      </c>
      <c r="B756" s="389" t="s">
        <v>137</v>
      </c>
      <c r="C756" s="389" t="s">
        <v>7</v>
      </c>
      <c r="D756" s="389" t="s">
        <v>591</v>
      </c>
      <c r="E756" s="390" t="s">
        <v>30</v>
      </c>
      <c r="F756" s="391">
        <v>144562.0</v>
      </c>
      <c r="G756" s="391">
        <v>20894.0</v>
      </c>
      <c r="H756" s="391">
        <v>14.45</v>
      </c>
      <c r="I756" s="391">
        <v>1.63</v>
      </c>
      <c r="J756" s="391">
        <v>1.46</v>
      </c>
      <c r="K756" s="391">
        <v>21176.0</v>
      </c>
      <c r="L756" s="391">
        <v>1295759.0</v>
      </c>
      <c r="M756" s="391">
        <v>0.1465</v>
      </c>
      <c r="N756" s="38">
        <v>1.0135</v>
      </c>
    </row>
    <row r="757">
      <c r="A757" s="389" t="s">
        <v>1970</v>
      </c>
      <c r="B757" s="389" t="s">
        <v>137</v>
      </c>
      <c r="C757" s="389" t="s">
        <v>7</v>
      </c>
      <c r="D757" s="389" t="s">
        <v>591</v>
      </c>
      <c r="E757" s="390" t="s">
        <v>37</v>
      </c>
      <c r="F757" s="391">
        <v>144562.0</v>
      </c>
      <c r="G757" s="391">
        <v>12491.0</v>
      </c>
      <c r="H757" s="391">
        <v>8.64</v>
      </c>
      <c r="I757" s="391">
        <v>1.18</v>
      </c>
      <c r="J757" s="391">
        <v>1.14</v>
      </c>
      <c r="K757" s="391">
        <v>15328.0</v>
      </c>
      <c r="L757" s="391">
        <v>1295759.0</v>
      </c>
      <c r="M757" s="391">
        <v>0.106</v>
      </c>
      <c r="N757" s="38">
        <v>1.2271</v>
      </c>
    </row>
    <row r="758">
      <c r="A758" s="389" t="s">
        <v>1970</v>
      </c>
      <c r="B758" s="389" t="s">
        <v>137</v>
      </c>
      <c r="C758" s="389" t="s">
        <v>7</v>
      </c>
      <c r="D758" s="389" t="s">
        <v>591</v>
      </c>
      <c r="E758" s="390" t="s">
        <v>45</v>
      </c>
      <c r="F758" s="391">
        <v>144562.0</v>
      </c>
      <c r="G758" s="391">
        <v>11826.0</v>
      </c>
      <c r="H758" s="391">
        <v>8.18</v>
      </c>
      <c r="I758" s="391">
        <v>1.1</v>
      </c>
      <c r="J758" s="391">
        <v>0.72</v>
      </c>
      <c r="K758" s="391">
        <v>14195.0</v>
      </c>
      <c r="L758" s="391">
        <v>1295759.0</v>
      </c>
      <c r="M758" s="391">
        <v>0.0982</v>
      </c>
      <c r="N758" s="38">
        <v>1.2003</v>
      </c>
    </row>
    <row r="759">
      <c r="A759" s="389" t="s">
        <v>1970</v>
      </c>
      <c r="B759" s="389" t="s">
        <v>137</v>
      </c>
      <c r="C759" s="389" t="s">
        <v>7</v>
      </c>
      <c r="D759" s="389" t="s">
        <v>591</v>
      </c>
      <c r="E759" s="390" t="s">
        <v>108</v>
      </c>
      <c r="F759" s="391">
        <v>144562.0</v>
      </c>
      <c r="G759" s="391">
        <v>7278.0</v>
      </c>
      <c r="H759" s="391">
        <v>5.03</v>
      </c>
      <c r="I759" s="391">
        <v>0.7</v>
      </c>
      <c r="J759" s="391">
        <v>0.56</v>
      </c>
      <c r="K759" s="391">
        <v>9127.0</v>
      </c>
      <c r="L759" s="391">
        <v>1295759.0</v>
      </c>
      <c r="M759" s="391">
        <v>0.0631</v>
      </c>
      <c r="N759" s="38">
        <v>1.2541</v>
      </c>
    </row>
    <row r="760">
      <c r="A760" s="389" t="s">
        <v>1970</v>
      </c>
      <c r="B760" s="389" t="s">
        <v>137</v>
      </c>
      <c r="C760" s="389" t="s">
        <v>7</v>
      </c>
      <c r="D760" s="389" t="s">
        <v>591</v>
      </c>
      <c r="E760" s="390" t="s">
        <v>38</v>
      </c>
      <c r="F760" s="391">
        <v>144562.0</v>
      </c>
      <c r="G760" s="391">
        <v>1684.0</v>
      </c>
      <c r="H760" s="391">
        <v>1.16</v>
      </c>
      <c r="I760" s="391">
        <v>0.13</v>
      </c>
      <c r="J760" s="391">
        <v>0.12</v>
      </c>
      <c r="K760" s="391">
        <v>1722.0</v>
      </c>
      <c r="L760" s="391">
        <v>1295759.0</v>
      </c>
      <c r="M760" s="391">
        <v>0.0119</v>
      </c>
      <c r="N760" s="38">
        <v>1.0226</v>
      </c>
    </row>
    <row r="761">
      <c r="A761" s="389" t="s">
        <v>1970</v>
      </c>
      <c r="B761" s="389" t="s">
        <v>137</v>
      </c>
      <c r="C761" s="389" t="s">
        <v>7</v>
      </c>
      <c r="D761" s="389" t="s">
        <v>591</v>
      </c>
      <c r="E761" s="390" t="s">
        <v>372</v>
      </c>
      <c r="F761" s="391">
        <v>144562.0</v>
      </c>
      <c r="G761" s="391">
        <v>4.0</v>
      </c>
      <c r="H761" s="391">
        <v>0.0</v>
      </c>
      <c r="I761" s="391">
        <v>0.0</v>
      </c>
      <c r="J761" s="391">
        <v>0.0</v>
      </c>
      <c r="K761" s="391">
        <v>8.0</v>
      </c>
      <c r="L761" s="391">
        <v>1295759.0</v>
      </c>
      <c r="M761" s="391">
        <v>1.0E-4</v>
      </c>
      <c r="N761" s="38">
        <v>2.0</v>
      </c>
    </row>
    <row r="762">
      <c r="A762" s="389" t="s">
        <v>1970</v>
      </c>
      <c r="B762" s="389" t="s">
        <v>137</v>
      </c>
      <c r="C762" s="389" t="s">
        <v>7</v>
      </c>
      <c r="D762" s="389" t="s">
        <v>591</v>
      </c>
      <c r="E762" s="390" t="s">
        <v>27</v>
      </c>
      <c r="F762" s="391">
        <v>144562.0</v>
      </c>
      <c r="G762" s="391">
        <v>41.0</v>
      </c>
      <c r="H762" s="391">
        <v>0.03</v>
      </c>
      <c r="I762" s="391">
        <v>0.0</v>
      </c>
      <c r="J762" s="391">
        <v>0.01</v>
      </c>
      <c r="K762" s="391">
        <v>54.0</v>
      </c>
      <c r="L762" s="391">
        <v>1295759.0</v>
      </c>
      <c r="M762" s="391">
        <v>4.0E-4</v>
      </c>
      <c r="N762" s="38">
        <v>1.3171</v>
      </c>
    </row>
    <row r="763">
      <c r="A763" s="389" t="s">
        <v>1970</v>
      </c>
      <c r="B763" s="389" t="s">
        <v>137</v>
      </c>
      <c r="C763" s="389" t="s">
        <v>7</v>
      </c>
      <c r="D763" s="389" t="s">
        <v>591</v>
      </c>
      <c r="E763" s="390" t="s">
        <v>363</v>
      </c>
      <c r="F763" s="391">
        <v>144562.0</v>
      </c>
      <c r="G763" s="391">
        <v>1.0</v>
      </c>
      <c r="H763" s="391">
        <v>0.0</v>
      </c>
      <c r="I763" s="391">
        <v>0.0</v>
      </c>
      <c r="J763" s="391">
        <v>0.0</v>
      </c>
      <c r="K763" s="391">
        <v>1.0</v>
      </c>
      <c r="L763" s="391">
        <v>1295759.0</v>
      </c>
      <c r="M763" s="391">
        <v>0.0</v>
      </c>
      <c r="N763" s="38">
        <v>1.0</v>
      </c>
    </row>
    <row r="764">
      <c r="A764" s="389" t="s">
        <v>1970</v>
      </c>
      <c r="B764" s="389" t="s">
        <v>137</v>
      </c>
      <c r="C764" s="389" t="s">
        <v>11</v>
      </c>
      <c r="D764" s="389" t="s">
        <v>591</v>
      </c>
      <c r="E764" s="390" t="s">
        <v>370</v>
      </c>
      <c r="F764" s="391">
        <v>104547.0</v>
      </c>
      <c r="G764" s="391">
        <v>75520.0</v>
      </c>
      <c r="H764" s="391">
        <v>72.24</v>
      </c>
      <c r="I764" s="391">
        <v>32.01</v>
      </c>
      <c r="J764" s="391">
        <v>37.51</v>
      </c>
      <c r="K764" s="391">
        <v>120113.0</v>
      </c>
      <c r="L764" s="391">
        <v>375233.0</v>
      </c>
      <c r="M764" s="391">
        <v>1.1489</v>
      </c>
      <c r="N764" s="38">
        <v>1.5905</v>
      </c>
    </row>
    <row r="765">
      <c r="A765" s="389" t="s">
        <v>1970</v>
      </c>
      <c r="B765" s="389" t="s">
        <v>137</v>
      </c>
      <c r="C765" s="389" t="s">
        <v>11</v>
      </c>
      <c r="D765" s="389" t="s">
        <v>591</v>
      </c>
      <c r="E765" s="390" t="s">
        <v>37</v>
      </c>
      <c r="F765" s="391">
        <v>104547.0</v>
      </c>
      <c r="G765" s="391">
        <v>48211.0</v>
      </c>
      <c r="H765" s="391">
        <v>46.11</v>
      </c>
      <c r="I765" s="391">
        <v>24.21</v>
      </c>
      <c r="J765" s="391">
        <v>23.1</v>
      </c>
      <c r="K765" s="391">
        <v>90858.0</v>
      </c>
      <c r="L765" s="391">
        <v>375233.0</v>
      </c>
      <c r="M765" s="391">
        <v>0.8691</v>
      </c>
      <c r="N765" s="38">
        <v>1.8846</v>
      </c>
    </row>
    <row r="766">
      <c r="A766" s="389" t="s">
        <v>1970</v>
      </c>
      <c r="B766" s="389" t="s">
        <v>137</v>
      </c>
      <c r="C766" s="389" t="s">
        <v>11</v>
      </c>
      <c r="D766" s="389" t="s">
        <v>591</v>
      </c>
      <c r="E766" s="390" t="s">
        <v>363</v>
      </c>
      <c r="F766" s="391">
        <v>104547.0</v>
      </c>
      <c r="G766" s="391">
        <v>17943.0</v>
      </c>
      <c r="H766" s="391">
        <v>17.16</v>
      </c>
      <c r="I766" s="391">
        <v>9.97</v>
      </c>
      <c r="J766" s="391">
        <v>6.35</v>
      </c>
      <c r="K766" s="391">
        <v>37419.0</v>
      </c>
      <c r="L766" s="391">
        <v>375233.0</v>
      </c>
      <c r="M766" s="391">
        <v>0.3579</v>
      </c>
      <c r="N766" s="38">
        <v>2.0854</v>
      </c>
    </row>
    <row r="767">
      <c r="A767" s="389" t="s">
        <v>1970</v>
      </c>
      <c r="B767" s="389" t="s">
        <v>137</v>
      </c>
      <c r="C767" s="389" t="s">
        <v>11</v>
      </c>
      <c r="D767" s="389" t="s">
        <v>591</v>
      </c>
      <c r="E767" s="390" t="s">
        <v>45</v>
      </c>
      <c r="F767" s="391">
        <v>104547.0</v>
      </c>
      <c r="G767" s="391">
        <v>21314.0</v>
      </c>
      <c r="H767" s="391">
        <v>20.39</v>
      </c>
      <c r="I767" s="391">
        <v>7.78</v>
      </c>
      <c r="J767" s="391">
        <v>7.29</v>
      </c>
      <c r="K767" s="391">
        <v>29183.0</v>
      </c>
      <c r="L767" s="391">
        <v>375233.0</v>
      </c>
      <c r="M767" s="391">
        <v>0.2791</v>
      </c>
      <c r="N767" s="38">
        <v>1.3692</v>
      </c>
    </row>
    <row r="768">
      <c r="A768" s="389" t="s">
        <v>1970</v>
      </c>
      <c r="B768" s="389" t="s">
        <v>137</v>
      </c>
      <c r="C768" s="389" t="s">
        <v>11</v>
      </c>
      <c r="D768" s="389" t="s">
        <v>591</v>
      </c>
      <c r="E768" s="390" t="s">
        <v>365</v>
      </c>
      <c r="F768" s="391">
        <v>104547.0</v>
      </c>
      <c r="G768" s="391">
        <v>26273.0</v>
      </c>
      <c r="H768" s="391">
        <v>25.13</v>
      </c>
      <c r="I768" s="391">
        <v>7.39</v>
      </c>
      <c r="J768" s="391">
        <v>9.34</v>
      </c>
      <c r="K768" s="391">
        <v>27724.0</v>
      </c>
      <c r="L768" s="391">
        <v>375233.0</v>
      </c>
      <c r="M768" s="391">
        <v>0.2652</v>
      </c>
      <c r="N768" s="38">
        <v>1.0552</v>
      </c>
    </row>
    <row r="769">
      <c r="A769" s="389" t="s">
        <v>1970</v>
      </c>
      <c r="B769" s="389" t="s">
        <v>137</v>
      </c>
      <c r="C769" s="389" t="s">
        <v>11</v>
      </c>
      <c r="D769" s="389" t="s">
        <v>591</v>
      </c>
      <c r="E769" s="390" t="s">
        <v>108</v>
      </c>
      <c r="F769" s="391">
        <v>104547.0</v>
      </c>
      <c r="G769" s="391">
        <v>17136.0</v>
      </c>
      <c r="H769" s="391">
        <v>16.39</v>
      </c>
      <c r="I769" s="391">
        <v>6.06</v>
      </c>
      <c r="J769" s="391">
        <v>6.07</v>
      </c>
      <c r="K769" s="391">
        <v>22735.0</v>
      </c>
      <c r="L769" s="391">
        <v>375233.0</v>
      </c>
      <c r="M769" s="391">
        <v>0.2175</v>
      </c>
      <c r="N769" s="38">
        <v>1.3267</v>
      </c>
    </row>
    <row r="770">
      <c r="A770" s="389" t="s">
        <v>1970</v>
      </c>
      <c r="B770" s="389" t="s">
        <v>137</v>
      </c>
      <c r="C770" s="389" t="s">
        <v>11</v>
      </c>
      <c r="D770" s="389" t="s">
        <v>591</v>
      </c>
      <c r="E770" s="390" t="s">
        <v>366</v>
      </c>
      <c r="F770" s="391">
        <v>104547.0</v>
      </c>
      <c r="G770" s="391">
        <v>15099.0</v>
      </c>
      <c r="H770" s="391">
        <v>14.44</v>
      </c>
      <c r="I770" s="391">
        <v>4.23</v>
      </c>
      <c r="J770" s="391">
        <v>3.25</v>
      </c>
      <c r="K770" s="391">
        <v>15891.0</v>
      </c>
      <c r="L770" s="391">
        <v>375233.0</v>
      </c>
      <c r="M770" s="391">
        <v>0.152</v>
      </c>
      <c r="N770" s="38">
        <v>1.0525</v>
      </c>
    </row>
    <row r="771">
      <c r="A771" s="389" t="s">
        <v>1970</v>
      </c>
      <c r="B771" s="389" t="s">
        <v>137</v>
      </c>
      <c r="C771" s="389" t="s">
        <v>11</v>
      </c>
      <c r="D771" s="389" t="s">
        <v>591</v>
      </c>
      <c r="E771" s="390" t="s">
        <v>369</v>
      </c>
      <c r="F771" s="391">
        <v>104547.0</v>
      </c>
      <c r="G771" s="391">
        <v>13032.0</v>
      </c>
      <c r="H771" s="391">
        <v>12.47</v>
      </c>
      <c r="I771" s="391">
        <v>3.74</v>
      </c>
      <c r="J771" s="391">
        <v>3.08</v>
      </c>
      <c r="K771" s="391">
        <v>14032.0</v>
      </c>
      <c r="L771" s="391">
        <v>375233.0</v>
      </c>
      <c r="M771" s="391">
        <v>0.1342</v>
      </c>
      <c r="N771" s="38">
        <v>1.0767</v>
      </c>
    </row>
    <row r="772">
      <c r="A772" s="389" t="s">
        <v>1970</v>
      </c>
      <c r="B772" s="389" t="s">
        <v>137</v>
      </c>
      <c r="C772" s="389" t="s">
        <v>11</v>
      </c>
      <c r="D772" s="389" t="s">
        <v>591</v>
      </c>
      <c r="E772" s="390" t="s">
        <v>35</v>
      </c>
      <c r="F772" s="391">
        <v>104547.0</v>
      </c>
      <c r="G772" s="391">
        <v>4902.0</v>
      </c>
      <c r="H772" s="391">
        <v>4.69</v>
      </c>
      <c r="I772" s="391">
        <v>2.13</v>
      </c>
      <c r="J772" s="391">
        <v>1.71</v>
      </c>
      <c r="K772" s="391">
        <v>8011.0</v>
      </c>
      <c r="L772" s="391">
        <v>375233.0</v>
      </c>
      <c r="M772" s="391">
        <v>0.0766</v>
      </c>
      <c r="N772" s="38">
        <v>1.6342</v>
      </c>
    </row>
    <row r="773">
      <c r="A773" s="389" t="s">
        <v>1970</v>
      </c>
      <c r="B773" s="389" t="s">
        <v>137</v>
      </c>
      <c r="C773" s="389" t="s">
        <v>11</v>
      </c>
      <c r="D773" s="389" t="s">
        <v>591</v>
      </c>
      <c r="E773" s="390" t="s">
        <v>282</v>
      </c>
      <c r="F773" s="391">
        <v>104547.0</v>
      </c>
      <c r="G773" s="391">
        <v>2461.0</v>
      </c>
      <c r="H773" s="391">
        <v>2.35</v>
      </c>
      <c r="I773" s="391">
        <v>0.7</v>
      </c>
      <c r="J773" s="391">
        <v>0.65</v>
      </c>
      <c r="K773" s="391">
        <v>2616.0</v>
      </c>
      <c r="L773" s="391">
        <v>375233.0</v>
      </c>
      <c r="M773" s="391">
        <v>0.025</v>
      </c>
      <c r="N773" s="38">
        <v>1.063</v>
      </c>
    </row>
    <row r="774">
      <c r="A774" s="389" t="s">
        <v>1970</v>
      </c>
      <c r="B774" s="389" t="s">
        <v>137</v>
      </c>
      <c r="C774" s="389" t="s">
        <v>11</v>
      </c>
      <c r="D774" s="389" t="s">
        <v>591</v>
      </c>
      <c r="E774" s="390" t="s">
        <v>39</v>
      </c>
      <c r="F774" s="391">
        <v>104547.0</v>
      </c>
      <c r="G774" s="391">
        <v>1831.0</v>
      </c>
      <c r="H774" s="391">
        <v>1.75</v>
      </c>
      <c r="I774" s="391">
        <v>0.59</v>
      </c>
      <c r="J774" s="391">
        <v>0.43</v>
      </c>
      <c r="K774" s="391">
        <v>2222.0</v>
      </c>
      <c r="L774" s="391">
        <v>375233.0</v>
      </c>
      <c r="M774" s="391">
        <v>0.0213</v>
      </c>
      <c r="N774" s="38">
        <v>1.2135</v>
      </c>
    </row>
    <row r="775">
      <c r="A775" s="389" t="s">
        <v>1970</v>
      </c>
      <c r="B775" s="389" t="s">
        <v>137</v>
      </c>
      <c r="C775" s="389" t="s">
        <v>11</v>
      </c>
      <c r="D775" s="389" t="s">
        <v>591</v>
      </c>
      <c r="E775" s="390" t="s">
        <v>284</v>
      </c>
      <c r="F775" s="391">
        <v>104547.0</v>
      </c>
      <c r="G775" s="391">
        <v>1888.0</v>
      </c>
      <c r="H775" s="391">
        <v>1.81</v>
      </c>
      <c r="I775" s="391">
        <v>0.54</v>
      </c>
      <c r="J775" s="391">
        <v>0.5</v>
      </c>
      <c r="K775" s="391">
        <v>2010.0</v>
      </c>
      <c r="L775" s="391">
        <v>375233.0</v>
      </c>
      <c r="M775" s="391">
        <v>0.0192</v>
      </c>
      <c r="N775" s="38">
        <v>1.0646</v>
      </c>
    </row>
    <row r="776">
      <c r="A776" s="389" t="s">
        <v>1970</v>
      </c>
      <c r="B776" s="389" t="s">
        <v>137</v>
      </c>
      <c r="C776" s="389" t="s">
        <v>11</v>
      </c>
      <c r="D776" s="389" t="s">
        <v>591</v>
      </c>
      <c r="E776" s="390" t="s">
        <v>283</v>
      </c>
      <c r="F776" s="391">
        <v>104547.0</v>
      </c>
      <c r="G776" s="391">
        <v>1794.0</v>
      </c>
      <c r="H776" s="391">
        <v>1.72</v>
      </c>
      <c r="I776" s="391">
        <v>0.5</v>
      </c>
      <c r="J776" s="391">
        <v>0.57</v>
      </c>
      <c r="K776" s="391">
        <v>1872.0</v>
      </c>
      <c r="L776" s="391">
        <v>375233.0</v>
      </c>
      <c r="M776" s="391">
        <v>0.0179</v>
      </c>
      <c r="N776" s="38">
        <v>1.0435</v>
      </c>
    </row>
    <row r="777">
      <c r="A777" s="389" t="s">
        <v>1970</v>
      </c>
      <c r="B777" s="389" t="s">
        <v>137</v>
      </c>
      <c r="C777" s="389" t="s">
        <v>11</v>
      </c>
      <c r="D777" s="389" t="s">
        <v>591</v>
      </c>
      <c r="E777" s="390" t="s">
        <v>27</v>
      </c>
      <c r="F777" s="391">
        <v>104547.0</v>
      </c>
      <c r="G777" s="391">
        <v>397.0</v>
      </c>
      <c r="H777" s="391">
        <v>0.38</v>
      </c>
      <c r="I777" s="391">
        <v>0.11</v>
      </c>
      <c r="J777" s="391">
        <v>0.11</v>
      </c>
      <c r="K777" s="391">
        <v>402.0</v>
      </c>
      <c r="L777" s="391">
        <v>375233.0</v>
      </c>
      <c r="M777" s="391">
        <v>0.0038</v>
      </c>
      <c r="N777" s="38">
        <v>1.0126</v>
      </c>
    </row>
    <row r="778">
      <c r="A778" s="389" t="s">
        <v>1970</v>
      </c>
      <c r="B778" s="389" t="s">
        <v>137</v>
      </c>
      <c r="C778" s="389" t="s">
        <v>11</v>
      </c>
      <c r="D778" s="389" t="s">
        <v>591</v>
      </c>
      <c r="E778" s="390" t="s">
        <v>38</v>
      </c>
      <c r="F778" s="391">
        <v>104547.0</v>
      </c>
      <c r="G778" s="391">
        <v>57.0</v>
      </c>
      <c r="H778" s="391">
        <v>0.05</v>
      </c>
      <c r="I778" s="391">
        <v>0.02</v>
      </c>
      <c r="J778" s="391">
        <v>0.02</v>
      </c>
      <c r="K778" s="391">
        <v>60.0</v>
      </c>
      <c r="L778" s="391">
        <v>375233.0</v>
      </c>
      <c r="M778" s="391">
        <v>6.0E-4</v>
      </c>
      <c r="N778" s="38">
        <v>1.0526</v>
      </c>
    </row>
    <row r="779">
      <c r="A779" s="389" t="s">
        <v>1970</v>
      </c>
      <c r="B779" s="389" t="s">
        <v>137</v>
      </c>
      <c r="C779" s="389" t="s">
        <v>11</v>
      </c>
      <c r="D779" s="389" t="s">
        <v>591</v>
      </c>
      <c r="E779" s="390" t="s">
        <v>368</v>
      </c>
      <c r="F779" s="391">
        <v>104547.0</v>
      </c>
      <c r="G779" s="391">
        <v>51.0</v>
      </c>
      <c r="H779" s="391">
        <v>0.05</v>
      </c>
      <c r="I779" s="391">
        <v>0.01</v>
      </c>
      <c r="J779" s="391">
        <v>0.01</v>
      </c>
      <c r="K779" s="391">
        <v>53.0</v>
      </c>
      <c r="L779" s="391">
        <v>375233.0</v>
      </c>
      <c r="M779" s="391">
        <v>5.0E-4</v>
      </c>
      <c r="N779" s="38">
        <v>1.0392</v>
      </c>
    </row>
    <row r="780">
      <c r="A780" s="389" t="s">
        <v>1970</v>
      </c>
      <c r="B780" s="389" t="s">
        <v>137</v>
      </c>
      <c r="C780" s="389" t="s">
        <v>11</v>
      </c>
      <c r="D780" s="389" t="s">
        <v>591</v>
      </c>
      <c r="E780" s="390" t="s">
        <v>372</v>
      </c>
      <c r="F780" s="391">
        <v>104547.0</v>
      </c>
      <c r="G780" s="391">
        <v>4.0</v>
      </c>
      <c r="H780" s="391">
        <v>0.0</v>
      </c>
      <c r="I780" s="391">
        <v>0.0</v>
      </c>
      <c r="J780" s="391">
        <v>0.0</v>
      </c>
      <c r="K780" s="391">
        <v>8.0</v>
      </c>
      <c r="L780" s="391">
        <v>375233.0</v>
      </c>
      <c r="M780" s="391">
        <v>1.0E-4</v>
      </c>
      <c r="N780" s="38">
        <v>2.0</v>
      </c>
    </row>
    <row r="781">
      <c r="A781" s="389" t="s">
        <v>1970</v>
      </c>
      <c r="B781" s="389" t="s">
        <v>137</v>
      </c>
      <c r="C781" s="389" t="s">
        <v>11</v>
      </c>
      <c r="D781" s="389" t="s">
        <v>591</v>
      </c>
      <c r="E781" s="390" t="s">
        <v>367</v>
      </c>
      <c r="F781" s="391">
        <v>104547.0</v>
      </c>
      <c r="G781" s="391">
        <v>6.0</v>
      </c>
      <c r="H781" s="391">
        <v>0.01</v>
      </c>
      <c r="I781" s="391">
        <v>0.0</v>
      </c>
      <c r="J781" s="391">
        <v>0.0</v>
      </c>
      <c r="K781" s="391">
        <v>16.0</v>
      </c>
      <c r="L781" s="391">
        <v>375233.0</v>
      </c>
      <c r="M781" s="391">
        <v>2.0E-4</v>
      </c>
      <c r="N781" s="38">
        <v>2.6667</v>
      </c>
    </row>
    <row r="782">
      <c r="A782" s="389" t="s">
        <v>1970</v>
      </c>
      <c r="B782" s="389" t="s">
        <v>137</v>
      </c>
      <c r="C782" s="389" t="s">
        <v>11</v>
      </c>
      <c r="D782" s="389" t="s">
        <v>591</v>
      </c>
      <c r="E782" s="390" t="s">
        <v>163</v>
      </c>
      <c r="F782" s="391">
        <v>104547.0</v>
      </c>
      <c r="G782" s="391">
        <v>6.0</v>
      </c>
      <c r="H782" s="391">
        <v>0.01</v>
      </c>
      <c r="I782" s="391">
        <v>0.0</v>
      </c>
      <c r="J782" s="391">
        <v>0.0</v>
      </c>
      <c r="K782" s="391">
        <v>7.0</v>
      </c>
      <c r="L782" s="391">
        <v>375233.0</v>
      </c>
      <c r="M782" s="391">
        <v>1.0E-4</v>
      </c>
      <c r="N782" s="38">
        <v>1.1667</v>
      </c>
    </row>
    <row r="783">
      <c r="A783" s="389" t="s">
        <v>1970</v>
      </c>
      <c r="B783" s="389" t="s">
        <v>137</v>
      </c>
      <c r="C783" s="389" t="s">
        <v>11</v>
      </c>
      <c r="D783" s="389" t="s">
        <v>591</v>
      </c>
      <c r="E783" s="390" t="s">
        <v>373</v>
      </c>
      <c r="F783" s="391">
        <v>104547.0</v>
      </c>
      <c r="G783" s="391">
        <v>1.0</v>
      </c>
      <c r="H783" s="391">
        <v>0.0</v>
      </c>
      <c r="I783" s="391">
        <v>0.0</v>
      </c>
      <c r="J783" s="391">
        <v>0.0</v>
      </c>
      <c r="K783" s="391">
        <v>1.0</v>
      </c>
      <c r="L783" s="391">
        <v>375233.0</v>
      </c>
      <c r="M783" s="391">
        <v>0.0</v>
      </c>
      <c r="N783" s="38">
        <v>1.0</v>
      </c>
    </row>
    <row r="784">
      <c r="A784" s="389" t="s">
        <v>1970</v>
      </c>
      <c r="B784" s="389" t="s">
        <v>137</v>
      </c>
      <c r="C784" s="389" t="s">
        <v>357</v>
      </c>
      <c r="D784" s="389" t="s">
        <v>357</v>
      </c>
      <c r="E784" s="390" t="s">
        <v>370</v>
      </c>
      <c r="F784" s="391">
        <v>152441.0</v>
      </c>
      <c r="G784" s="391">
        <v>148529.0</v>
      </c>
      <c r="H784" s="391">
        <v>97.43</v>
      </c>
      <c r="I784" s="391">
        <v>25.41</v>
      </c>
      <c r="J784" s="391">
        <v>29.92</v>
      </c>
      <c r="K784" s="391">
        <v>2.1789415E7</v>
      </c>
      <c r="L784" s="391">
        <v>8.5741017E7</v>
      </c>
      <c r="M784" s="391">
        <v>142.9367</v>
      </c>
      <c r="N784" s="38">
        <v>146.7014</v>
      </c>
    </row>
    <row r="785">
      <c r="A785" s="389" t="s">
        <v>1970</v>
      </c>
      <c r="B785" s="389" t="s">
        <v>137</v>
      </c>
      <c r="C785" s="389" t="s">
        <v>357</v>
      </c>
      <c r="D785" s="389" t="s">
        <v>357</v>
      </c>
      <c r="E785" s="390" t="s">
        <v>366</v>
      </c>
      <c r="F785" s="391">
        <v>152441.0</v>
      </c>
      <c r="G785" s="391">
        <v>127668.0</v>
      </c>
      <c r="H785" s="391">
        <v>83.75</v>
      </c>
      <c r="I785" s="391">
        <v>20.91</v>
      </c>
      <c r="J785" s="391">
        <v>20.58</v>
      </c>
      <c r="K785" s="391">
        <v>1.7930615E7</v>
      </c>
      <c r="L785" s="391">
        <v>8.5741017E7</v>
      </c>
      <c r="M785" s="391">
        <v>117.6233</v>
      </c>
      <c r="N785" s="38">
        <v>140.4472</v>
      </c>
    </row>
    <row r="786">
      <c r="A786" s="389" t="s">
        <v>1970</v>
      </c>
      <c r="B786" s="389" t="s">
        <v>137</v>
      </c>
      <c r="C786" s="389" t="s">
        <v>357</v>
      </c>
      <c r="D786" s="389" t="s">
        <v>357</v>
      </c>
      <c r="E786" s="390" t="s">
        <v>37</v>
      </c>
      <c r="F786" s="391">
        <v>152441.0</v>
      </c>
      <c r="G786" s="391">
        <v>50424.0</v>
      </c>
      <c r="H786" s="391">
        <v>33.08</v>
      </c>
      <c r="I786" s="391">
        <v>7.39</v>
      </c>
      <c r="J786" s="391">
        <v>6.32</v>
      </c>
      <c r="K786" s="391">
        <v>6334995.0</v>
      </c>
      <c r="L786" s="391">
        <v>8.5741017E7</v>
      </c>
      <c r="M786" s="391">
        <v>41.557</v>
      </c>
      <c r="N786" s="38">
        <v>125.6345</v>
      </c>
    </row>
    <row r="787">
      <c r="A787" s="389" t="s">
        <v>1970</v>
      </c>
      <c r="B787" s="389" t="s">
        <v>137</v>
      </c>
      <c r="C787" s="389" t="s">
        <v>357</v>
      </c>
      <c r="D787" s="389" t="s">
        <v>357</v>
      </c>
      <c r="E787" s="390" t="s">
        <v>365</v>
      </c>
      <c r="F787" s="391">
        <v>152441.0</v>
      </c>
      <c r="G787" s="391">
        <v>91644.0</v>
      </c>
      <c r="H787" s="391">
        <v>60.12</v>
      </c>
      <c r="I787" s="391">
        <v>7.19</v>
      </c>
      <c r="J787" s="391">
        <v>8.85</v>
      </c>
      <c r="K787" s="391">
        <v>6166145.0</v>
      </c>
      <c r="L787" s="391">
        <v>8.5741017E7</v>
      </c>
      <c r="M787" s="391">
        <v>40.4494</v>
      </c>
      <c r="N787" s="38">
        <v>67.2837</v>
      </c>
    </row>
    <row r="788">
      <c r="A788" s="389" t="s">
        <v>1970</v>
      </c>
      <c r="B788" s="389" t="s">
        <v>137</v>
      </c>
      <c r="C788" s="389" t="s">
        <v>357</v>
      </c>
      <c r="D788" s="389" t="s">
        <v>357</v>
      </c>
      <c r="E788" s="390" t="s">
        <v>45</v>
      </c>
      <c r="F788" s="391">
        <v>152441.0</v>
      </c>
      <c r="G788" s="391">
        <v>55014.0</v>
      </c>
      <c r="H788" s="391">
        <v>36.09</v>
      </c>
      <c r="I788" s="391">
        <v>6.63</v>
      </c>
      <c r="J788" s="391">
        <v>5.21</v>
      </c>
      <c r="K788" s="391">
        <v>5685575.0</v>
      </c>
      <c r="L788" s="391">
        <v>8.5741017E7</v>
      </c>
      <c r="M788" s="391">
        <v>37.2969</v>
      </c>
      <c r="N788" s="38">
        <v>103.3478</v>
      </c>
    </row>
    <row r="789">
      <c r="A789" s="389" t="s">
        <v>1970</v>
      </c>
      <c r="B789" s="389" t="s">
        <v>137</v>
      </c>
      <c r="C789" s="389" t="s">
        <v>357</v>
      </c>
      <c r="D789" s="389" t="s">
        <v>357</v>
      </c>
      <c r="E789" s="390" t="s">
        <v>371</v>
      </c>
      <c r="F789" s="391">
        <v>152441.0</v>
      </c>
      <c r="G789" s="391">
        <v>110464.0</v>
      </c>
      <c r="H789" s="391">
        <v>72.46</v>
      </c>
      <c r="I789" s="391">
        <v>6.38</v>
      </c>
      <c r="J789" s="391">
        <v>9.17</v>
      </c>
      <c r="K789" s="391">
        <v>5466395.0</v>
      </c>
      <c r="L789" s="391">
        <v>8.5741017E7</v>
      </c>
      <c r="M789" s="391">
        <v>35.8591</v>
      </c>
      <c r="N789" s="38">
        <v>49.4858</v>
      </c>
    </row>
    <row r="790">
      <c r="A790" s="389" t="s">
        <v>1970</v>
      </c>
      <c r="B790" s="389" t="s">
        <v>137</v>
      </c>
      <c r="C790" s="389" t="s">
        <v>357</v>
      </c>
      <c r="D790" s="389" t="s">
        <v>357</v>
      </c>
      <c r="E790" s="390" t="s">
        <v>35</v>
      </c>
      <c r="F790" s="391">
        <v>152441.0</v>
      </c>
      <c r="G790" s="391">
        <v>34191.0</v>
      </c>
      <c r="H790" s="391">
        <v>22.43</v>
      </c>
      <c r="I790" s="391">
        <v>4.41</v>
      </c>
      <c r="J790" s="391">
        <v>3.39</v>
      </c>
      <c r="K790" s="391">
        <v>3783760.0</v>
      </c>
      <c r="L790" s="391">
        <v>8.5741017E7</v>
      </c>
      <c r="M790" s="391">
        <v>24.8211</v>
      </c>
      <c r="N790" s="38">
        <v>110.6654</v>
      </c>
    </row>
    <row r="791">
      <c r="A791" s="389" t="s">
        <v>1970</v>
      </c>
      <c r="B791" s="389" t="s">
        <v>137</v>
      </c>
      <c r="C791" s="389" t="s">
        <v>357</v>
      </c>
      <c r="D791" s="389" t="s">
        <v>357</v>
      </c>
      <c r="E791" s="390" t="s">
        <v>363</v>
      </c>
      <c r="F791" s="391">
        <v>152441.0</v>
      </c>
      <c r="G791" s="391">
        <v>39862.0</v>
      </c>
      <c r="H791" s="391">
        <v>26.15</v>
      </c>
      <c r="I791" s="391">
        <v>4.19</v>
      </c>
      <c r="J791" s="391">
        <v>2.64</v>
      </c>
      <c r="K791" s="391">
        <v>3596715.0</v>
      </c>
      <c r="L791" s="391">
        <v>8.5741017E7</v>
      </c>
      <c r="M791" s="391">
        <v>23.5941</v>
      </c>
      <c r="N791" s="38">
        <v>90.2292</v>
      </c>
    </row>
    <row r="792">
      <c r="A792" s="389" t="s">
        <v>1970</v>
      </c>
      <c r="B792" s="389" t="s">
        <v>137</v>
      </c>
      <c r="C792" s="389" t="s">
        <v>357</v>
      </c>
      <c r="D792" s="389" t="s">
        <v>357</v>
      </c>
      <c r="E792" s="390" t="s">
        <v>367</v>
      </c>
      <c r="F792" s="391">
        <v>152441.0</v>
      </c>
      <c r="G792" s="391">
        <v>56966.0</v>
      </c>
      <c r="H792" s="391">
        <v>37.37</v>
      </c>
      <c r="I792" s="391">
        <v>4.12</v>
      </c>
      <c r="J792" s="391">
        <v>4.0</v>
      </c>
      <c r="K792" s="391">
        <v>3536610.0</v>
      </c>
      <c r="L792" s="391">
        <v>8.5741017E7</v>
      </c>
      <c r="M792" s="391">
        <v>23.1999</v>
      </c>
      <c r="N792" s="38">
        <v>62.0828</v>
      </c>
    </row>
    <row r="793">
      <c r="A793" s="389" t="s">
        <v>1970</v>
      </c>
      <c r="B793" s="389" t="s">
        <v>137</v>
      </c>
      <c r="C793" s="389" t="s">
        <v>357</v>
      </c>
      <c r="D793" s="389" t="s">
        <v>357</v>
      </c>
      <c r="E793" s="390" t="s">
        <v>369</v>
      </c>
      <c r="F793" s="391">
        <v>152441.0</v>
      </c>
      <c r="G793" s="391">
        <v>40603.0</v>
      </c>
      <c r="H793" s="391">
        <v>26.64</v>
      </c>
      <c r="I793" s="391">
        <v>4.04</v>
      </c>
      <c r="J793" s="391">
        <v>2.71</v>
      </c>
      <c r="K793" s="391">
        <v>3467947.0</v>
      </c>
      <c r="L793" s="391">
        <v>8.5741017E7</v>
      </c>
      <c r="M793" s="391">
        <v>22.7494</v>
      </c>
      <c r="N793" s="38">
        <v>85.4111</v>
      </c>
    </row>
    <row r="794">
      <c r="A794" s="389" t="s">
        <v>1970</v>
      </c>
      <c r="B794" s="389" t="s">
        <v>137</v>
      </c>
      <c r="C794" s="389" t="s">
        <v>357</v>
      </c>
      <c r="D794" s="389" t="s">
        <v>357</v>
      </c>
      <c r="E794" s="390" t="s">
        <v>282</v>
      </c>
      <c r="F794" s="391">
        <v>152441.0</v>
      </c>
      <c r="G794" s="391">
        <v>12484.0</v>
      </c>
      <c r="H794" s="391">
        <v>8.19</v>
      </c>
      <c r="I794" s="391">
        <v>1.59</v>
      </c>
      <c r="J794" s="391">
        <v>1.12</v>
      </c>
      <c r="K794" s="391">
        <v>1360950.0</v>
      </c>
      <c r="L794" s="391">
        <v>8.5741017E7</v>
      </c>
      <c r="M794" s="391">
        <v>8.9277</v>
      </c>
      <c r="N794" s="38">
        <v>109.0155</v>
      </c>
    </row>
    <row r="795">
      <c r="A795" s="389" t="s">
        <v>1970</v>
      </c>
      <c r="B795" s="389" t="s">
        <v>137</v>
      </c>
      <c r="C795" s="389" t="s">
        <v>357</v>
      </c>
      <c r="D795" s="389" t="s">
        <v>357</v>
      </c>
      <c r="E795" s="390" t="s">
        <v>108</v>
      </c>
      <c r="F795" s="391">
        <v>152441.0</v>
      </c>
      <c r="G795" s="391">
        <v>21235.0</v>
      </c>
      <c r="H795" s="391">
        <v>13.93</v>
      </c>
      <c r="I795" s="391">
        <v>1.49</v>
      </c>
      <c r="J795" s="391">
        <v>1.3</v>
      </c>
      <c r="K795" s="391">
        <v>1276745.0</v>
      </c>
      <c r="L795" s="391">
        <v>8.5741017E7</v>
      </c>
      <c r="M795" s="391">
        <v>8.3753</v>
      </c>
      <c r="N795" s="38">
        <v>60.1246</v>
      </c>
    </row>
    <row r="796">
      <c r="A796" s="389" t="s">
        <v>1970</v>
      </c>
      <c r="B796" s="389" t="s">
        <v>137</v>
      </c>
      <c r="C796" s="389" t="s">
        <v>357</v>
      </c>
      <c r="D796" s="389" t="s">
        <v>357</v>
      </c>
      <c r="E796" s="390" t="s">
        <v>39</v>
      </c>
      <c r="F796" s="391">
        <v>152441.0</v>
      </c>
      <c r="G796" s="391">
        <v>56161.0</v>
      </c>
      <c r="H796" s="391">
        <v>36.84</v>
      </c>
      <c r="I796" s="391">
        <v>1.35</v>
      </c>
      <c r="J796" s="391">
        <v>1.17</v>
      </c>
      <c r="K796" s="391">
        <v>1160250.0</v>
      </c>
      <c r="L796" s="391">
        <v>8.5741017E7</v>
      </c>
      <c r="M796" s="391">
        <v>7.6111</v>
      </c>
      <c r="N796" s="38">
        <v>20.6594</v>
      </c>
    </row>
    <row r="797">
      <c r="A797" s="389" t="s">
        <v>1970</v>
      </c>
      <c r="B797" s="389" t="s">
        <v>137</v>
      </c>
      <c r="C797" s="389" t="s">
        <v>357</v>
      </c>
      <c r="D797" s="389" t="s">
        <v>357</v>
      </c>
      <c r="E797" s="390" t="s">
        <v>368</v>
      </c>
      <c r="F797" s="391">
        <v>152441.0</v>
      </c>
      <c r="G797" s="391">
        <v>33458.0</v>
      </c>
      <c r="H797" s="391">
        <v>21.95</v>
      </c>
      <c r="I797" s="391">
        <v>1.34</v>
      </c>
      <c r="J797" s="391">
        <v>0.93</v>
      </c>
      <c r="K797" s="391">
        <v>1151525.0</v>
      </c>
      <c r="L797" s="391">
        <v>8.5741017E7</v>
      </c>
      <c r="M797" s="391">
        <v>7.5539</v>
      </c>
      <c r="N797" s="38">
        <v>34.417</v>
      </c>
    </row>
    <row r="798">
      <c r="A798" s="389" t="s">
        <v>1970</v>
      </c>
      <c r="B798" s="389" t="s">
        <v>137</v>
      </c>
      <c r="C798" s="389" t="s">
        <v>357</v>
      </c>
      <c r="D798" s="389" t="s">
        <v>357</v>
      </c>
      <c r="E798" s="390" t="s">
        <v>284</v>
      </c>
      <c r="F798" s="391">
        <v>152441.0</v>
      </c>
      <c r="G798" s="391">
        <v>9451.0</v>
      </c>
      <c r="H798" s="391">
        <v>6.2</v>
      </c>
      <c r="I798" s="391">
        <v>1.21</v>
      </c>
      <c r="J798" s="391">
        <v>0.88</v>
      </c>
      <c r="K798" s="391">
        <v>1034925.0</v>
      </c>
      <c r="L798" s="391">
        <v>8.5741017E7</v>
      </c>
      <c r="M798" s="391">
        <v>6.789</v>
      </c>
      <c r="N798" s="38">
        <v>109.5043</v>
      </c>
    </row>
    <row r="799">
      <c r="A799" s="389" t="s">
        <v>1970</v>
      </c>
      <c r="B799" s="389" t="s">
        <v>137</v>
      </c>
      <c r="C799" s="389" t="s">
        <v>357</v>
      </c>
      <c r="D799" s="389" t="s">
        <v>357</v>
      </c>
      <c r="E799" s="390" t="s">
        <v>283</v>
      </c>
      <c r="F799" s="391">
        <v>152441.0</v>
      </c>
      <c r="G799" s="391">
        <v>10303.0</v>
      </c>
      <c r="H799" s="391">
        <v>6.76</v>
      </c>
      <c r="I799" s="391">
        <v>1.21</v>
      </c>
      <c r="J799" s="391">
        <v>1.02</v>
      </c>
      <c r="K799" s="391">
        <v>1039050.0</v>
      </c>
      <c r="L799" s="391">
        <v>8.5741017E7</v>
      </c>
      <c r="M799" s="391">
        <v>6.8161</v>
      </c>
      <c r="N799" s="38">
        <v>100.8493</v>
      </c>
    </row>
    <row r="800">
      <c r="A800" s="389" t="s">
        <v>1970</v>
      </c>
      <c r="B800" s="389" t="s">
        <v>137</v>
      </c>
      <c r="C800" s="389" t="s">
        <v>357</v>
      </c>
      <c r="D800" s="389" t="s">
        <v>357</v>
      </c>
      <c r="E800" s="390" t="s">
        <v>163</v>
      </c>
      <c r="F800" s="391">
        <v>152441.0</v>
      </c>
      <c r="G800" s="391">
        <v>13533.0</v>
      </c>
      <c r="H800" s="391">
        <v>8.88</v>
      </c>
      <c r="I800" s="391">
        <v>0.41</v>
      </c>
      <c r="J800" s="391">
        <v>0.28</v>
      </c>
      <c r="K800" s="391">
        <v>348250.0</v>
      </c>
      <c r="L800" s="391">
        <v>8.5741017E7</v>
      </c>
      <c r="M800" s="391">
        <v>2.2845</v>
      </c>
      <c r="N800" s="38">
        <v>25.7334</v>
      </c>
    </row>
    <row r="801">
      <c r="A801" s="389" t="s">
        <v>1970</v>
      </c>
      <c r="B801" s="389" t="s">
        <v>137</v>
      </c>
      <c r="C801" s="389" t="s">
        <v>357</v>
      </c>
      <c r="D801" s="389" t="s">
        <v>357</v>
      </c>
      <c r="E801" s="390" t="s">
        <v>30</v>
      </c>
      <c r="F801" s="391">
        <v>152441.0</v>
      </c>
      <c r="G801" s="391">
        <v>9041.0</v>
      </c>
      <c r="H801" s="391">
        <v>5.93</v>
      </c>
      <c r="I801" s="391">
        <v>0.28</v>
      </c>
      <c r="J801" s="391">
        <v>0.18</v>
      </c>
      <c r="K801" s="391">
        <v>236100.0</v>
      </c>
      <c r="L801" s="391">
        <v>8.5741017E7</v>
      </c>
      <c r="M801" s="391">
        <v>1.5488</v>
      </c>
      <c r="N801" s="38">
        <v>26.1144</v>
      </c>
    </row>
    <row r="802">
      <c r="A802" s="389" t="s">
        <v>1970</v>
      </c>
      <c r="B802" s="389" t="s">
        <v>137</v>
      </c>
      <c r="C802" s="389" t="s">
        <v>357</v>
      </c>
      <c r="D802" s="389" t="s">
        <v>357</v>
      </c>
      <c r="E802" s="390" t="s">
        <v>27</v>
      </c>
      <c r="F802" s="391">
        <v>152441.0</v>
      </c>
      <c r="G802" s="391">
        <v>2570.0</v>
      </c>
      <c r="H802" s="391">
        <v>1.69</v>
      </c>
      <c r="I802" s="391">
        <v>0.27</v>
      </c>
      <c r="J802" s="391">
        <v>0.21</v>
      </c>
      <c r="K802" s="391">
        <v>234525.0</v>
      </c>
      <c r="L802" s="391">
        <v>8.5741017E7</v>
      </c>
      <c r="M802" s="391">
        <v>1.5385</v>
      </c>
      <c r="N802" s="38">
        <v>91.2549</v>
      </c>
    </row>
    <row r="803">
      <c r="A803" s="389" t="s">
        <v>1970</v>
      </c>
      <c r="B803" s="389" t="s">
        <v>137</v>
      </c>
      <c r="C803" s="389" t="s">
        <v>357</v>
      </c>
      <c r="D803" s="389" t="s">
        <v>357</v>
      </c>
      <c r="E803" s="390" t="s">
        <v>38</v>
      </c>
      <c r="F803" s="391">
        <v>152441.0</v>
      </c>
      <c r="G803" s="391">
        <v>968.0</v>
      </c>
      <c r="H803" s="391">
        <v>0.63</v>
      </c>
      <c r="I803" s="391">
        <v>0.16</v>
      </c>
      <c r="J803" s="391">
        <v>0.11</v>
      </c>
      <c r="K803" s="391">
        <v>140525.0</v>
      </c>
      <c r="L803" s="391">
        <v>8.5741017E7</v>
      </c>
      <c r="M803" s="391">
        <v>0.9218</v>
      </c>
      <c r="N803" s="38">
        <v>145.1705</v>
      </c>
    </row>
    <row r="804">
      <c r="A804" s="389" t="s">
        <v>1970</v>
      </c>
      <c r="B804" s="389" t="s">
        <v>137</v>
      </c>
      <c r="C804" s="389" t="s">
        <v>6</v>
      </c>
      <c r="D804" s="389" t="s">
        <v>591</v>
      </c>
      <c r="E804" s="390" t="s">
        <v>370</v>
      </c>
      <c r="F804" s="391">
        <v>143097.0</v>
      </c>
      <c r="G804" s="391">
        <v>115579.0</v>
      </c>
      <c r="H804" s="391">
        <v>80.77</v>
      </c>
      <c r="I804" s="391">
        <v>38.72</v>
      </c>
      <c r="J804" s="391">
        <v>36.23</v>
      </c>
      <c r="K804" s="391">
        <v>481018.0</v>
      </c>
      <c r="L804" s="391">
        <v>1242303.0</v>
      </c>
      <c r="M804" s="391">
        <v>3.3615</v>
      </c>
      <c r="N804" s="38">
        <v>4.1618</v>
      </c>
    </row>
    <row r="805">
      <c r="A805" s="389" t="s">
        <v>1970</v>
      </c>
      <c r="B805" s="389" t="s">
        <v>137</v>
      </c>
      <c r="C805" s="389" t="s">
        <v>6</v>
      </c>
      <c r="D805" s="389" t="s">
        <v>591</v>
      </c>
      <c r="E805" s="390" t="s">
        <v>371</v>
      </c>
      <c r="F805" s="391">
        <v>143097.0</v>
      </c>
      <c r="G805" s="391">
        <v>94091.0</v>
      </c>
      <c r="H805" s="391">
        <v>65.75</v>
      </c>
      <c r="I805" s="391">
        <v>20.0</v>
      </c>
      <c r="J805" s="391">
        <v>20.88</v>
      </c>
      <c r="K805" s="391">
        <v>248495.0</v>
      </c>
      <c r="L805" s="391">
        <v>1242303.0</v>
      </c>
      <c r="M805" s="391">
        <v>1.7365</v>
      </c>
      <c r="N805" s="38">
        <v>2.641</v>
      </c>
    </row>
    <row r="806">
      <c r="A806" s="389" t="s">
        <v>1970</v>
      </c>
      <c r="B806" s="389" t="s">
        <v>137</v>
      </c>
      <c r="C806" s="389" t="s">
        <v>6</v>
      </c>
      <c r="D806" s="389" t="s">
        <v>591</v>
      </c>
      <c r="E806" s="390" t="s">
        <v>369</v>
      </c>
      <c r="F806" s="391">
        <v>143097.0</v>
      </c>
      <c r="G806" s="391">
        <v>89529.0</v>
      </c>
      <c r="H806" s="391">
        <v>62.57</v>
      </c>
      <c r="I806" s="391">
        <v>12.33</v>
      </c>
      <c r="J806" s="391">
        <v>16.15</v>
      </c>
      <c r="K806" s="391">
        <v>153127.0</v>
      </c>
      <c r="L806" s="391">
        <v>1242303.0</v>
      </c>
      <c r="M806" s="391">
        <v>1.0701</v>
      </c>
      <c r="N806" s="38">
        <v>1.7104</v>
      </c>
    </row>
    <row r="807">
      <c r="A807" s="389" t="s">
        <v>1970</v>
      </c>
      <c r="B807" s="389" t="s">
        <v>137</v>
      </c>
      <c r="C807" s="389" t="s">
        <v>6</v>
      </c>
      <c r="D807" s="389" t="s">
        <v>591</v>
      </c>
      <c r="E807" s="390" t="s">
        <v>39</v>
      </c>
      <c r="F807" s="391">
        <v>143097.0</v>
      </c>
      <c r="G807" s="391">
        <v>83100.0</v>
      </c>
      <c r="H807" s="391">
        <v>58.07</v>
      </c>
      <c r="I807" s="391">
        <v>11.56</v>
      </c>
      <c r="J807" s="391">
        <v>12.83</v>
      </c>
      <c r="K807" s="391">
        <v>143629.0</v>
      </c>
      <c r="L807" s="391">
        <v>1242303.0</v>
      </c>
      <c r="M807" s="391">
        <v>1.0037</v>
      </c>
      <c r="N807" s="38">
        <v>1.7284</v>
      </c>
    </row>
    <row r="808">
      <c r="A808" s="389" t="s">
        <v>1970</v>
      </c>
      <c r="B808" s="389" t="s">
        <v>137</v>
      </c>
      <c r="C808" s="389" t="s">
        <v>6</v>
      </c>
      <c r="D808" s="389" t="s">
        <v>591</v>
      </c>
      <c r="E808" s="390" t="s">
        <v>367</v>
      </c>
      <c r="F808" s="391">
        <v>143097.0</v>
      </c>
      <c r="G808" s="391">
        <v>38454.0</v>
      </c>
      <c r="H808" s="391">
        <v>26.87</v>
      </c>
      <c r="I808" s="391">
        <v>6.44</v>
      </c>
      <c r="J808" s="391">
        <v>4.94</v>
      </c>
      <c r="K808" s="391">
        <v>79958.0</v>
      </c>
      <c r="L808" s="391">
        <v>1242303.0</v>
      </c>
      <c r="M808" s="391">
        <v>0.5588</v>
      </c>
      <c r="N808" s="38">
        <v>2.0793</v>
      </c>
    </row>
    <row r="809">
      <c r="A809" s="389" t="s">
        <v>1970</v>
      </c>
      <c r="B809" s="389" t="s">
        <v>137</v>
      </c>
      <c r="C809" s="389" t="s">
        <v>6</v>
      </c>
      <c r="D809" s="389" t="s">
        <v>591</v>
      </c>
      <c r="E809" s="390" t="s">
        <v>44</v>
      </c>
      <c r="F809" s="391">
        <v>143097.0</v>
      </c>
      <c r="G809" s="391">
        <v>36528.0</v>
      </c>
      <c r="H809" s="391">
        <v>25.53</v>
      </c>
      <c r="I809" s="391">
        <v>4.85</v>
      </c>
      <c r="J809" s="391">
        <v>3.9</v>
      </c>
      <c r="K809" s="391">
        <v>60288.0</v>
      </c>
      <c r="L809" s="391">
        <v>1242303.0</v>
      </c>
      <c r="M809" s="391">
        <v>0.4213</v>
      </c>
      <c r="N809" s="38">
        <v>1.6505</v>
      </c>
    </row>
    <row r="810">
      <c r="A810" s="389" t="s">
        <v>1970</v>
      </c>
      <c r="B810" s="389" t="s">
        <v>137</v>
      </c>
      <c r="C810" s="389" t="s">
        <v>6</v>
      </c>
      <c r="D810" s="389" t="s">
        <v>591</v>
      </c>
      <c r="E810" s="390" t="s">
        <v>365</v>
      </c>
      <c r="F810" s="391">
        <v>143097.0</v>
      </c>
      <c r="G810" s="391">
        <v>20834.0</v>
      </c>
      <c r="H810" s="391">
        <v>14.56</v>
      </c>
      <c r="I810" s="391">
        <v>1.79</v>
      </c>
      <c r="J810" s="391">
        <v>1.99</v>
      </c>
      <c r="K810" s="391">
        <v>22279.0</v>
      </c>
      <c r="L810" s="391">
        <v>1242303.0</v>
      </c>
      <c r="M810" s="391">
        <v>0.1557</v>
      </c>
      <c r="N810" s="38">
        <v>1.0694</v>
      </c>
    </row>
    <row r="811">
      <c r="A811" s="389" t="s">
        <v>1970</v>
      </c>
      <c r="B811" s="389" t="s">
        <v>137</v>
      </c>
      <c r="C811" s="389" t="s">
        <v>6</v>
      </c>
      <c r="D811" s="389" t="s">
        <v>591</v>
      </c>
      <c r="E811" s="390" t="s">
        <v>368</v>
      </c>
      <c r="F811" s="391">
        <v>143097.0</v>
      </c>
      <c r="G811" s="391">
        <v>17075.0</v>
      </c>
      <c r="H811" s="391">
        <v>11.93</v>
      </c>
      <c r="I811" s="391">
        <v>1.7</v>
      </c>
      <c r="J811" s="391">
        <v>1.14</v>
      </c>
      <c r="K811" s="391">
        <v>21072.0</v>
      </c>
      <c r="L811" s="391">
        <v>1242303.0</v>
      </c>
      <c r="M811" s="391">
        <v>0.1473</v>
      </c>
      <c r="N811" s="38">
        <v>1.2341</v>
      </c>
    </row>
    <row r="812">
      <c r="A812" s="389" t="s">
        <v>1970</v>
      </c>
      <c r="B812" s="389" t="s">
        <v>137</v>
      </c>
      <c r="C812" s="389" t="s">
        <v>6</v>
      </c>
      <c r="D812" s="389" t="s">
        <v>591</v>
      </c>
      <c r="E812" s="390" t="s">
        <v>108</v>
      </c>
      <c r="F812" s="391">
        <v>143097.0</v>
      </c>
      <c r="G812" s="391">
        <v>8070.0</v>
      </c>
      <c r="H812" s="391">
        <v>5.64</v>
      </c>
      <c r="I812" s="391">
        <v>0.87</v>
      </c>
      <c r="J812" s="391">
        <v>0.55</v>
      </c>
      <c r="K812" s="391">
        <v>10787.0</v>
      </c>
      <c r="L812" s="391">
        <v>1242303.0</v>
      </c>
      <c r="M812" s="391">
        <v>0.0754</v>
      </c>
      <c r="N812" s="38">
        <v>1.3367</v>
      </c>
    </row>
    <row r="813">
      <c r="A813" s="389" t="s">
        <v>1970</v>
      </c>
      <c r="B813" s="389" t="s">
        <v>137</v>
      </c>
      <c r="C813" s="389" t="s">
        <v>6</v>
      </c>
      <c r="D813" s="389" t="s">
        <v>591</v>
      </c>
      <c r="E813" s="390" t="s">
        <v>37</v>
      </c>
      <c r="F813" s="391">
        <v>143097.0</v>
      </c>
      <c r="G813" s="391">
        <v>6772.0</v>
      </c>
      <c r="H813" s="391">
        <v>4.73</v>
      </c>
      <c r="I813" s="391">
        <v>0.63</v>
      </c>
      <c r="J813" s="391">
        <v>0.59</v>
      </c>
      <c r="K813" s="391">
        <v>7795.0</v>
      </c>
      <c r="L813" s="391">
        <v>1242303.0</v>
      </c>
      <c r="M813" s="391">
        <v>0.0545</v>
      </c>
      <c r="N813" s="38">
        <v>1.1511</v>
      </c>
    </row>
    <row r="814">
      <c r="A814" s="389" t="s">
        <v>1970</v>
      </c>
      <c r="B814" s="389" t="s">
        <v>137</v>
      </c>
      <c r="C814" s="389" t="s">
        <v>6</v>
      </c>
      <c r="D814" s="389" t="s">
        <v>591</v>
      </c>
      <c r="E814" s="390" t="s">
        <v>45</v>
      </c>
      <c r="F814" s="391">
        <v>143097.0</v>
      </c>
      <c r="G814" s="391">
        <v>5416.0</v>
      </c>
      <c r="H814" s="391">
        <v>3.78</v>
      </c>
      <c r="I814" s="391">
        <v>0.49</v>
      </c>
      <c r="J814" s="391">
        <v>0.31</v>
      </c>
      <c r="K814" s="391">
        <v>6033.0</v>
      </c>
      <c r="L814" s="391">
        <v>1242303.0</v>
      </c>
      <c r="M814" s="391">
        <v>0.0422</v>
      </c>
      <c r="N814" s="38">
        <v>1.1139</v>
      </c>
    </row>
    <row r="815">
      <c r="A815" s="389" t="s">
        <v>1970</v>
      </c>
      <c r="B815" s="389" t="s">
        <v>137</v>
      </c>
      <c r="C815" s="389" t="s">
        <v>6</v>
      </c>
      <c r="D815" s="389" t="s">
        <v>591</v>
      </c>
      <c r="E815" s="390" t="s">
        <v>163</v>
      </c>
      <c r="F815" s="391">
        <v>143097.0</v>
      </c>
      <c r="G815" s="391">
        <v>3569.0</v>
      </c>
      <c r="H815" s="391">
        <v>2.49</v>
      </c>
      <c r="I815" s="391">
        <v>0.3</v>
      </c>
      <c r="J815" s="391">
        <v>0.21</v>
      </c>
      <c r="K815" s="391">
        <v>3667.0</v>
      </c>
      <c r="L815" s="391">
        <v>1242303.0</v>
      </c>
      <c r="M815" s="391">
        <v>0.0256</v>
      </c>
      <c r="N815" s="38">
        <v>1.0275</v>
      </c>
    </row>
    <row r="816">
      <c r="A816" s="389" t="s">
        <v>1970</v>
      </c>
      <c r="B816" s="389" t="s">
        <v>137</v>
      </c>
      <c r="C816" s="389" t="s">
        <v>6</v>
      </c>
      <c r="D816" s="389" t="s">
        <v>591</v>
      </c>
      <c r="E816" s="390" t="s">
        <v>30</v>
      </c>
      <c r="F816" s="391">
        <v>143097.0</v>
      </c>
      <c r="G816" s="391">
        <v>2262.0</v>
      </c>
      <c r="H816" s="391">
        <v>1.58</v>
      </c>
      <c r="I816" s="391">
        <v>0.19</v>
      </c>
      <c r="J816" s="391">
        <v>0.12</v>
      </c>
      <c r="K816" s="391">
        <v>2320.0</v>
      </c>
      <c r="L816" s="391">
        <v>1242303.0</v>
      </c>
      <c r="M816" s="391">
        <v>0.0162</v>
      </c>
      <c r="N816" s="38">
        <v>1.0256</v>
      </c>
    </row>
    <row r="817">
      <c r="A817" s="389" t="s">
        <v>1970</v>
      </c>
      <c r="B817" s="389" t="s">
        <v>137</v>
      </c>
      <c r="C817" s="389" t="s">
        <v>6</v>
      </c>
      <c r="D817" s="389" t="s">
        <v>591</v>
      </c>
      <c r="E817" s="390" t="s">
        <v>38</v>
      </c>
      <c r="F817" s="391">
        <v>143097.0</v>
      </c>
      <c r="G817" s="391">
        <v>1694.0</v>
      </c>
      <c r="H817" s="391">
        <v>1.18</v>
      </c>
      <c r="I817" s="391">
        <v>0.14</v>
      </c>
      <c r="J817" s="391">
        <v>0.12</v>
      </c>
      <c r="K817" s="391">
        <v>1733.0</v>
      </c>
      <c r="L817" s="391">
        <v>1242303.0</v>
      </c>
      <c r="M817" s="391">
        <v>0.0121</v>
      </c>
      <c r="N817" s="38">
        <v>1.023</v>
      </c>
    </row>
    <row r="818">
      <c r="A818" s="389" t="s">
        <v>1970</v>
      </c>
      <c r="B818" s="389" t="s">
        <v>137</v>
      </c>
      <c r="C818" s="389" t="s">
        <v>6</v>
      </c>
      <c r="D818" s="389" t="s">
        <v>591</v>
      </c>
      <c r="E818" s="390" t="s">
        <v>27</v>
      </c>
      <c r="F818" s="391">
        <v>143097.0</v>
      </c>
      <c r="G818" s="391">
        <v>73.0</v>
      </c>
      <c r="H818" s="391">
        <v>0.05</v>
      </c>
      <c r="I818" s="391">
        <v>0.01</v>
      </c>
      <c r="J818" s="391">
        <v>0.02</v>
      </c>
      <c r="K818" s="391">
        <v>91.0</v>
      </c>
      <c r="L818" s="391">
        <v>1242303.0</v>
      </c>
      <c r="M818" s="391">
        <v>6.0E-4</v>
      </c>
      <c r="N818" s="38">
        <v>1.2466</v>
      </c>
    </row>
    <row r="819">
      <c r="A819" s="389" t="s">
        <v>1970</v>
      </c>
      <c r="B819" s="389" t="s">
        <v>137</v>
      </c>
      <c r="C819" s="389" t="s">
        <v>6</v>
      </c>
      <c r="D819" s="389" t="s">
        <v>591</v>
      </c>
      <c r="E819" s="390" t="s">
        <v>283</v>
      </c>
      <c r="F819" s="391">
        <v>143097.0</v>
      </c>
      <c r="G819" s="391">
        <v>3.0</v>
      </c>
      <c r="H819" s="391">
        <v>0.0</v>
      </c>
      <c r="I819" s="391">
        <v>0.0</v>
      </c>
      <c r="J819" s="391">
        <v>0.0</v>
      </c>
      <c r="K819" s="391">
        <v>3.0</v>
      </c>
      <c r="L819" s="391">
        <v>1242303.0</v>
      </c>
      <c r="M819" s="391">
        <v>0.0</v>
      </c>
      <c r="N819" s="38">
        <v>1.0</v>
      </c>
    </row>
    <row r="820">
      <c r="A820" s="389" t="s">
        <v>1970</v>
      </c>
      <c r="B820" s="389" t="s">
        <v>137</v>
      </c>
      <c r="C820" s="389" t="s">
        <v>6</v>
      </c>
      <c r="D820" s="389" t="s">
        <v>591</v>
      </c>
      <c r="E820" s="390" t="s">
        <v>49</v>
      </c>
      <c r="F820" s="391">
        <v>143097.0</v>
      </c>
      <c r="G820" s="391">
        <v>1.0</v>
      </c>
      <c r="H820" s="391">
        <v>0.0</v>
      </c>
      <c r="I820" s="391">
        <v>0.0</v>
      </c>
      <c r="J820" s="391">
        <v>0.0</v>
      </c>
      <c r="K820" s="391">
        <v>1.0</v>
      </c>
      <c r="L820" s="391">
        <v>1242303.0</v>
      </c>
      <c r="M820" s="391">
        <v>0.0</v>
      </c>
      <c r="N820" s="38">
        <v>1.0</v>
      </c>
    </row>
    <row r="821">
      <c r="A821" s="389" t="s">
        <v>1970</v>
      </c>
      <c r="B821" s="389" t="s">
        <v>137</v>
      </c>
      <c r="C821" s="389" t="s">
        <v>6</v>
      </c>
      <c r="D821" s="389" t="s">
        <v>591</v>
      </c>
      <c r="E821" s="390" t="s">
        <v>282</v>
      </c>
      <c r="F821" s="391">
        <v>143097.0</v>
      </c>
      <c r="G821" s="391">
        <v>1.0</v>
      </c>
      <c r="H821" s="391">
        <v>0.0</v>
      </c>
      <c r="I821" s="391">
        <v>0.0</v>
      </c>
      <c r="J821" s="391">
        <v>0.0</v>
      </c>
      <c r="K821" s="391">
        <v>1.0</v>
      </c>
      <c r="L821" s="391">
        <v>1242303.0</v>
      </c>
      <c r="M821" s="391">
        <v>0.0</v>
      </c>
      <c r="N821" s="38">
        <v>1.0</v>
      </c>
    </row>
    <row r="822">
      <c r="A822" s="389" t="s">
        <v>1970</v>
      </c>
      <c r="B822" s="389" t="s">
        <v>137</v>
      </c>
      <c r="C822" s="389" t="s">
        <v>6</v>
      </c>
      <c r="D822" s="389" t="s">
        <v>591</v>
      </c>
      <c r="E822" s="390" t="s">
        <v>284</v>
      </c>
      <c r="F822" s="391">
        <v>143097.0</v>
      </c>
      <c r="G822" s="391">
        <v>5.0</v>
      </c>
      <c r="H822" s="391">
        <v>0.0</v>
      </c>
      <c r="I822" s="391">
        <v>0.0</v>
      </c>
      <c r="J822" s="391">
        <v>0.0</v>
      </c>
      <c r="K822" s="391">
        <v>6.0</v>
      </c>
      <c r="L822" s="391">
        <v>1242303.0</v>
      </c>
      <c r="M822" s="391">
        <v>0.0</v>
      </c>
      <c r="N822" s="38">
        <v>1.2</v>
      </c>
    </row>
    <row r="823">
      <c r="A823" s="389" t="s">
        <v>1970</v>
      </c>
      <c r="B823" s="389" t="s">
        <v>137</v>
      </c>
      <c r="C823" s="389" t="s">
        <v>10</v>
      </c>
      <c r="D823" s="389" t="s">
        <v>591</v>
      </c>
      <c r="E823" s="390" t="s">
        <v>370</v>
      </c>
      <c r="F823" s="391">
        <v>126502.0</v>
      </c>
      <c r="G823" s="391">
        <v>93947.0</v>
      </c>
      <c r="H823" s="391">
        <v>74.27</v>
      </c>
      <c r="I823" s="391">
        <v>26.97</v>
      </c>
      <c r="J823" s="391">
        <v>30.77</v>
      </c>
      <c r="K823" s="391">
        <v>236072.0</v>
      </c>
      <c r="L823" s="391">
        <v>875169.0</v>
      </c>
      <c r="M823" s="391">
        <v>1.8662</v>
      </c>
      <c r="N823" s="38">
        <v>2.5128</v>
      </c>
    </row>
    <row r="824">
      <c r="A824" s="389" t="s">
        <v>1970</v>
      </c>
      <c r="B824" s="389" t="s">
        <v>137</v>
      </c>
      <c r="C824" s="389" t="s">
        <v>10</v>
      </c>
      <c r="D824" s="389" t="s">
        <v>591</v>
      </c>
      <c r="E824" s="390" t="s">
        <v>366</v>
      </c>
      <c r="F824" s="391">
        <v>126502.0</v>
      </c>
      <c r="G824" s="391">
        <v>57094.0</v>
      </c>
      <c r="H824" s="391">
        <v>45.13</v>
      </c>
      <c r="I824" s="391">
        <v>11.88</v>
      </c>
      <c r="J824" s="391">
        <v>9.86</v>
      </c>
      <c r="K824" s="391">
        <v>104011.0</v>
      </c>
      <c r="L824" s="391">
        <v>875169.0</v>
      </c>
      <c r="M824" s="391">
        <v>0.8222</v>
      </c>
      <c r="N824" s="38">
        <v>1.8218</v>
      </c>
    </row>
    <row r="825">
      <c r="A825" s="389" t="s">
        <v>1970</v>
      </c>
      <c r="B825" s="389" t="s">
        <v>137</v>
      </c>
      <c r="C825" s="389" t="s">
        <v>10</v>
      </c>
      <c r="D825" s="389" t="s">
        <v>591</v>
      </c>
      <c r="E825" s="390" t="s">
        <v>363</v>
      </c>
      <c r="F825" s="391">
        <v>126502.0</v>
      </c>
      <c r="G825" s="391">
        <v>26391.0</v>
      </c>
      <c r="H825" s="391">
        <v>20.86</v>
      </c>
      <c r="I825" s="391">
        <v>9.19</v>
      </c>
      <c r="J825" s="391">
        <v>5.61</v>
      </c>
      <c r="K825" s="391">
        <v>80417.0</v>
      </c>
      <c r="L825" s="391">
        <v>875169.0</v>
      </c>
      <c r="M825" s="391">
        <v>0.6357</v>
      </c>
      <c r="N825" s="38">
        <v>3.0471</v>
      </c>
    </row>
    <row r="826">
      <c r="A826" s="389" t="s">
        <v>1970</v>
      </c>
      <c r="B826" s="389" t="s">
        <v>137</v>
      </c>
      <c r="C826" s="389" t="s">
        <v>10</v>
      </c>
      <c r="D826" s="389" t="s">
        <v>591</v>
      </c>
      <c r="E826" s="390" t="s">
        <v>371</v>
      </c>
      <c r="F826" s="391">
        <v>126502.0</v>
      </c>
      <c r="G826" s="391">
        <v>54594.0</v>
      </c>
      <c r="H826" s="391">
        <v>43.16</v>
      </c>
      <c r="I826" s="391">
        <v>8.87</v>
      </c>
      <c r="J826" s="391">
        <v>8.97</v>
      </c>
      <c r="K826" s="391">
        <v>77664.0</v>
      </c>
      <c r="L826" s="391">
        <v>875169.0</v>
      </c>
      <c r="M826" s="391">
        <v>0.6139</v>
      </c>
      <c r="N826" s="38">
        <v>1.4226</v>
      </c>
    </row>
    <row r="827">
      <c r="A827" s="389" t="s">
        <v>1970</v>
      </c>
      <c r="B827" s="389" t="s">
        <v>137</v>
      </c>
      <c r="C827" s="389" t="s">
        <v>10</v>
      </c>
      <c r="D827" s="389" t="s">
        <v>591</v>
      </c>
      <c r="E827" s="390" t="s">
        <v>365</v>
      </c>
      <c r="F827" s="391">
        <v>126502.0</v>
      </c>
      <c r="G827" s="391">
        <v>54664.0</v>
      </c>
      <c r="H827" s="391">
        <v>43.21</v>
      </c>
      <c r="I827" s="391">
        <v>7.81</v>
      </c>
      <c r="J827" s="391">
        <v>10.85</v>
      </c>
      <c r="K827" s="391">
        <v>68385.0</v>
      </c>
      <c r="L827" s="391">
        <v>875169.0</v>
      </c>
      <c r="M827" s="391">
        <v>0.5406</v>
      </c>
      <c r="N827" s="38">
        <v>1.251</v>
      </c>
    </row>
    <row r="828">
      <c r="A828" s="389" t="s">
        <v>1970</v>
      </c>
      <c r="B828" s="389" t="s">
        <v>137</v>
      </c>
      <c r="C828" s="389" t="s">
        <v>10</v>
      </c>
      <c r="D828" s="389" t="s">
        <v>591</v>
      </c>
      <c r="E828" s="390" t="s">
        <v>37</v>
      </c>
      <c r="F828" s="391">
        <v>126502.0</v>
      </c>
      <c r="G828" s="391">
        <v>35446.0</v>
      </c>
      <c r="H828" s="391">
        <v>28.02</v>
      </c>
      <c r="I828" s="391">
        <v>6.48</v>
      </c>
      <c r="J828" s="391">
        <v>6.62</v>
      </c>
      <c r="K828" s="391">
        <v>56689.0</v>
      </c>
      <c r="L828" s="391">
        <v>875169.0</v>
      </c>
      <c r="M828" s="391">
        <v>0.4481</v>
      </c>
      <c r="N828" s="38">
        <v>1.5993</v>
      </c>
    </row>
    <row r="829">
      <c r="A829" s="389" t="s">
        <v>1970</v>
      </c>
      <c r="B829" s="389" t="s">
        <v>137</v>
      </c>
      <c r="C829" s="389" t="s">
        <v>10</v>
      </c>
      <c r="D829" s="389" t="s">
        <v>591</v>
      </c>
      <c r="E829" s="390" t="s">
        <v>39</v>
      </c>
      <c r="F829" s="391">
        <v>126502.0</v>
      </c>
      <c r="G829" s="391">
        <v>30425.0</v>
      </c>
      <c r="H829" s="391">
        <v>24.05</v>
      </c>
      <c r="I829" s="391">
        <v>4.94</v>
      </c>
      <c r="J829" s="391">
        <v>3.44</v>
      </c>
      <c r="K829" s="391">
        <v>43201.0</v>
      </c>
      <c r="L829" s="391">
        <v>875169.0</v>
      </c>
      <c r="M829" s="391">
        <v>0.3415</v>
      </c>
      <c r="N829" s="38">
        <v>1.4199</v>
      </c>
    </row>
    <row r="830">
      <c r="A830" s="389" t="s">
        <v>1970</v>
      </c>
      <c r="B830" s="389" t="s">
        <v>137</v>
      </c>
      <c r="C830" s="389" t="s">
        <v>10</v>
      </c>
      <c r="D830" s="389" t="s">
        <v>591</v>
      </c>
      <c r="E830" s="390" t="s">
        <v>369</v>
      </c>
      <c r="F830" s="391">
        <v>126502.0</v>
      </c>
      <c r="G830" s="391">
        <v>31639.0</v>
      </c>
      <c r="H830" s="391">
        <v>25.01</v>
      </c>
      <c r="I830" s="391">
        <v>4.9</v>
      </c>
      <c r="J830" s="391">
        <v>4.9</v>
      </c>
      <c r="K830" s="391">
        <v>42898.0</v>
      </c>
      <c r="L830" s="391">
        <v>875169.0</v>
      </c>
      <c r="M830" s="391">
        <v>0.3391</v>
      </c>
      <c r="N830" s="38">
        <v>1.3559</v>
      </c>
    </row>
    <row r="831">
      <c r="A831" s="389" t="s">
        <v>1970</v>
      </c>
      <c r="B831" s="389" t="s">
        <v>137</v>
      </c>
      <c r="C831" s="389" t="s">
        <v>10</v>
      </c>
      <c r="D831" s="389" t="s">
        <v>591</v>
      </c>
      <c r="E831" s="390" t="s">
        <v>45</v>
      </c>
      <c r="F831" s="391">
        <v>126502.0</v>
      </c>
      <c r="G831" s="391">
        <v>27659.0</v>
      </c>
      <c r="H831" s="391">
        <v>21.86</v>
      </c>
      <c r="I831" s="391">
        <v>4.29</v>
      </c>
      <c r="J831" s="391">
        <v>4.05</v>
      </c>
      <c r="K831" s="391">
        <v>37530.0</v>
      </c>
      <c r="L831" s="391">
        <v>875169.0</v>
      </c>
      <c r="M831" s="391">
        <v>0.2967</v>
      </c>
      <c r="N831" s="38">
        <v>1.3569</v>
      </c>
    </row>
    <row r="832">
      <c r="A832" s="389" t="s">
        <v>1970</v>
      </c>
      <c r="B832" s="389" t="s">
        <v>137</v>
      </c>
      <c r="C832" s="389" t="s">
        <v>10</v>
      </c>
      <c r="D832" s="389" t="s">
        <v>591</v>
      </c>
      <c r="E832" s="390" t="s">
        <v>282</v>
      </c>
      <c r="F832" s="391">
        <v>126502.0</v>
      </c>
      <c r="G832" s="391">
        <v>22759.0</v>
      </c>
      <c r="H832" s="391">
        <v>17.99</v>
      </c>
      <c r="I832" s="391">
        <v>3.16</v>
      </c>
      <c r="J832" s="391">
        <v>3.18</v>
      </c>
      <c r="K832" s="391">
        <v>27647.0</v>
      </c>
      <c r="L832" s="391">
        <v>875169.0</v>
      </c>
      <c r="M832" s="391">
        <v>0.2185</v>
      </c>
      <c r="N832" s="38">
        <v>1.2148</v>
      </c>
    </row>
    <row r="833">
      <c r="A833" s="389" t="s">
        <v>1970</v>
      </c>
      <c r="B833" s="389" t="s">
        <v>137</v>
      </c>
      <c r="C833" s="389" t="s">
        <v>10</v>
      </c>
      <c r="D833" s="389" t="s">
        <v>591</v>
      </c>
      <c r="E833" s="390" t="s">
        <v>35</v>
      </c>
      <c r="F833" s="391">
        <v>126502.0</v>
      </c>
      <c r="G833" s="391">
        <v>8548.0</v>
      </c>
      <c r="H833" s="391">
        <v>6.76</v>
      </c>
      <c r="I833" s="391">
        <v>2.93</v>
      </c>
      <c r="J833" s="391">
        <v>2.22</v>
      </c>
      <c r="K833" s="391">
        <v>25658.0</v>
      </c>
      <c r="L833" s="391">
        <v>875169.0</v>
      </c>
      <c r="M833" s="391">
        <v>0.2028</v>
      </c>
      <c r="N833" s="38">
        <v>3.0016</v>
      </c>
    </row>
    <row r="834">
      <c r="A834" s="389" t="s">
        <v>1970</v>
      </c>
      <c r="B834" s="389" t="s">
        <v>137</v>
      </c>
      <c r="C834" s="389" t="s">
        <v>10</v>
      </c>
      <c r="D834" s="389" t="s">
        <v>591</v>
      </c>
      <c r="E834" s="390" t="s">
        <v>108</v>
      </c>
      <c r="F834" s="391">
        <v>126502.0</v>
      </c>
      <c r="G834" s="391">
        <v>16208.0</v>
      </c>
      <c r="H834" s="391">
        <v>12.81</v>
      </c>
      <c r="I834" s="391">
        <v>2.77</v>
      </c>
      <c r="J834" s="391">
        <v>3.23</v>
      </c>
      <c r="K834" s="391">
        <v>24239.0</v>
      </c>
      <c r="L834" s="391">
        <v>875169.0</v>
      </c>
      <c r="M834" s="391">
        <v>0.1916</v>
      </c>
      <c r="N834" s="38">
        <v>1.4955</v>
      </c>
    </row>
    <row r="835">
      <c r="A835" s="389" t="s">
        <v>1970</v>
      </c>
      <c r="B835" s="389" t="s">
        <v>137</v>
      </c>
      <c r="C835" s="389" t="s">
        <v>10</v>
      </c>
      <c r="D835" s="389" t="s">
        <v>591</v>
      </c>
      <c r="E835" s="390" t="s">
        <v>283</v>
      </c>
      <c r="F835" s="391">
        <v>126502.0</v>
      </c>
      <c r="G835" s="391">
        <v>19962.0</v>
      </c>
      <c r="H835" s="391">
        <v>15.78</v>
      </c>
      <c r="I835" s="391">
        <v>2.62</v>
      </c>
      <c r="J835" s="391">
        <v>2.97</v>
      </c>
      <c r="K835" s="391">
        <v>22891.0</v>
      </c>
      <c r="L835" s="391">
        <v>875169.0</v>
      </c>
      <c r="M835" s="391">
        <v>0.181</v>
      </c>
      <c r="N835" s="38">
        <v>1.1467</v>
      </c>
    </row>
    <row r="836">
      <c r="A836" s="389" t="s">
        <v>1970</v>
      </c>
      <c r="B836" s="389" t="s">
        <v>137</v>
      </c>
      <c r="C836" s="389" t="s">
        <v>10</v>
      </c>
      <c r="D836" s="389" t="s">
        <v>591</v>
      </c>
      <c r="E836" s="390" t="s">
        <v>284</v>
      </c>
      <c r="F836" s="391">
        <v>126502.0</v>
      </c>
      <c r="G836" s="391">
        <v>17715.0</v>
      </c>
      <c r="H836" s="391">
        <v>14.0</v>
      </c>
      <c r="I836" s="391">
        <v>2.45</v>
      </c>
      <c r="J836" s="391">
        <v>2.56</v>
      </c>
      <c r="K836" s="391">
        <v>21412.0</v>
      </c>
      <c r="L836" s="391">
        <v>875169.0</v>
      </c>
      <c r="M836" s="391">
        <v>0.1693</v>
      </c>
      <c r="N836" s="38">
        <v>1.2087</v>
      </c>
    </row>
    <row r="837">
      <c r="A837" s="389" t="s">
        <v>1970</v>
      </c>
      <c r="B837" s="389" t="s">
        <v>137</v>
      </c>
      <c r="C837" s="389" t="s">
        <v>10</v>
      </c>
      <c r="D837" s="389" t="s">
        <v>591</v>
      </c>
      <c r="E837" s="390" t="s">
        <v>27</v>
      </c>
      <c r="F837" s="391">
        <v>126502.0</v>
      </c>
      <c r="G837" s="391">
        <v>5314.0</v>
      </c>
      <c r="H837" s="391">
        <v>4.2</v>
      </c>
      <c r="I837" s="391">
        <v>0.62</v>
      </c>
      <c r="J837" s="391">
        <v>0.64</v>
      </c>
      <c r="K837" s="391">
        <v>5415.0</v>
      </c>
      <c r="L837" s="391">
        <v>875169.0</v>
      </c>
      <c r="M837" s="391">
        <v>0.0428</v>
      </c>
      <c r="N837" s="38">
        <v>1.019</v>
      </c>
    </row>
    <row r="838">
      <c r="A838" s="389" t="s">
        <v>1970</v>
      </c>
      <c r="B838" s="389" t="s">
        <v>137</v>
      </c>
      <c r="C838" s="389" t="s">
        <v>10</v>
      </c>
      <c r="D838" s="389" t="s">
        <v>591</v>
      </c>
      <c r="E838" s="390" t="s">
        <v>38</v>
      </c>
      <c r="F838" s="391">
        <v>126502.0</v>
      </c>
      <c r="G838" s="391">
        <v>941.0</v>
      </c>
      <c r="H838" s="391">
        <v>0.74</v>
      </c>
      <c r="I838" s="391">
        <v>0.11</v>
      </c>
      <c r="J838" s="391">
        <v>0.12</v>
      </c>
      <c r="K838" s="391">
        <v>976.0</v>
      </c>
      <c r="L838" s="391">
        <v>875169.0</v>
      </c>
      <c r="M838" s="391">
        <v>0.0077</v>
      </c>
      <c r="N838" s="38">
        <v>1.0372</v>
      </c>
    </row>
    <row r="839">
      <c r="A839" s="389" t="s">
        <v>1970</v>
      </c>
      <c r="B839" s="389" t="s">
        <v>137</v>
      </c>
      <c r="C839" s="389" t="s">
        <v>10</v>
      </c>
      <c r="D839" s="389" t="s">
        <v>591</v>
      </c>
      <c r="E839" s="390" t="s">
        <v>163</v>
      </c>
      <c r="F839" s="391">
        <v>126502.0</v>
      </c>
      <c r="G839" s="391">
        <v>8.0</v>
      </c>
      <c r="H839" s="391">
        <v>0.01</v>
      </c>
      <c r="I839" s="391">
        <v>0.0</v>
      </c>
      <c r="J839" s="391">
        <v>0.0</v>
      </c>
      <c r="K839" s="391">
        <v>10.0</v>
      </c>
      <c r="L839" s="391">
        <v>875169.0</v>
      </c>
      <c r="M839" s="391">
        <v>1.0E-4</v>
      </c>
      <c r="N839" s="38">
        <v>1.25</v>
      </c>
    </row>
    <row r="840">
      <c r="A840" s="389" t="s">
        <v>1970</v>
      </c>
      <c r="B840" s="389" t="s">
        <v>137</v>
      </c>
      <c r="C840" s="389" t="s">
        <v>10</v>
      </c>
      <c r="D840" s="389" t="s">
        <v>591</v>
      </c>
      <c r="E840" s="390" t="s">
        <v>30</v>
      </c>
      <c r="F840" s="391">
        <v>126502.0</v>
      </c>
      <c r="G840" s="391">
        <v>28.0</v>
      </c>
      <c r="H840" s="391">
        <v>0.02</v>
      </c>
      <c r="I840" s="391">
        <v>0.0</v>
      </c>
      <c r="J840" s="391">
        <v>0.0</v>
      </c>
      <c r="K840" s="391">
        <v>28.0</v>
      </c>
      <c r="L840" s="391">
        <v>875169.0</v>
      </c>
      <c r="M840" s="391">
        <v>2.0E-4</v>
      </c>
      <c r="N840" s="38">
        <v>1.0</v>
      </c>
    </row>
    <row r="841">
      <c r="A841" s="389" t="s">
        <v>1970</v>
      </c>
      <c r="B841" s="389" t="s">
        <v>137</v>
      </c>
      <c r="C841" s="389" t="s">
        <v>10</v>
      </c>
      <c r="D841" s="389" t="s">
        <v>591</v>
      </c>
      <c r="E841" s="390" t="s">
        <v>367</v>
      </c>
      <c r="F841" s="391">
        <v>126502.0</v>
      </c>
      <c r="G841" s="391">
        <v>11.0</v>
      </c>
      <c r="H841" s="391">
        <v>0.01</v>
      </c>
      <c r="I841" s="391">
        <v>0.0</v>
      </c>
      <c r="J841" s="391">
        <v>0.01</v>
      </c>
      <c r="K841" s="391">
        <v>26.0</v>
      </c>
      <c r="L841" s="391">
        <v>875169.0</v>
      </c>
      <c r="M841" s="391">
        <v>2.0E-4</v>
      </c>
      <c r="N841" s="38">
        <v>2.3636</v>
      </c>
    </row>
    <row r="842">
      <c r="A842" s="389" t="s">
        <v>1970</v>
      </c>
      <c r="B842" s="389" t="s">
        <v>137</v>
      </c>
      <c r="C842" s="389" t="s">
        <v>9</v>
      </c>
      <c r="D842" s="389" t="s">
        <v>591</v>
      </c>
      <c r="E842" s="390" t="s">
        <v>370</v>
      </c>
      <c r="F842" s="391">
        <v>126438.0</v>
      </c>
      <c r="G842" s="391">
        <v>93318.0</v>
      </c>
      <c r="H842" s="391">
        <v>73.81</v>
      </c>
      <c r="I842" s="391">
        <v>24.77</v>
      </c>
      <c r="J842" s="391">
        <v>28.52</v>
      </c>
      <c r="K842" s="391">
        <v>235292.0</v>
      </c>
      <c r="L842" s="391">
        <v>949931.0</v>
      </c>
      <c r="M842" s="391">
        <v>1.8609</v>
      </c>
      <c r="N842" s="38">
        <v>2.5214</v>
      </c>
    </row>
    <row r="843">
      <c r="A843" s="389" t="s">
        <v>1970</v>
      </c>
      <c r="B843" s="389" t="s">
        <v>137</v>
      </c>
      <c r="C843" s="389" t="s">
        <v>9</v>
      </c>
      <c r="D843" s="389" t="s">
        <v>591</v>
      </c>
      <c r="E843" s="390" t="s">
        <v>366</v>
      </c>
      <c r="F843" s="391">
        <v>126438.0</v>
      </c>
      <c r="G843" s="391">
        <v>70361.0</v>
      </c>
      <c r="H843" s="391">
        <v>55.65</v>
      </c>
      <c r="I843" s="391">
        <v>16.45</v>
      </c>
      <c r="J843" s="391">
        <v>14.8</v>
      </c>
      <c r="K843" s="391">
        <v>156310.0</v>
      </c>
      <c r="L843" s="391">
        <v>949931.0</v>
      </c>
      <c r="M843" s="391">
        <v>1.2363</v>
      </c>
      <c r="N843" s="38">
        <v>2.2215</v>
      </c>
    </row>
    <row r="844">
      <c r="A844" s="389" t="s">
        <v>1970</v>
      </c>
      <c r="B844" s="389" t="s">
        <v>137</v>
      </c>
      <c r="C844" s="389" t="s">
        <v>9</v>
      </c>
      <c r="D844" s="389" t="s">
        <v>591</v>
      </c>
      <c r="E844" s="390" t="s">
        <v>363</v>
      </c>
      <c r="F844" s="391">
        <v>126438.0</v>
      </c>
      <c r="G844" s="391">
        <v>26317.0</v>
      </c>
      <c r="H844" s="391">
        <v>20.81</v>
      </c>
      <c r="I844" s="391">
        <v>8.43</v>
      </c>
      <c r="J844" s="391">
        <v>5.24</v>
      </c>
      <c r="K844" s="391">
        <v>80096.0</v>
      </c>
      <c r="L844" s="391">
        <v>949931.0</v>
      </c>
      <c r="M844" s="391">
        <v>0.6335</v>
      </c>
      <c r="N844" s="38">
        <v>3.0435</v>
      </c>
    </row>
    <row r="845">
      <c r="A845" s="389" t="s">
        <v>1970</v>
      </c>
      <c r="B845" s="389" t="s">
        <v>137</v>
      </c>
      <c r="C845" s="389" t="s">
        <v>9</v>
      </c>
      <c r="D845" s="389" t="s">
        <v>591</v>
      </c>
      <c r="E845" s="390" t="s">
        <v>44</v>
      </c>
      <c r="F845" s="391">
        <v>126438.0</v>
      </c>
      <c r="G845" s="391">
        <v>36528.0</v>
      </c>
      <c r="H845" s="391">
        <v>28.89</v>
      </c>
      <c r="I845" s="391">
        <v>6.35</v>
      </c>
      <c r="J845" s="391">
        <v>5.95</v>
      </c>
      <c r="K845" s="391">
        <v>60288.0</v>
      </c>
      <c r="L845" s="391">
        <v>949931.0</v>
      </c>
      <c r="M845" s="391">
        <v>0.4768</v>
      </c>
      <c r="N845" s="38">
        <v>1.6505</v>
      </c>
    </row>
    <row r="846">
      <c r="A846" s="389" t="s">
        <v>1970</v>
      </c>
      <c r="B846" s="389" t="s">
        <v>137</v>
      </c>
      <c r="C846" s="389" t="s">
        <v>9</v>
      </c>
      <c r="D846" s="389" t="s">
        <v>591</v>
      </c>
      <c r="E846" s="390" t="s">
        <v>35</v>
      </c>
      <c r="F846" s="391">
        <v>126438.0</v>
      </c>
      <c r="G846" s="391">
        <v>28714.0</v>
      </c>
      <c r="H846" s="391">
        <v>22.71</v>
      </c>
      <c r="I846" s="391">
        <v>5.74</v>
      </c>
      <c r="J846" s="391">
        <v>5.64</v>
      </c>
      <c r="K846" s="391">
        <v>54530.0</v>
      </c>
      <c r="L846" s="391">
        <v>949931.0</v>
      </c>
      <c r="M846" s="391">
        <v>0.4313</v>
      </c>
      <c r="N846" s="38">
        <v>1.8991</v>
      </c>
    </row>
    <row r="847">
      <c r="A847" s="389" t="s">
        <v>1970</v>
      </c>
      <c r="B847" s="389" t="s">
        <v>137</v>
      </c>
      <c r="C847" s="389" t="s">
        <v>9</v>
      </c>
      <c r="D847" s="389" t="s">
        <v>591</v>
      </c>
      <c r="E847" s="390" t="s">
        <v>369</v>
      </c>
      <c r="F847" s="391">
        <v>126438.0</v>
      </c>
      <c r="G847" s="391">
        <v>39445.0</v>
      </c>
      <c r="H847" s="391">
        <v>31.2</v>
      </c>
      <c r="I847" s="391">
        <v>5.67</v>
      </c>
      <c r="J847" s="391">
        <v>5.99</v>
      </c>
      <c r="K847" s="391">
        <v>53904.0</v>
      </c>
      <c r="L847" s="391">
        <v>949931.0</v>
      </c>
      <c r="M847" s="391">
        <v>0.4263</v>
      </c>
      <c r="N847" s="38">
        <v>1.3666</v>
      </c>
    </row>
    <row r="848">
      <c r="A848" s="389" t="s">
        <v>1970</v>
      </c>
      <c r="B848" s="389" t="s">
        <v>137</v>
      </c>
      <c r="C848" s="389" t="s">
        <v>9</v>
      </c>
      <c r="D848" s="389" t="s">
        <v>591</v>
      </c>
      <c r="E848" s="390" t="s">
        <v>365</v>
      </c>
      <c r="F848" s="391">
        <v>126438.0</v>
      </c>
      <c r="G848" s="391">
        <v>39476.0</v>
      </c>
      <c r="H848" s="391">
        <v>31.22</v>
      </c>
      <c r="I848" s="391">
        <v>4.83</v>
      </c>
      <c r="J848" s="391">
        <v>6.36</v>
      </c>
      <c r="K848" s="391">
        <v>45913.0</v>
      </c>
      <c r="L848" s="391">
        <v>949931.0</v>
      </c>
      <c r="M848" s="391">
        <v>0.3631</v>
      </c>
      <c r="N848" s="38">
        <v>1.1631</v>
      </c>
    </row>
    <row r="849">
      <c r="A849" s="389" t="s">
        <v>1970</v>
      </c>
      <c r="B849" s="389" t="s">
        <v>137</v>
      </c>
      <c r="C849" s="389" t="s">
        <v>9</v>
      </c>
      <c r="D849" s="389" t="s">
        <v>591</v>
      </c>
      <c r="E849" s="390" t="s">
        <v>37</v>
      </c>
      <c r="F849" s="391">
        <v>126438.0</v>
      </c>
      <c r="G849" s="391">
        <v>30028.0</v>
      </c>
      <c r="H849" s="391">
        <v>23.75</v>
      </c>
      <c r="I849" s="391">
        <v>4.46</v>
      </c>
      <c r="J849" s="391">
        <v>4.87</v>
      </c>
      <c r="K849" s="391">
        <v>42402.0</v>
      </c>
      <c r="L849" s="391">
        <v>949931.0</v>
      </c>
      <c r="M849" s="391">
        <v>0.3354</v>
      </c>
      <c r="N849" s="38">
        <v>1.4121</v>
      </c>
    </row>
    <row r="850">
      <c r="A850" s="389" t="s">
        <v>1970</v>
      </c>
      <c r="B850" s="389" t="s">
        <v>137</v>
      </c>
      <c r="C850" s="389" t="s">
        <v>9</v>
      </c>
      <c r="D850" s="389" t="s">
        <v>591</v>
      </c>
      <c r="E850" s="390" t="s">
        <v>282</v>
      </c>
      <c r="F850" s="391">
        <v>126438.0</v>
      </c>
      <c r="G850" s="391">
        <v>30787.0</v>
      </c>
      <c r="H850" s="391">
        <v>24.35</v>
      </c>
      <c r="I850" s="391">
        <v>4.02</v>
      </c>
      <c r="J850" s="391">
        <v>4.19</v>
      </c>
      <c r="K850" s="391">
        <v>38228.0</v>
      </c>
      <c r="L850" s="391">
        <v>949931.0</v>
      </c>
      <c r="M850" s="391">
        <v>0.3023</v>
      </c>
      <c r="N850" s="38">
        <v>1.2417</v>
      </c>
    </row>
    <row r="851">
      <c r="A851" s="389" t="s">
        <v>1970</v>
      </c>
      <c r="B851" s="389" t="s">
        <v>137</v>
      </c>
      <c r="C851" s="389" t="s">
        <v>9</v>
      </c>
      <c r="D851" s="389" t="s">
        <v>591</v>
      </c>
      <c r="E851" s="390" t="s">
        <v>45</v>
      </c>
      <c r="F851" s="391">
        <v>126438.0</v>
      </c>
      <c r="G851" s="391">
        <v>26512.0</v>
      </c>
      <c r="H851" s="391">
        <v>20.97</v>
      </c>
      <c r="I851" s="391">
        <v>3.75</v>
      </c>
      <c r="J851" s="391">
        <v>3.3</v>
      </c>
      <c r="K851" s="391">
        <v>35631.0</v>
      </c>
      <c r="L851" s="391">
        <v>949931.0</v>
      </c>
      <c r="M851" s="391">
        <v>0.2818</v>
      </c>
      <c r="N851" s="38">
        <v>1.344</v>
      </c>
    </row>
    <row r="852">
      <c r="A852" s="389" t="s">
        <v>1970</v>
      </c>
      <c r="B852" s="389" t="s">
        <v>137</v>
      </c>
      <c r="C852" s="389" t="s">
        <v>9</v>
      </c>
      <c r="D852" s="389" t="s">
        <v>591</v>
      </c>
      <c r="E852" s="390" t="s">
        <v>283</v>
      </c>
      <c r="F852" s="391">
        <v>126438.0</v>
      </c>
      <c r="G852" s="391">
        <v>28680.0</v>
      </c>
      <c r="H852" s="391">
        <v>22.68</v>
      </c>
      <c r="I852" s="391">
        <v>3.7</v>
      </c>
      <c r="J852" s="391">
        <v>3.89</v>
      </c>
      <c r="K852" s="391">
        <v>35156.0</v>
      </c>
      <c r="L852" s="391">
        <v>949931.0</v>
      </c>
      <c r="M852" s="391">
        <v>0.278</v>
      </c>
      <c r="N852" s="38">
        <v>1.2258</v>
      </c>
    </row>
    <row r="853">
      <c r="A853" s="389" t="s">
        <v>1970</v>
      </c>
      <c r="B853" s="389" t="s">
        <v>137</v>
      </c>
      <c r="C853" s="389" t="s">
        <v>9</v>
      </c>
      <c r="D853" s="389" t="s">
        <v>591</v>
      </c>
      <c r="E853" s="390" t="s">
        <v>284</v>
      </c>
      <c r="F853" s="391">
        <v>126438.0</v>
      </c>
      <c r="G853" s="391">
        <v>27837.0</v>
      </c>
      <c r="H853" s="391">
        <v>22.02</v>
      </c>
      <c r="I853" s="391">
        <v>3.6</v>
      </c>
      <c r="J853" s="391">
        <v>4.07</v>
      </c>
      <c r="K853" s="391">
        <v>34196.0</v>
      </c>
      <c r="L853" s="391">
        <v>949931.0</v>
      </c>
      <c r="M853" s="391">
        <v>0.2705</v>
      </c>
      <c r="N853" s="38">
        <v>1.2284</v>
      </c>
    </row>
    <row r="854">
      <c r="A854" s="389" t="s">
        <v>1970</v>
      </c>
      <c r="B854" s="389" t="s">
        <v>137</v>
      </c>
      <c r="C854" s="389" t="s">
        <v>9</v>
      </c>
      <c r="D854" s="389" t="s">
        <v>591</v>
      </c>
      <c r="E854" s="390" t="s">
        <v>371</v>
      </c>
      <c r="F854" s="391">
        <v>126438.0</v>
      </c>
      <c r="G854" s="391">
        <v>25033.0</v>
      </c>
      <c r="H854" s="391">
        <v>19.8</v>
      </c>
      <c r="I854" s="391">
        <v>2.94</v>
      </c>
      <c r="J854" s="391">
        <v>2.54</v>
      </c>
      <c r="K854" s="391">
        <v>27924.0</v>
      </c>
      <c r="L854" s="391">
        <v>949931.0</v>
      </c>
      <c r="M854" s="391">
        <v>0.2209</v>
      </c>
      <c r="N854" s="38">
        <v>1.1155</v>
      </c>
    </row>
    <row r="855">
      <c r="A855" s="389" t="s">
        <v>1970</v>
      </c>
      <c r="B855" s="389" t="s">
        <v>137</v>
      </c>
      <c r="C855" s="389" t="s">
        <v>9</v>
      </c>
      <c r="D855" s="389" t="s">
        <v>591</v>
      </c>
      <c r="E855" s="390" t="s">
        <v>367</v>
      </c>
      <c r="F855" s="391">
        <v>126438.0</v>
      </c>
      <c r="G855" s="391">
        <v>17738.0</v>
      </c>
      <c r="H855" s="391">
        <v>14.03</v>
      </c>
      <c r="I855" s="391">
        <v>2.6</v>
      </c>
      <c r="J855" s="391">
        <v>2.5</v>
      </c>
      <c r="K855" s="391">
        <v>24676.0</v>
      </c>
      <c r="L855" s="391">
        <v>949931.0</v>
      </c>
      <c r="M855" s="391">
        <v>0.1952</v>
      </c>
      <c r="N855" s="38">
        <v>1.3911</v>
      </c>
    </row>
    <row r="856">
      <c r="A856" s="389" t="s">
        <v>1970</v>
      </c>
      <c r="B856" s="389" t="s">
        <v>137</v>
      </c>
      <c r="C856" s="389" t="s">
        <v>9</v>
      </c>
      <c r="D856" s="389" t="s">
        <v>591</v>
      </c>
      <c r="E856" s="390" t="s">
        <v>39</v>
      </c>
      <c r="F856" s="391">
        <v>126438.0</v>
      </c>
      <c r="G856" s="391">
        <v>8597.0</v>
      </c>
      <c r="H856" s="391">
        <v>6.8</v>
      </c>
      <c r="I856" s="391">
        <v>1.08</v>
      </c>
      <c r="J856" s="391">
        <v>0.8</v>
      </c>
      <c r="K856" s="391">
        <v>10234.0</v>
      </c>
      <c r="L856" s="391">
        <v>949931.0</v>
      </c>
      <c r="M856" s="391">
        <v>0.0809</v>
      </c>
      <c r="N856" s="38">
        <v>1.1904</v>
      </c>
    </row>
    <row r="857">
      <c r="A857" s="389" t="s">
        <v>1970</v>
      </c>
      <c r="B857" s="389" t="s">
        <v>137</v>
      </c>
      <c r="C857" s="389" t="s">
        <v>9</v>
      </c>
      <c r="D857" s="389" t="s">
        <v>591</v>
      </c>
      <c r="E857" s="390" t="s">
        <v>27</v>
      </c>
      <c r="F857" s="391">
        <v>126438.0</v>
      </c>
      <c r="G857" s="391">
        <v>7233.0</v>
      </c>
      <c r="H857" s="391">
        <v>5.72</v>
      </c>
      <c r="I857" s="391">
        <v>0.77</v>
      </c>
      <c r="J857" s="391">
        <v>0.72</v>
      </c>
      <c r="K857" s="391">
        <v>7344.0</v>
      </c>
      <c r="L857" s="391">
        <v>949931.0</v>
      </c>
      <c r="M857" s="391">
        <v>0.0581</v>
      </c>
      <c r="N857" s="38">
        <v>1.0153</v>
      </c>
    </row>
    <row r="858">
      <c r="A858" s="389" t="s">
        <v>1970</v>
      </c>
      <c r="B858" s="389" t="s">
        <v>137</v>
      </c>
      <c r="C858" s="389" t="s">
        <v>9</v>
      </c>
      <c r="D858" s="389" t="s">
        <v>591</v>
      </c>
      <c r="E858" s="390" t="s">
        <v>108</v>
      </c>
      <c r="F858" s="391">
        <v>126438.0</v>
      </c>
      <c r="G858" s="391">
        <v>3139.0</v>
      </c>
      <c r="H858" s="391">
        <v>2.48</v>
      </c>
      <c r="I858" s="391">
        <v>0.47</v>
      </c>
      <c r="J858" s="391">
        <v>0.27</v>
      </c>
      <c r="K858" s="391">
        <v>4459.0</v>
      </c>
      <c r="L858" s="391">
        <v>949931.0</v>
      </c>
      <c r="M858" s="391">
        <v>0.0353</v>
      </c>
      <c r="N858" s="38">
        <v>1.4205</v>
      </c>
    </row>
    <row r="859">
      <c r="A859" s="389" t="s">
        <v>1970</v>
      </c>
      <c r="B859" s="389" t="s">
        <v>137</v>
      </c>
      <c r="C859" s="389" t="s">
        <v>9</v>
      </c>
      <c r="D859" s="389" t="s">
        <v>591</v>
      </c>
      <c r="E859" s="390" t="s">
        <v>38</v>
      </c>
      <c r="F859" s="391">
        <v>126438.0</v>
      </c>
      <c r="G859" s="391">
        <v>3063.0</v>
      </c>
      <c r="H859" s="391">
        <v>2.42</v>
      </c>
      <c r="I859" s="391">
        <v>0.34</v>
      </c>
      <c r="J859" s="391">
        <v>0.34</v>
      </c>
      <c r="K859" s="391">
        <v>3215.0</v>
      </c>
      <c r="L859" s="391">
        <v>949931.0</v>
      </c>
      <c r="M859" s="391">
        <v>0.0254</v>
      </c>
      <c r="N859" s="38">
        <v>1.0496</v>
      </c>
    </row>
    <row r="860">
      <c r="A860" s="389" t="s">
        <v>1970</v>
      </c>
      <c r="B860" s="389" t="s">
        <v>137</v>
      </c>
      <c r="C860" s="389" t="s">
        <v>9</v>
      </c>
      <c r="D860" s="389" t="s">
        <v>591</v>
      </c>
      <c r="E860" s="390" t="s">
        <v>368</v>
      </c>
      <c r="F860" s="391">
        <v>126438.0</v>
      </c>
      <c r="G860" s="391">
        <v>103.0</v>
      </c>
      <c r="H860" s="391">
        <v>0.08</v>
      </c>
      <c r="I860" s="391">
        <v>0.01</v>
      </c>
      <c r="J860" s="391">
        <v>0.01</v>
      </c>
      <c r="K860" s="391">
        <v>107.0</v>
      </c>
      <c r="L860" s="391">
        <v>949931.0</v>
      </c>
      <c r="M860" s="391">
        <v>8.0E-4</v>
      </c>
      <c r="N860" s="38">
        <v>1.0388</v>
      </c>
    </row>
    <row r="861">
      <c r="A861" s="389" t="s">
        <v>1970</v>
      </c>
      <c r="B861" s="389" t="s">
        <v>137</v>
      </c>
      <c r="C861" s="389" t="s">
        <v>9</v>
      </c>
      <c r="D861" s="389" t="s">
        <v>591</v>
      </c>
      <c r="E861" s="390" t="s">
        <v>163</v>
      </c>
      <c r="F861" s="391">
        <v>126438.0</v>
      </c>
      <c r="G861" s="391">
        <v>24.0</v>
      </c>
      <c r="H861" s="391">
        <v>0.02</v>
      </c>
      <c r="I861" s="391">
        <v>0.0</v>
      </c>
      <c r="J861" s="391">
        <v>0.0</v>
      </c>
      <c r="K861" s="391">
        <v>26.0</v>
      </c>
      <c r="L861" s="391">
        <v>949931.0</v>
      </c>
      <c r="M861" s="391">
        <v>2.0E-4</v>
      </c>
      <c r="N861" s="38">
        <v>1.0833</v>
      </c>
    </row>
    <row r="862">
      <c r="A862" s="389" t="s">
        <v>1970</v>
      </c>
      <c r="B862" s="389" t="s">
        <v>137</v>
      </c>
      <c r="C862" s="389" t="s">
        <v>358</v>
      </c>
      <c r="D862" s="389" t="s">
        <v>1968</v>
      </c>
      <c r="E862" s="390" t="s">
        <v>366</v>
      </c>
      <c r="F862" s="391">
        <v>36866.0</v>
      </c>
      <c r="G862" s="391">
        <v>16785.0</v>
      </c>
      <c r="H862" s="391">
        <v>45.53</v>
      </c>
      <c r="I862" s="391">
        <v>51.25</v>
      </c>
      <c r="J862" s="391">
        <v>38.53</v>
      </c>
      <c r="K862" s="391">
        <v>516330.0</v>
      </c>
      <c r="L862" s="391">
        <v>1007455.0</v>
      </c>
      <c r="M862" s="391">
        <v>14.0056</v>
      </c>
      <c r="N862" s="38">
        <v>30.7614</v>
      </c>
    </row>
    <row r="863">
      <c r="A863" s="389" t="s">
        <v>1970</v>
      </c>
      <c r="B863" s="389" t="s">
        <v>137</v>
      </c>
      <c r="C863" s="389" t="s">
        <v>358</v>
      </c>
      <c r="D863" s="389" t="s">
        <v>1968</v>
      </c>
      <c r="E863" s="390" t="s">
        <v>368</v>
      </c>
      <c r="F863" s="391">
        <v>36866.0</v>
      </c>
      <c r="G863" s="391">
        <v>17080.0</v>
      </c>
      <c r="H863" s="391">
        <v>46.33</v>
      </c>
      <c r="I863" s="391">
        <v>20.69</v>
      </c>
      <c r="J863" s="391">
        <v>31.02</v>
      </c>
      <c r="K863" s="391">
        <v>208435.0</v>
      </c>
      <c r="L863" s="391">
        <v>1007455.0</v>
      </c>
      <c r="M863" s="391">
        <v>5.6539</v>
      </c>
      <c r="N863" s="38">
        <v>12.2035</v>
      </c>
    </row>
    <row r="864">
      <c r="A864" s="389" t="s">
        <v>1970</v>
      </c>
      <c r="B864" s="389" t="s">
        <v>137</v>
      </c>
      <c r="C864" s="389" t="s">
        <v>358</v>
      </c>
      <c r="D864" s="389" t="s">
        <v>1968</v>
      </c>
      <c r="E864" s="390" t="s">
        <v>108</v>
      </c>
      <c r="F864" s="391">
        <v>36866.0</v>
      </c>
      <c r="G864" s="391">
        <v>7254.0</v>
      </c>
      <c r="H864" s="391">
        <v>19.68</v>
      </c>
      <c r="I864" s="391">
        <v>15.82</v>
      </c>
      <c r="J864" s="391">
        <v>14.51</v>
      </c>
      <c r="K864" s="391">
        <v>159405.0</v>
      </c>
      <c r="L864" s="391">
        <v>1007455.0</v>
      </c>
      <c r="M864" s="391">
        <v>4.3239</v>
      </c>
      <c r="N864" s="38">
        <v>21.9748</v>
      </c>
    </row>
    <row r="865">
      <c r="A865" s="389" t="s">
        <v>1970</v>
      </c>
      <c r="B865" s="389" t="s">
        <v>137</v>
      </c>
      <c r="C865" s="389" t="s">
        <v>358</v>
      </c>
      <c r="D865" s="389" t="s">
        <v>1968</v>
      </c>
      <c r="E865" s="390" t="s">
        <v>163</v>
      </c>
      <c r="F865" s="391">
        <v>36866.0</v>
      </c>
      <c r="G865" s="391">
        <v>7247.0</v>
      </c>
      <c r="H865" s="391">
        <v>19.66</v>
      </c>
      <c r="I865" s="391">
        <v>7.33</v>
      </c>
      <c r="J865" s="391">
        <v>11.43</v>
      </c>
      <c r="K865" s="391">
        <v>73850.0</v>
      </c>
      <c r="L865" s="391">
        <v>1007455.0</v>
      </c>
      <c r="M865" s="391">
        <v>2.0032</v>
      </c>
      <c r="N865" s="38">
        <v>10.1904</v>
      </c>
    </row>
    <row r="866">
      <c r="A866" s="389" t="s">
        <v>1970</v>
      </c>
      <c r="B866" s="389" t="s">
        <v>137</v>
      </c>
      <c r="C866" s="389" t="s">
        <v>358</v>
      </c>
      <c r="D866" s="389" t="s">
        <v>1968</v>
      </c>
      <c r="E866" s="390" t="s">
        <v>369</v>
      </c>
      <c r="F866" s="391">
        <v>36866.0</v>
      </c>
      <c r="G866" s="391">
        <v>1488.0</v>
      </c>
      <c r="H866" s="391">
        <v>4.04</v>
      </c>
      <c r="I866" s="391">
        <v>4.63</v>
      </c>
      <c r="J866" s="391">
        <v>3.95</v>
      </c>
      <c r="K866" s="391">
        <v>46680.0</v>
      </c>
      <c r="L866" s="391">
        <v>1007455.0</v>
      </c>
      <c r="M866" s="391">
        <v>1.2662</v>
      </c>
      <c r="N866" s="38">
        <v>31.371</v>
      </c>
    </row>
    <row r="867">
      <c r="A867" s="389" t="s">
        <v>1970</v>
      </c>
      <c r="B867" s="389" t="s">
        <v>137</v>
      </c>
      <c r="C867" s="389" t="s">
        <v>358</v>
      </c>
      <c r="D867" s="389" t="s">
        <v>1968</v>
      </c>
      <c r="E867" s="390" t="s">
        <v>371</v>
      </c>
      <c r="F867" s="391">
        <v>36866.0</v>
      </c>
      <c r="G867" s="391">
        <v>174.0</v>
      </c>
      <c r="H867" s="391">
        <v>0.47</v>
      </c>
      <c r="I867" s="391">
        <v>0.18</v>
      </c>
      <c r="J867" s="391">
        <v>0.46</v>
      </c>
      <c r="K867" s="391">
        <v>1800.0</v>
      </c>
      <c r="L867" s="391">
        <v>1007455.0</v>
      </c>
      <c r="M867" s="391">
        <v>0.0488</v>
      </c>
      <c r="N867" s="38">
        <v>10.3448</v>
      </c>
    </row>
    <row r="868">
      <c r="A868" s="389" t="s">
        <v>1970</v>
      </c>
      <c r="B868" s="389" t="s">
        <v>137</v>
      </c>
      <c r="C868" s="389" t="s">
        <v>358</v>
      </c>
      <c r="D868" s="389" t="s">
        <v>1968</v>
      </c>
      <c r="E868" s="390" t="s">
        <v>30</v>
      </c>
      <c r="F868" s="391">
        <v>36866.0</v>
      </c>
      <c r="G868" s="391">
        <v>63.0</v>
      </c>
      <c r="H868" s="391">
        <v>0.17</v>
      </c>
      <c r="I868" s="391">
        <v>0.09</v>
      </c>
      <c r="J868" s="391">
        <v>0.1</v>
      </c>
      <c r="K868" s="391">
        <v>945.0</v>
      </c>
      <c r="L868" s="391">
        <v>1007455.0</v>
      </c>
      <c r="M868" s="391">
        <v>0.0256</v>
      </c>
      <c r="N868" s="38">
        <v>15.0</v>
      </c>
    </row>
    <row r="869">
      <c r="A869" s="389" t="s">
        <v>1970</v>
      </c>
      <c r="B869" s="389" t="s">
        <v>137</v>
      </c>
      <c r="C869" s="389" t="s">
        <v>358</v>
      </c>
      <c r="D869" s="389" t="s">
        <v>1968</v>
      </c>
      <c r="E869" s="390" t="s">
        <v>367</v>
      </c>
      <c r="F869" s="391">
        <v>36866.0</v>
      </c>
      <c r="G869" s="391">
        <v>1.0</v>
      </c>
      <c r="H869" s="391">
        <v>0.0</v>
      </c>
      <c r="I869" s="391">
        <v>0.0</v>
      </c>
      <c r="J869" s="391">
        <v>0.0</v>
      </c>
      <c r="K869" s="391">
        <v>10.0</v>
      </c>
      <c r="L869" s="391">
        <v>1007455.0</v>
      </c>
      <c r="M869" s="391">
        <v>3.0E-4</v>
      </c>
      <c r="N869" s="38">
        <v>10.0</v>
      </c>
    </row>
    <row r="870">
      <c r="A870" s="389" t="s">
        <v>1970</v>
      </c>
      <c r="B870" s="389" t="s">
        <v>137</v>
      </c>
      <c r="C870" s="389" t="s">
        <v>359</v>
      </c>
      <c r="D870" s="389" t="s">
        <v>1968</v>
      </c>
      <c r="E870" s="390" t="s">
        <v>371</v>
      </c>
      <c r="F870" s="391">
        <v>105135.0</v>
      </c>
      <c r="G870" s="391">
        <v>70953.0</v>
      </c>
      <c r="H870" s="391">
        <v>67.49</v>
      </c>
      <c r="I870" s="391">
        <v>34.89</v>
      </c>
      <c r="J870" s="391">
        <v>45.61</v>
      </c>
      <c r="K870" s="391">
        <v>1229925.0</v>
      </c>
      <c r="L870" s="391">
        <v>3524810.0</v>
      </c>
      <c r="M870" s="391">
        <v>11.6985</v>
      </c>
      <c r="N870" s="38">
        <v>17.3344</v>
      </c>
    </row>
    <row r="871">
      <c r="A871" s="389" t="s">
        <v>1970</v>
      </c>
      <c r="B871" s="389" t="s">
        <v>137</v>
      </c>
      <c r="C871" s="389" t="s">
        <v>359</v>
      </c>
      <c r="D871" s="389" t="s">
        <v>1968</v>
      </c>
      <c r="E871" s="390" t="s">
        <v>366</v>
      </c>
      <c r="F871" s="391">
        <v>105135.0</v>
      </c>
      <c r="G871" s="391">
        <v>16055.0</v>
      </c>
      <c r="H871" s="391">
        <v>15.27</v>
      </c>
      <c r="I871" s="391">
        <v>28.05</v>
      </c>
      <c r="J871" s="391">
        <v>10.63</v>
      </c>
      <c r="K871" s="391">
        <v>988620.0</v>
      </c>
      <c r="L871" s="391">
        <v>3524810.0</v>
      </c>
      <c r="M871" s="391">
        <v>9.4033</v>
      </c>
      <c r="N871" s="38">
        <v>61.5771</v>
      </c>
    </row>
    <row r="872">
      <c r="A872" s="389" t="s">
        <v>1970</v>
      </c>
      <c r="B872" s="389" t="s">
        <v>137</v>
      </c>
      <c r="C872" s="389" t="s">
        <v>359</v>
      </c>
      <c r="D872" s="389" t="s">
        <v>1968</v>
      </c>
      <c r="E872" s="390" t="s">
        <v>368</v>
      </c>
      <c r="F872" s="391">
        <v>105135.0</v>
      </c>
      <c r="G872" s="391">
        <v>57729.0</v>
      </c>
      <c r="H872" s="391">
        <v>54.91</v>
      </c>
      <c r="I872" s="391">
        <v>22.78</v>
      </c>
      <c r="J872" s="391">
        <v>27.57</v>
      </c>
      <c r="K872" s="391">
        <v>803095.0</v>
      </c>
      <c r="L872" s="391">
        <v>3524810.0</v>
      </c>
      <c r="M872" s="391">
        <v>7.6387</v>
      </c>
      <c r="N872" s="38">
        <v>13.9115</v>
      </c>
    </row>
    <row r="873">
      <c r="A873" s="389" t="s">
        <v>1970</v>
      </c>
      <c r="B873" s="389" t="s">
        <v>137</v>
      </c>
      <c r="C873" s="389" t="s">
        <v>359</v>
      </c>
      <c r="D873" s="389" t="s">
        <v>1968</v>
      </c>
      <c r="E873" s="390" t="s">
        <v>163</v>
      </c>
      <c r="F873" s="391">
        <v>105135.0</v>
      </c>
      <c r="G873" s="391">
        <v>25971.0</v>
      </c>
      <c r="H873" s="391">
        <v>24.7</v>
      </c>
      <c r="I873" s="391">
        <v>7.47</v>
      </c>
      <c r="J873" s="391">
        <v>9.47</v>
      </c>
      <c r="K873" s="391">
        <v>263290.0</v>
      </c>
      <c r="L873" s="391">
        <v>3524810.0</v>
      </c>
      <c r="M873" s="391">
        <v>2.5043</v>
      </c>
      <c r="N873" s="38">
        <v>10.1378</v>
      </c>
    </row>
    <row r="874">
      <c r="A874" s="389" t="s">
        <v>1970</v>
      </c>
      <c r="B874" s="389" t="s">
        <v>137</v>
      </c>
      <c r="C874" s="389" t="s">
        <v>359</v>
      </c>
      <c r="D874" s="389" t="s">
        <v>1968</v>
      </c>
      <c r="E874" s="390" t="s">
        <v>108</v>
      </c>
      <c r="F874" s="391">
        <v>105135.0</v>
      </c>
      <c r="G874" s="391">
        <v>11493.0</v>
      </c>
      <c r="H874" s="391">
        <v>10.93</v>
      </c>
      <c r="I874" s="391">
        <v>4.55</v>
      </c>
      <c r="J874" s="391">
        <v>4.67</v>
      </c>
      <c r="K874" s="391">
        <v>160230.0</v>
      </c>
      <c r="L874" s="391">
        <v>3524810.0</v>
      </c>
      <c r="M874" s="391">
        <v>1.524</v>
      </c>
      <c r="N874" s="38">
        <v>13.9415</v>
      </c>
    </row>
    <row r="875">
      <c r="A875" s="389" t="s">
        <v>1970</v>
      </c>
      <c r="B875" s="389" t="s">
        <v>137</v>
      </c>
      <c r="C875" s="389" t="s">
        <v>359</v>
      </c>
      <c r="D875" s="389" t="s">
        <v>1968</v>
      </c>
      <c r="E875" s="390" t="s">
        <v>369</v>
      </c>
      <c r="F875" s="391">
        <v>105135.0</v>
      </c>
      <c r="G875" s="391">
        <v>1491.0</v>
      </c>
      <c r="H875" s="391">
        <v>1.42</v>
      </c>
      <c r="I875" s="391">
        <v>1.32</v>
      </c>
      <c r="J875" s="391">
        <v>1.05</v>
      </c>
      <c r="K875" s="391">
        <v>46645.0</v>
      </c>
      <c r="L875" s="391">
        <v>3524810.0</v>
      </c>
      <c r="M875" s="391">
        <v>0.4437</v>
      </c>
      <c r="N875" s="38">
        <v>31.2844</v>
      </c>
    </row>
    <row r="876">
      <c r="A876" s="389" t="s">
        <v>1970</v>
      </c>
      <c r="B876" s="389" t="s">
        <v>137</v>
      </c>
      <c r="C876" s="389" t="s">
        <v>359</v>
      </c>
      <c r="D876" s="389" t="s">
        <v>1968</v>
      </c>
      <c r="E876" s="390" t="s">
        <v>39</v>
      </c>
      <c r="F876" s="391">
        <v>105135.0</v>
      </c>
      <c r="G876" s="391">
        <v>1831.0</v>
      </c>
      <c r="H876" s="391">
        <v>1.74</v>
      </c>
      <c r="I876" s="391">
        <v>0.63</v>
      </c>
      <c r="J876" s="391">
        <v>0.74</v>
      </c>
      <c r="K876" s="391">
        <v>22110.0</v>
      </c>
      <c r="L876" s="391">
        <v>3524810.0</v>
      </c>
      <c r="M876" s="391">
        <v>0.2103</v>
      </c>
      <c r="N876" s="38">
        <v>12.0754</v>
      </c>
    </row>
    <row r="877">
      <c r="A877" s="389" t="s">
        <v>1970</v>
      </c>
      <c r="B877" s="389" t="s">
        <v>137</v>
      </c>
      <c r="C877" s="389" t="s">
        <v>359</v>
      </c>
      <c r="D877" s="389" t="s">
        <v>1968</v>
      </c>
      <c r="E877" s="390" t="s">
        <v>30</v>
      </c>
      <c r="F877" s="391">
        <v>105135.0</v>
      </c>
      <c r="G877" s="391">
        <v>717.0</v>
      </c>
      <c r="H877" s="391">
        <v>0.68</v>
      </c>
      <c r="I877" s="391">
        <v>0.31</v>
      </c>
      <c r="J877" s="391">
        <v>0.26</v>
      </c>
      <c r="K877" s="391">
        <v>10800.0</v>
      </c>
      <c r="L877" s="391">
        <v>3524810.0</v>
      </c>
      <c r="M877" s="391">
        <v>0.1027</v>
      </c>
      <c r="N877" s="38">
        <v>15.0628</v>
      </c>
    </row>
    <row r="878">
      <c r="A878" s="389" t="s">
        <v>1970</v>
      </c>
      <c r="B878" s="389" t="s">
        <v>137</v>
      </c>
      <c r="C878" s="389" t="s">
        <v>359</v>
      </c>
      <c r="D878" s="389" t="s">
        <v>1968</v>
      </c>
      <c r="E878" s="390" t="s">
        <v>370</v>
      </c>
      <c r="F878" s="391">
        <v>105135.0</v>
      </c>
      <c r="G878" s="391">
        <v>1.0</v>
      </c>
      <c r="H878" s="391">
        <v>0.0</v>
      </c>
      <c r="I878" s="391">
        <v>0.0</v>
      </c>
      <c r="J878" s="391">
        <v>0.0</v>
      </c>
      <c r="K878" s="391">
        <v>15.0</v>
      </c>
      <c r="L878" s="391">
        <v>3524810.0</v>
      </c>
      <c r="M878" s="391">
        <v>1.0E-4</v>
      </c>
      <c r="N878" s="38">
        <v>15.0</v>
      </c>
    </row>
    <row r="879">
      <c r="A879" s="389" t="s">
        <v>1970</v>
      </c>
      <c r="B879" s="389" t="s">
        <v>137</v>
      </c>
      <c r="C879" s="389" t="s">
        <v>359</v>
      </c>
      <c r="D879" s="389" t="s">
        <v>1968</v>
      </c>
      <c r="E879" s="390" t="s">
        <v>37</v>
      </c>
      <c r="F879" s="391">
        <v>105135.0</v>
      </c>
      <c r="G879" s="391">
        <v>1.0</v>
      </c>
      <c r="H879" s="391">
        <v>0.0</v>
      </c>
      <c r="I879" s="391">
        <v>0.0</v>
      </c>
      <c r="J879" s="391">
        <v>0.0</v>
      </c>
      <c r="K879" s="391">
        <v>15.0</v>
      </c>
      <c r="L879" s="391">
        <v>3524810.0</v>
      </c>
      <c r="M879" s="391">
        <v>1.0E-4</v>
      </c>
      <c r="N879" s="38">
        <v>15.0</v>
      </c>
    </row>
    <row r="880">
      <c r="A880" s="389" t="s">
        <v>1970</v>
      </c>
      <c r="B880" s="389" t="s">
        <v>137</v>
      </c>
      <c r="C880" s="389" t="s">
        <v>359</v>
      </c>
      <c r="D880" s="389" t="s">
        <v>1968</v>
      </c>
      <c r="E880" s="390" t="s">
        <v>367</v>
      </c>
      <c r="F880" s="391">
        <v>105135.0</v>
      </c>
      <c r="G880" s="391">
        <v>5.0</v>
      </c>
      <c r="H880" s="391">
        <v>0.0</v>
      </c>
      <c r="I880" s="391">
        <v>0.0</v>
      </c>
      <c r="J880" s="391">
        <v>0.0</v>
      </c>
      <c r="K880" s="391">
        <v>50.0</v>
      </c>
      <c r="L880" s="391">
        <v>3524810.0</v>
      </c>
      <c r="M880" s="391">
        <v>5.0E-4</v>
      </c>
      <c r="N880" s="38">
        <v>10.0</v>
      </c>
    </row>
    <row r="881">
      <c r="A881" s="389" t="s">
        <v>1970</v>
      </c>
      <c r="B881" s="389" t="s">
        <v>137</v>
      </c>
      <c r="C881" s="389" t="s">
        <v>359</v>
      </c>
      <c r="D881" s="389" t="s">
        <v>1968</v>
      </c>
      <c r="E881" s="390" t="s">
        <v>41</v>
      </c>
      <c r="F881" s="391">
        <v>105135.0</v>
      </c>
      <c r="G881" s="391">
        <v>1.0</v>
      </c>
      <c r="H881" s="391">
        <v>0.0</v>
      </c>
      <c r="I881" s="391">
        <v>0.0</v>
      </c>
      <c r="J881" s="391">
        <v>0.0</v>
      </c>
      <c r="K881" s="391">
        <v>15.0</v>
      </c>
      <c r="L881" s="391">
        <v>3524810.0</v>
      </c>
      <c r="M881" s="391">
        <v>1.0E-4</v>
      </c>
      <c r="N881" s="38">
        <v>15.0</v>
      </c>
    </row>
    <row r="882">
      <c r="A882" s="389" t="s">
        <v>1970</v>
      </c>
      <c r="B882" s="389" t="s">
        <v>137</v>
      </c>
      <c r="C882" s="389" t="s">
        <v>360</v>
      </c>
      <c r="D882" s="389" t="s">
        <v>1968</v>
      </c>
      <c r="E882" s="390" t="s">
        <v>371</v>
      </c>
      <c r="F882" s="391">
        <v>118686.0</v>
      </c>
      <c r="G882" s="391">
        <v>96240.0</v>
      </c>
      <c r="H882" s="391">
        <v>81.09</v>
      </c>
      <c r="I882" s="391">
        <v>43.75</v>
      </c>
      <c r="J882" s="391">
        <v>54.4</v>
      </c>
      <c r="K882" s="391">
        <v>1937390.0</v>
      </c>
      <c r="L882" s="391">
        <v>4428370.0</v>
      </c>
      <c r="M882" s="391">
        <v>16.3237</v>
      </c>
      <c r="N882" s="38">
        <v>20.1308</v>
      </c>
    </row>
    <row r="883">
      <c r="A883" s="389" t="s">
        <v>1970</v>
      </c>
      <c r="B883" s="389" t="s">
        <v>137</v>
      </c>
      <c r="C883" s="389" t="s">
        <v>360</v>
      </c>
      <c r="D883" s="389" t="s">
        <v>1968</v>
      </c>
      <c r="E883" s="390" t="s">
        <v>366</v>
      </c>
      <c r="F883" s="391">
        <v>118686.0</v>
      </c>
      <c r="G883" s="391">
        <v>14950.0</v>
      </c>
      <c r="H883" s="391">
        <v>12.6</v>
      </c>
      <c r="I883" s="391">
        <v>20.78</v>
      </c>
      <c r="J883" s="391">
        <v>7.58</v>
      </c>
      <c r="K883" s="391">
        <v>920235.0</v>
      </c>
      <c r="L883" s="391">
        <v>4428370.0</v>
      </c>
      <c r="M883" s="391">
        <v>7.7535</v>
      </c>
      <c r="N883" s="38">
        <v>61.5542</v>
      </c>
    </row>
    <row r="884">
      <c r="A884" s="389" t="s">
        <v>1970</v>
      </c>
      <c r="B884" s="389" t="s">
        <v>137</v>
      </c>
      <c r="C884" s="389" t="s">
        <v>360</v>
      </c>
      <c r="D884" s="389" t="s">
        <v>1968</v>
      </c>
      <c r="E884" s="390" t="s">
        <v>368</v>
      </c>
      <c r="F884" s="391">
        <v>118686.0</v>
      </c>
      <c r="G884" s="391">
        <v>65277.0</v>
      </c>
      <c r="H884" s="391">
        <v>55.0</v>
      </c>
      <c r="I884" s="391">
        <v>20.47</v>
      </c>
      <c r="J884" s="391">
        <v>23.57</v>
      </c>
      <c r="K884" s="391">
        <v>906430.0</v>
      </c>
      <c r="L884" s="391">
        <v>4428370.0</v>
      </c>
      <c r="M884" s="391">
        <v>7.6372</v>
      </c>
      <c r="N884" s="38">
        <v>13.8859</v>
      </c>
    </row>
    <row r="885">
      <c r="A885" s="389" t="s">
        <v>1970</v>
      </c>
      <c r="B885" s="389" t="s">
        <v>137</v>
      </c>
      <c r="C885" s="389" t="s">
        <v>360</v>
      </c>
      <c r="D885" s="389" t="s">
        <v>1968</v>
      </c>
      <c r="E885" s="390" t="s">
        <v>163</v>
      </c>
      <c r="F885" s="391">
        <v>118686.0</v>
      </c>
      <c r="G885" s="391">
        <v>30496.0</v>
      </c>
      <c r="H885" s="391">
        <v>25.69</v>
      </c>
      <c r="I885" s="391">
        <v>7.07</v>
      </c>
      <c r="J885" s="391">
        <v>8.2</v>
      </c>
      <c r="K885" s="391">
        <v>313060.0</v>
      </c>
      <c r="L885" s="391">
        <v>4428370.0</v>
      </c>
      <c r="M885" s="391">
        <v>2.6377</v>
      </c>
      <c r="N885" s="38">
        <v>10.2656</v>
      </c>
    </row>
    <row r="886">
      <c r="A886" s="389" t="s">
        <v>1970</v>
      </c>
      <c r="B886" s="389" t="s">
        <v>137</v>
      </c>
      <c r="C886" s="389" t="s">
        <v>360</v>
      </c>
      <c r="D886" s="389" t="s">
        <v>1968</v>
      </c>
      <c r="E886" s="390" t="s">
        <v>108</v>
      </c>
      <c r="F886" s="391">
        <v>118686.0</v>
      </c>
      <c r="G886" s="391">
        <v>7536.0</v>
      </c>
      <c r="H886" s="391">
        <v>6.35</v>
      </c>
      <c r="I886" s="391">
        <v>2.89</v>
      </c>
      <c r="J886" s="391">
        <v>2.12</v>
      </c>
      <c r="K886" s="391">
        <v>127800.0</v>
      </c>
      <c r="L886" s="391">
        <v>4428370.0</v>
      </c>
      <c r="M886" s="391">
        <v>1.0768</v>
      </c>
      <c r="N886" s="38">
        <v>16.9586</v>
      </c>
    </row>
    <row r="887">
      <c r="A887" s="389" t="s">
        <v>1970</v>
      </c>
      <c r="B887" s="389" t="s">
        <v>137</v>
      </c>
      <c r="C887" s="389" t="s">
        <v>360</v>
      </c>
      <c r="D887" s="389" t="s">
        <v>1968</v>
      </c>
      <c r="E887" s="390" t="s">
        <v>39</v>
      </c>
      <c r="F887" s="391">
        <v>118686.0</v>
      </c>
      <c r="G887" s="391">
        <v>8597.0</v>
      </c>
      <c r="H887" s="391">
        <v>7.24</v>
      </c>
      <c r="I887" s="391">
        <v>2.3</v>
      </c>
      <c r="J887" s="391">
        <v>1.99</v>
      </c>
      <c r="K887" s="391">
        <v>101950.0</v>
      </c>
      <c r="L887" s="391">
        <v>4428370.0</v>
      </c>
      <c r="M887" s="391">
        <v>0.859</v>
      </c>
      <c r="N887" s="38">
        <v>11.8588</v>
      </c>
    </row>
    <row r="888">
      <c r="A888" s="389" t="s">
        <v>1970</v>
      </c>
      <c r="B888" s="389" t="s">
        <v>137</v>
      </c>
      <c r="C888" s="389" t="s">
        <v>360</v>
      </c>
      <c r="D888" s="389" t="s">
        <v>1968</v>
      </c>
      <c r="E888" s="390" t="s">
        <v>30</v>
      </c>
      <c r="F888" s="391">
        <v>118686.0</v>
      </c>
      <c r="G888" s="391">
        <v>4906.0</v>
      </c>
      <c r="H888" s="391">
        <v>4.13</v>
      </c>
      <c r="I888" s="391">
        <v>1.68</v>
      </c>
      <c r="J888" s="391">
        <v>1.24</v>
      </c>
      <c r="K888" s="391">
        <v>74475.0</v>
      </c>
      <c r="L888" s="391">
        <v>4428370.0</v>
      </c>
      <c r="M888" s="391">
        <v>0.6275</v>
      </c>
      <c r="N888" s="38">
        <v>15.1804</v>
      </c>
    </row>
    <row r="889">
      <c r="A889" s="389" t="s">
        <v>1970</v>
      </c>
      <c r="B889" s="389" t="s">
        <v>137</v>
      </c>
      <c r="C889" s="389" t="s">
        <v>360</v>
      </c>
      <c r="D889" s="389" t="s">
        <v>1968</v>
      </c>
      <c r="E889" s="390" t="s">
        <v>369</v>
      </c>
      <c r="F889" s="391">
        <v>118686.0</v>
      </c>
      <c r="G889" s="391">
        <v>1496.0</v>
      </c>
      <c r="H889" s="391">
        <v>1.26</v>
      </c>
      <c r="I889" s="391">
        <v>1.06</v>
      </c>
      <c r="J889" s="391">
        <v>0.89</v>
      </c>
      <c r="K889" s="391">
        <v>46825.0</v>
      </c>
      <c r="L889" s="391">
        <v>4428370.0</v>
      </c>
      <c r="M889" s="391">
        <v>0.3945</v>
      </c>
      <c r="N889" s="38">
        <v>31.3001</v>
      </c>
    </row>
    <row r="890">
      <c r="A890" s="389" t="s">
        <v>1970</v>
      </c>
      <c r="B890" s="389" t="s">
        <v>137</v>
      </c>
      <c r="C890" s="389" t="s">
        <v>360</v>
      </c>
      <c r="D890" s="389" t="s">
        <v>1968</v>
      </c>
      <c r="E890" s="390" t="s">
        <v>372</v>
      </c>
      <c r="F890" s="391">
        <v>118686.0</v>
      </c>
      <c r="G890" s="391">
        <v>12.0</v>
      </c>
      <c r="H890" s="391">
        <v>0.01</v>
      </c>
      <c r="I890" s="391">
        <v>0.0</v>
      </c>
      <c r="J890" s="391">
        <v>0.0</v>
      </c>
      <c r="K890" s="391">
        <v>120.0</v>
      </c>
      <c r="L890" s="391">
        <v>4428370.0</v>
      </c>
      <c r="M890" s="391">
        <v>0.001</v>
      </c>
      <c r="N890" s="38">
        <v>10.0</v>
      </c>
    </row>
    <row r="891">
      <c r="A891" s="389" t="s">
        <v>1970</v>
      </c>
      <c r="B891" s="389" t="s">
        <v>137</v>
      </c>
      <c r="C891" s="389" t="s">
        <v>360</v>
      </c>
      <c r="D891" s="389" t="s">
        <v>1968</v>
      </c>
      <c r="E891" s="390" t="s">
        <v>37</v>
      </c>
      <c r="F891" s="391">
        <v>118686.0</v>
      </c>
      <c r="G891" s="391">
        <v>2.0</v>
      </c>
      <c r="H891" s="391">
        <v>0.0</v>
      </c>
      <c r="I891" s="391">
        <v>0.0</v>
      </c>
      <c r="J891" s="391">
        <v>0.0</v>
      </c>
      <c r="K891" s="391">
        <v>30.0</v>
      </c>
      <c r="L891" s="391">
        <v>4428370.0</v>
      </c>
      <c r="M891" s="391">
        <v>3.0E-4</v>
      </c>
      <c r="N891" s="38">
        <v>15.0</v>
      </c>
    </row>
    <row r="892">
      <c r="A892" s="389" t="s">
        <v>1970</v>
      </c>
      <c r="B892" s="389" t="s">
        <v>137</v>
      </c>
      <c r="C892" s="389" t="s">
        <v>360</v>
      </c>
      <c r="D892" s="389" t="s">
        <v>1968</v>
      </c>
      <c r="E892" s="390" t="s">
        <v>370</v>
      </c>
      <c r="F892" s="391">
        <v>118686.0</v>
      </c>
      <c r="G892" s="391">
        <v>3.0</v>
      </c>
      <c r="H892" s="391">
        <v>0.0</v>
      </c>
      <c r="I892" s="391">
        <v>0.0</v>
      </c>
      <c r="J892" s="391">
        <v>0.0</v>
      </c>
      <c r="K892" s="391">
        <v>45.0</v>
      </c>
      <c r="L892" s="391">
        <v>4428370.0</v>
      </c>
      <c r="M892" s="391">
        <v>4.0E-4</v>
      </c>
      <c r="N892" s="38">
        <v>15.0</v>
      </c>
    </row>
    <row r="893">
      <c r="A893" s="389" t="s">
        <v>1970</v>
      </c>
      <c r="B893" s="389" t="s">
        <v>137</v>
      </c>
      <c r="C893" s="389" t="s">
        <v>360</v>
      </c>
      <c r="D893" s="389" t="s">
        <v>1968</v>
      </c>
      <c r="E893" s="390" t="s">
        <v>367</v>
      </c>
      <c r="F893" s="391">
        <v>118686.0</v>
      </c>
      <c r="G893" s="391">
        <v>1.0</v>
      </c>
      <c r="H893" s="391">
        <v>0.0</v>
      </c>
      <c r="I893" s="391">
        <v>0.0</v>
      </c>
      <c r="J893" s="391">
        <v>0.0</v>
      </c>
      <c r="K893" s="391">
        <v>10.0</v>
      </c>
      <c r="L893" s="391">
        <v>4428370.0</v>
      </c>
      <c r="M893" s="391">
        <v>1.0E-4</v>
      </c>
      <c r="N893" s="38">
        <v>10.0</v>
      </c>
    </row>
    <row r="894">
      <c r="A894" s="389" t="s">
        <v>1970</v>
      </c>
      <c r="B894" s="389" t="s">
        <v>137</v>
      </c>
      <c r="C894" s="389" t="s">
        <v>12</v>
      </c>
      <c r="D894" s="389" t="s">
        <v>1968</v>
      </c>
      <c r="E894" s="390" t="s">
        <v>44</v>
      </c>
      <c r="F894" s="391">
        <v>150674.0</v>
      </c>
      <c r="G894" s="391">
        <v>90816.0</v>
      </c>
      <c r="H894" s="391">
        <v>60.27</v>
      </c>
      <c r="I894" s="391">
        <v>21.44</v>
      </c>
      <c r="J894" s="391">
        <v>18.17</v>
      </c>
      <c r="K894" s="391">
        <v>1.850742E7</v>
      </c>
      <c r="L894" s="391">
        <v>8.6314885E7</v>
      </c>
      <c r="M894" s="391">
        <v>122.8309</v>
      </c>
      <c r="N894" s="38">
        <v>203.7903</v>
      </c>
    </row>
    <row r="895">
      <c r="A895" s="389" t="s">
        <v>1970</v>
      </c>
      <c r="B895" s="389" t="s">
        <v>137</v>
      </c>
      <c r="C895" s="389" t="s">
        <v>12</v>
      </c>
      <c r="D895" s="389" t="s">
        <v>1968</v>
      </c>
      <c r="E895" s="390" t="s">
        <v>370</v>
      </c>
      <c r="F895" s="391">
        <v>150674.0</v>
      </c>
      <c r="G895" s="391">
        <v>133533.0</v>
      </c>
      <c r="H895" s="391">
        <v>88.62</v>
      </c>
      <c r="I895" s="391">
        <v>20.68</v>
      </c>
      <c r="J895" s="391">
        <v>21.73</v>
      </c>
      <c r="K895" s="391">
        <v>1.7848485E7</v>
      </c>
      <c r="L895" s="391">
        <v>8.6314885E7</v>
      </c>
      <c r="M895" s="391">
        <v>118.4576</v>
      </c>
      <c r="N895" s="38">
        <v>133.6635</v>
      </c>
    </row>
    <row r="896">
      <c r="A896" s="389" t="s">
        <v>1970</v>
      </c>
      <c r="B896" s="389" t="s">
        <v>137</v>
      </c>
      <c r="C896" s="389" t="s">
        <v>12</v>
      </c>
      <c r="D896" s="389" t="s">
        <v>1968</v>
      </c>
      <c r="E896" s="390" t="s">
        <v>366</v>
      </c>
      <c r="F896" s="391">
        <v>150674.0</v>
      </c>
      <c r="G896" s="391">
        <v>114709.0</v>
      </c>
      <c r="H896" s="391">
        <v>76.13</v>
      </c>
      <c r="I896" s="391">
        <v>17.33</v>
      </c>
      <c r="J896" s="391">
        <v>15.05</v>
      </c>
      <c r="K896" s="391">
        <v>1.4955195E7</v>
      </c>
      <c r="L896" s="391">
        <v>8.6314885E7</v>
      </c>
      <c r="M896" s="391">
        <v>99.2553</v>
      </c>
      <c r="N896" s="38">
        <v>130.3751</v>
      </c>
    </row>
    <row r="897">
      <c r="A897" s="389" t="s">
        <v>1970</v>
      </c>
      <c r="B897" s="389" t="s">
        <v>137</v>
      </c>
      <c r="C897" s="389" t="s">
        <v>12</v>
      </c>
      <c r="D897" s="389" t="s">
        <v>1968</v>
      </c>
      <c r="E897" s="390" t="s">
        <v>39</v>
      </c>
      <c r="F897" s="391">
        <v>150674.0</v>
      </c>
      <c r="G897" s="391">
        <v>84931.0</v>
      </c>
      <c r="H897" s="391">
        <v>56.37</v>
      </c>
      <c r="I897" s="391">
        <v>11.49</v>
      </c>
      <c r="J897" s="391">
        <v>11.88</v>
      </c>
      <c r="K897" s="391">
        <v>9913770.0</v>
      </c>
      <c r="L897" s="391">
        <v>8.6314885E7</v>
      </c>
      <c r="M897" s="391">
        <v>65.7962</v>
      </c>
      <c r="N897" s="38">
        <v>116.7273</v>
      </c>
    </row>
    <row r="898">
      <c r="A898" s="389" t="s">
        <v>1970</v>
      </c>
      <c r="B898" s="389" t="s">
        <v>137</v>
      </c>
      <c r="C898" s="389" t="s">
        <v>12</v>
      </c>
      <c r="D898" s="389" t="s">
        <v>1968</v>
      </c>
      <c r="E898" s="390" t="s">
        <v>371</v>
      </c>
      <c r="F898" s="391">
        <v>150674.0</v>
      </c>
      <c r="G898" s="391">
        <v>101373.0</v>
      </c>
      <c r="H898" s="391">
        <v>67.28</v>
      </c>
      <c r="I898" s="391">
        <v>11.17</v>
      </c>
      <c r="J898" s="391">
        <v>15.5</v>
      </c>
      <c r="K898" s="391">
        <v>9638905.0</v>
      </c>
      <c r="L898" s="391">
        <v>8.6314885E7</v>
      </c>
      <c r="M898" s="391">
        <v>63.9719</v>
      </c>
      <c r="N898" s="38">
        <v>95.0836</v>
      </c>
    </row>
    <row r="899">
      <c r="A899" s="389" t="s">
        <v>1970</v>
      </c>
      <c r="B899" s="389" t="s">
        <v>137</v>
      </c>
      <c r="C899" s="389" t="s">
        <v>12</v>
      </c>
      <c r="D899" s="389" t="s">
        <v>1968</v>
      </c>
      <c r="E899" s="390" t="s">
        <v>365</v>
      </c>
      <c r="F899" s="391">
        <v>150674.0</v>
      </c>
      <c r="G899" s="391">
        <v>64169.0</v>
      </c>
      <c r="H899" s="391">
        <v>42.59</v>
      </c>
      <c r="I899" s="391">
        <v>4.45</v>
      </c>
      <c r="J899" s="391">
        <v>4.97</v>
      </c>
      <c r="K899" s="391">
        <v>3843810.0</v>
      </c>
      <c r="L899" s="391">
        <v>8.6314885E7</v>
      </c>
      <c r="M899" s="391">
        <v>25.5108</v>
      </c>
      <c r="N899" s="38">
        <v>59.9014</v>
      </c>
    </row>
    <row r="900">
      <c r="A900" s="389" t="s">
        <v>1970</v>
      </c>
      <c r="B900" s="389" t="s">
        <v>137</v>
      </c>
      <c r="C900" s="389" t="s">
        <v>12</v>
      </c>
      <c r="D900" s="389" t="s">
        <v>1968</v>
      </c>
      <c r="E900" s="390" t="s">
        <v>367</v>
      </c>
      <c r="F900" s="391">
        <v>150674.0</v>
      </c>
      <c r="G900" s="391">
        <v>56743.0</v>
      </c>
      <c r="H900" s="391">
        <v>37.66</v>
      </c>
      <c r="I900" s="391">
        <v>4.36</v>
      </c>
      <c r="J900" s="391">
        <v>4.27</v>
      </c>
      <c r="K900" s="391">
        <v>3763070.0</v>
      </c>
      <c r="L900" s="391">
        <v>8.6314885E7</v>
      </c>
      <c r="M900" s="391">
        <v>24.9749</v>
      </c>
      <c r="N900" s="38">
        <v>66.3178</v>
      </c>
    </row>
    <row r="901">
      <c r="A901" s="389" t="s">
        <v>1970</v>
      </c>
      <c r="B901" s="389" t="s">
        <v>137</v>
      </c>
      <c r="C901" s="389" t="s">
        <v>12</v>
      </c>
      <c r="D901" s="389" t="s">
        <v>1968</v>
      </c>
      <c r="E901" s="390" t="s">
        <v>368</v>
      </c>
      <c r="F901" s="391">
        <v>150674.0</v>
      </c>
      <c r="G901" s="391">
        <v>48539.0</v>
      </c>
      <c r="H901" s="391">
        <v>32.21</v>
      </c>
      <c r="I901" s="391">
        <v>2.88</v>
      </c>
      <c r="J901" s="391">
        <v>2.4</v>
      </c>
      <c r="K901" s="391">
        <v>2484405.0</v>
      </c>
      <c r="L901" s="391">
        <v>8.6314885E7</v>
      </c>
      <c r="M901" s="391">
        <v>16.4886</v>
      </c>
      <c r="N901" s="38">
        <v>51.1837</v>
      </c>
    </row>
    <row r="902">
      <c r="A902" s="389" t="s">
        <v>1970</v>
      </c>
      <c r="B902" s="389" t="s">
        <v>137</v>
      </c>
      <c r="C902" s="389" t="s">
        <v>12</v>
      </c>
      <c r="D902" s="389" t="s">
        <v>1968</v>
      </c>
      <c r="E902" s="390" t="s">
        <v>38</v>
      </c>
      <c r="F902" s="391">
        <v>150674.0</v>
      </c>
      <c r="G902" s="391">
        <v>47965.0</v>
      </c>
      <c r="H902" s="391">
        <v>31.83</v>
      </c>
      <c r="I902" s="391">
        <v>2.21</v>
      </c>
      <c r="J902" s="391">
        <v>2.62</v>
      </c>
      <c r="K902" s="391">
        <v>1907960.0</v>
      </c>
      <c r="L902" s="391">
        <v>8.6314885E7</v>
      </c>
      <c r="M902" s="391">
        <v>12.6628</v>
      </c>
      <c r="N902" s="38">
        <v>39.7782</v>
      </c>
    </row>
    <row r="903">
      <c r="A903" s="389" t="s">
        <v>1970</v>
      </c>
      <c r="B903" s="389" t="s">
        <v>137</v>
      </c>
      <c r="C903" s="389" t="s">
        <v>12</v>
      </c>
      <c r="D903" s="389" t="s">
        <v>1968</v>
      </c>
      <c r="E903" s="390" t="s">
        <v>363</v>
      </c>
      <c r="F903" s="391">
        <v>150674.0</v>
      </c>
      <c r="G903" s="391">
        <v>29173.0</v>
      </c>
      <c r="H903" s="391">
        <v>19.36</v>
      </c>
      <c r="I903" s="391">
        <v>1.39</v>
      </c>
      <c r="J903" s="391">
        <v>0.94</v>
      </c>
      <c r="K903" s="391">
        <v>1200515.0</v>
      </c>
      <c r="L903" s="391">
        <v>8.6314885E7</v>
      </c>
      <c r="M903" s="391">
        <v>7.9676</v>
      </c>
      <c r="N903" s="38">
        <v>41.1516</v>
      </c>
    </row>
    <row r="904">
      <c r="A904" s="389" t="s">
        <v>1970</v>
      </c>
      <c r="B904" s="389" t="s">
        <v>137</v>
      </c>
      <c r="C904" s="389" t="s">
        <v>12</v>
      </c>
      <c r="D904" s="389" t="s">
        <v>1968</v>
      </c>
      <c r="E904" s="390" t="s">
        <v>163</v>
      </c>
      <c r="F904" s="391">
        <v>150674.0</v>
      </c>
      <c r="G904" s="391">
        <v>20470.0</v>
      </c>
      <c r="H904" s="391">
        <v>13.59</v>
      </c>
      <c r="I904" s="391">
        <v>0.81</v>
      </c>
      <c r="J904" s="391">
        <v>0.69</v>
      </c>
      <c r="K904" s="391">
        <v>695670.0</v>
      </c>
      <c r="L904" s="391">
        <v>8.6314885E7</v>
      </c>
      <c r="M904" s="391">
        <v>4.6171</v>
      </c>
      <c r="N904" s="38">
        <v>33.9849</v>
      </c>
    </row>
    <row r="905">
      <c r="A905" s="389" t="s">
        <v>1970</v>
      </c>
      <c r="B905" s="389" t="s">
        <v>137</v>
      </c>
      <c r="C905" s="389" t="s">
        <v>12</v>
      </c>
      <c r="D905" s="389" t="s">
        <v>1968</v>
      </c>
      <c r="E905" s="390" t="s">
        <v>30</v>
      </c>
      <c r="F905" s="391">
        <v>150674.0</v>
      </c>
      <c r="G905" s="391">
        <v>15236.0</v>
      </c>
      <c r="H905" s="391">
        <v>10.11</v>
      </c>
      <c r="I905" s="391">
        <v>0.71</v>
      </c>
      <c r="J905" s="391">
        <v>0.57</v>
      </c>
      <c r="K905" s="391">
        <v>615510.0</v>
      </c>
      <c r="L905" s="391">
        <v>8.6314885E7</v>
      </c>
      <c r="M905" s="391">
        <v>4.085</v>
      </c>
      <c r="N905" s="38">
        <v>40.3984</v>
      </c>
    </row>
    <row r="906">
      <c r="A906" s="389" t="s">
        <v>1970</v>
      </c>
      <c r="B906" s="389" t="s">
        <v>137</v>
      </c>
      <c r="C906" s="389" t="s">
        <v>12</v>
      </c>
      <c r="D906" s="389" t="s">
        <v>1968</v>
      </c>
      <c r="E906" s="390" t="s">
        <v>369</v>
      </c>
      <c r="F906" s="391">
        <v>150674.0</v>
      </c>
      <c r="G906" s="391">
        <v>13003.0</v>
      </c>
      <c r="H906" s="391">
        <v>8.63</v>
      </c>
      <c r="I906" s="391">
        <v>0.49</v>
      </c>
      <c r="J906" s="391">
        <v>0.66</v>
      </c>
      <c r="K906" s="391">
        <v>423955.0</v>
      </c>
      <c r="L906" s="391">
        <v>8.6314885E7</v>
      </c>
      <c r="M906" s="391">
        <v>2.8137</v>
      </c>
      <c r="N906" s="38">
        <v>32.6044</v>
      </c>
    </row>
    <row r="907">
      <c r="A907" s="389" t="s">
        <v>1970</v>
      </c>
      <c r="B907" s="389" t="s">
        <v>137</v>
      </c>
      <c r="C907" s="389" t="s">
        <v>12</v>
      </c>
      <c r="D907" s="389" t="s">
        <v>1968</v>
      </c>
      <c r="E907" s="390" t="s">
        <v>27</v>
      </c>
      <c r="F907" s="391">
        <v>150674.0</v>
      </c>
      <c r="G907" s="391">
        <v>10002.0</v>
      </c>
      <c r="H907" s="391">
        <v>6.64</v>
      </c>
      <c r="I907" s="391">
        <v>0.45</v>
      </c>
      <c r="J907" s="391">
        <v>0.35</v>
      </c>
      <c r="K907" s="391">
        <v>390240.0</v>
      </c>
      <c r="L907" s="391">
        <v>8.6314885E7</v>
      </c>
      <c r="M907" s="391">
        <v>2.59</v>
      </c>
      <c r="N907" s="38">
        <v>39.0162</v>
      </c>
    </row>
    <row r="908">
      <c r="A908" s="389" t="s">
        <v>1970</v>
      </c>
      <c r="B908" s="389" t="s">
        <v>137</v>
      </c>
      <c r="C908" s="389" t="s">
        <v>12</v>
      </c>
      <c r="D908" s="389" t="s">
        <v>1968</v>
      </c>
      <c r="E908" s="390" t="s">
        <v>108</v>
      </c>
      <c r="F908" s="391">
        <v>150674.0</v>
      </c>
      <c r="G908" s="391">
        <v>3513.0</v>
      </c>
      <c r="H908" s="391">
        <v>2.33</v>
      </c>
      <c r="I908" s="391">
        <v>0.09</v>
      </c>
      <c r="J908" s="391">
        <v>0.11</v>
      </c>
      <c r="K908" s="391">
        <v>75705.0</v>
      </c>
      <c r="L908" s="391">
        <v>8.6314885E7</v>
      </c>
      <c r="M908" s="391">
        <v>0.5024</v>
      </c>
      <c r="N908" s="38">
        <v>21.55</v>
      </c>
    </row>
    <row r="909">
      <c r="A909" s="389" t="s">
        <v>1970</v>
      </c>
      <c r="B909" s="389" t="s">
        <v>137</v>
      </c>
      <c r="C909" s="389" t="s">
        <v>12</v>
      </c>
      <c r="D909" s="389" t="s">
        <v>1968</v>
      </c>
      <c r="E909" s="390" t="s">
        <v>45</v>
      </c>
      <c r="F909" s="391">
        <v>150674.0</v>
      </c>
      <c r="G909" s="391">
        <v>952.0</v>
      </c>
      <c r="H909" s="391">
        <v>0.63</v>
      </c>
      <c r="I909" s="391">
        <v>0.06</v>
      </c>
      <c r="J909" s="391">
        <v>0.08</v>
      </c>
      <c r="K909" s="391">
        <v>49960.0</v>
      </c>
      <c r="L909" s="391">
        <v>8.6314885E7</v>
      </c>
      <c r="M909" s="391">
        <v>0.3316</v>
      </c>
      <c r="N909" s="38">
        <v>52.479</v>
      </c>
    </row>
    <row r="910">
      <c r="A910" s="389" t="s">
        <v>1970</v>
      </c>
      <c r="B910" s="389" t="s">
        <v>137</v>
      </c>
      <c r="C910" s="389" t="s">
        <v>12</v>
      </c>
      <c r="D910" s="389" t="s">
        <v>1968</v>
      </c>
      <c r="E910" s="390" t="s">
        <v>372</v>
      </c>
      <c r="F910" s="391">
        <v>150674.0</v>
      </c>
      <c r="G910" s="391">
        <v>4.0</v>
      </c>
      <c r="H910" s="391">
        <v>0.0</v>
      </c>
      <c r="I910" s="391">
        <v>0.0</v>
      </c>
      <c r="J910" s="391">
        <v>0.0</v>
      </c>
      <c r="K910" s="391">
        <v>60.0</v>
      </c>
      <c r="L910" s="391">
        <v>8.6314885E7</v>
      </c>
      <c r="M910" s="391">
        <v>4.0E-4</v>
      </c>
      <c r="N910" s="38">
        <v>15.0</v>
      </c>
    </row>
    <row r="911">
      <c r="A911" s="389" t="s">
        <v>1970</v>
      </c>
      <c r="B911" s="389" t="s">
        <v>137</v>
      </c>
      <c r="C911" s="389" t="s">
        <v>12</v>
      </c>
      <c r="D911" s="389" t="s">
        <v>1968</v>
      </c>
      <c r="E911" s="390" t="s">
        <v>41</v>
      </c>
      <c r="F911" s="391">
        <v>150674.0</v>
      </c>
      <c r="G911" s="391">
        <v>1.0</v>
      </c>
      <c r="H911" s="391">
        <v>0.0</v>
      </c>
      <c r="I911" s="391">
        <v>0.0</v>
      </c>
      <c r="J911" s="391">
        <v>0.0</v>
      </c>
      <c r="K911" s="391">
        <v>30.0</v>
      </c>
      <c r="L911" s="391">
        <v>8.6314885E7</v>
      </c>
      <c r="M911" s="391">
        <v>2.0E-4</v>
      </c>
      <c r="N911" s="38">
        <v>30.0</v>
      </c>
    </row>
    <row r="912">
      <c r="A912" s="389" t="s">
        <v>1970</v>
      </c>
      <c r="B912" s="389" t="s">
        <v>137</v>
      </c>
      <c r="C912" s="389" t="s">
        <v>12</v>
      </c>
      <c r="D912" s="389" t="s">
        <v>1968</v>
      </c>
      <c r="E912" s="390" t="s">
        <v>37</v>
      </c>
      <c r="F912" s="391">
        <v>150674.0</v>
      </c>
      <c r="G912" s="391">
        <v>2.0</v>
      </c>
      <c r="H912" s="391">
        <v>0.0</v>
      </c>
      <c r="I912" s="391">
        <v>0.0</v>
      </c>
      <c r="J912" s="391">
        <v>0.0</v>
      </c>
      <c r="K912" s="391">
        <v>90.0</v>
      </c>
      <c r="L912" s="391">
        <v>8.6314885E7</v>
      </c>
      <c r="M912" s="391">
        <v>6.0E-4</v>
      </c>
      <c r="N912" s="38">
        <v>45.0</v>
      </c>
    </row>
    <row r="913">
      <c r="A913" s="389" t="s">
        <v>1970</v>
      </c>
      <c r="B913" s="389" t="s">
        <v>137</v>
      </c>
      <c r="C913" s="389" t="s">
        <v>12</v>
      </c>
      <c r="D913" s="389" t="s">
        <v>1968</v>
      </c>
      <c r="E913" s="390" t="s">
        <v>35</v>
      </c>
      <c r="F913" s="391">
        <v>150674.0</v>
      </c>
      <c r="G913" s="391">
        <v>2.0</v>
      </c>
      <c r="H913" s="391">
        <v>0.0</v>
      </c>
      <c r="I913" s="391">
        <v>0.0</v>
      </c>
      <c r="J913" s="391">
        <v>0.0</v>
      </c>
      <c r="K913" s="391">
        <v>130.0</v>
      </c>
      <c r="L913" s="391">
        <v>8.6314885E7</v>
      </c>
      <c r="M913" s="391">
        <v>9.0E-4</v>
      </c>
      <c r="N913" s="38">
        <v>65.0</v>
      </c>
    </row>
    <row r="914">
      <c r="A914" s="389" t="s">
        <v>1970</v>
      </c>
      <c r="B914" s="389" t="s">
        <v>339</v>
      </c>
      <c r="C914" s="389" t="s">
        <v>8</v>
      </c>
      <c r="D914" s="389" t="s">
        <v>591</v>
      </c>
      <c r="E914" s="390" t="s">
        <v>369</v>
      </c>
      <c r="F914" s="391">
        <v>77248.0</v>
      </c>
      <c r="G914" s="391">
        <v>61289.0</v>
      </c>
      <c r="H914" s="391">
        <v>79.34</v>
      </c>
      <c r="I914" s="391">
        <v>30.61</v>
      </c>
      <c r="J914" s="391">
        <v>40.55</v>
      </c>
      <c r="K914" s="391">
        <v>120855.0</v>
      </c>
      <c r="L914" s="391">
        <v>394838.0</v>
      </c>
      <c r="M914" s="391">
        <v>1.5645</v>
      </c>
      <c r="N914" s="38">
        <v>1.9719</v>
      </c>
    </row>
    <row r="915">
      <c r="A915" s="389" t="s">
        <v>1970</v>
      </c>
      <c r="B915" s="389" t="s">
        <v>339</v>
      </c>
      <c r="C915" s="389" t="s">
        <v>8</v>
      </c>
      <c r="D915" s="389" t="s">
        <v>591</v>
      </c>
      <c r="E915" s="390" t="s">
        <v>371</v>
      </c>
      <c r="F915" s="391">
        <v>77248.0</v>
      </c>
      <c r="G915" s="391">
        <v>31543.0</v>
      </c>
      <c r="H915" s="391">
        <v>40.83</v>
      </c>
      <c r="I915" s="391">
        <v>21.04</v>
      </c>
      <c r="J915" s="391">
        <v>13.46</v>
      </c>
      <c r="K915" s="391">
        <v>83086.0</v>
      </c>
      <c r="L915" s="391">
        <v>394838.0</v>
      </c>
      <c r="M915" s="391">
        <v>1.0756</v>
      </c>
      <c r="N915" s="38">
        <v>2.6341</v>
      </c>
    </row>
    <row r="916">
      <c r="A916" s="389" t="s">
        <v>1970</v>
      </c>
      <c r="B916" s="389" t="s">
        <v>339</v>
      </c>
      <c r="C916" s="389" t="s">
        <v>8</v>
      </c>
      <c r="D916" s="389" t="s">
        <v>591</v>
      </c>
      <c r="E916" s="390" t="s">
        <v>370</v>
      </c>
      <c r="F916" s="391">
        <v>77248.0</v>
      </c>
      <c r="G916" s="391">
        <v>44310.0</v>
      </c>
      <c r="H916" s="391">
        <v>57.36</v>
      </c>
      <c r="I916" s="391">
        <v>17.44</v>
      </c>
      <c r="J916" s="391">
        <v>18.01</v>
      </c>
      <c r="K916" s="391">
        <v>68875.0</v>
      </c>
      <c r="L916" s="391">
        <v>394838.0</v>
      </c>
      <c r="M916" s="391">
        <v>0.8916</v>
      </c>
      <c r="N916" s="38">
        <v>1.5544</v>
      </c>
    </row>
    <row r="917">
      <c r="A917" s="389" t="s">
        <v>1970</v>
      </c>
      <c r="B917" s="389" t="s">
        <v>339</v>
      </c>
      <c r="C917" s="389" t="s">
        <v>8</v>
      </c>
      <c r="D917" s="389" t="s">
        <v>591</v>
      </c>
      <c r="E917" s="390" t="s">
        <v>44</v>
      </c>
      <c r="F917" s="391">
        <v>77248.0</v>
      </c>
      <c r="G917" s="391">
        <v>23802.0</v>
      </c>
      <c r="H917" s="391">
        <v>30.81</v>
      </c>
      <c r="I917" s="391">
        <v>9.54</v>
      </c>
      <c r="J917" s="391">
        <v>8.52</v>
      </c>
      <c r="K917" s="391">
        <v>37660.0</v>
      </c>
      <c r="L917" s="391">
        <v>394838.0</v>
      </c>
      <c r="M917" s="391">
        <v>0.4875</v>
      </c>
      <c r="N917" s="38">
        <v>1.5822</v>
      </c>
    </row>
    <row r="918">
      <c r="A918" s="389" t="s">
        <v>1970</v>
      </c>
      <c r="B918" s="389" t="s">
        <v>339</v>
      </c>
      <c r="C918" s="389" t="s">
        <v>8</v>
      </c>
      <c r="D918" s="389" t="s">
        <v>591</v>
      </c>
      <c r="E918" s="390" t="s">
        <v>37</v>
      </c>
      <c r="F918" s="391">
        <v>77248.0</v>
      </c>
      <c r="G918" s="391">
        <v>19169.0</v>
      </c>
      <c r="H918" s="391">
        <v>24.81</v>
      </c>
      <c r="I918" s="391">
        <v>7.13</v>
      </c>
      <c r="J918" s="391">
        <v>7.76</v>
      </c>
      <c r="K918" s="391">
        <v>28155.0</v>
      </c>
      <c r="L918" s="391">
        <v>394838.0</v>
      </c>
      <c r="M918" s="391">
        <v>0.3645</v>
      </c>
      <c r="N918" s="38">
        <v>1.4688</v>
      </c>
    </row>
    <row r="919">
      <c r="A919" s="389" t="s">
        <v>1970</v>
      </c>
      <c r="B919" s="389" t="s">
        <v>339</v>
      </c>
      <c r="C919" s="389" t="s">
        <v>8</v>
      </c>
      <c r="D919" s="389" t="s">
        <v>591</v>
      </c>
      <c r="E919" s="390" t="s">
        <v>39</v>
      </c>
      <c r="F919" s="391">
        <v>77248.0</v>
      </c>
      <c r="G919" s="391">
        <v>19042.0</v>
      </c>
      <c r="H919" s="391">
        <v>24.65</v>
      </c>
      <c r="I919" s="391">
        <v>6.72</v>
      </c>
      <c r="J919" s="391">
        <v>4.82</v>
      </c>
      <c r="K919" s="391">
        <v>26545.0</v>
      </c>
      <c r="L919" s="391">
        <v>394838.0</v>
      </c>
      <c r="M919" s="391">
        <v>0.3436</v>
      </c>
      <c r="N919" s="38">
        <v>1.394</v>
      </c>
    </row>
    <row r="920">
      <c r="A920" s="389" t="s">
        <v>1970</v>
      </c>
      <c r="B920" s="389" t="s">
        <v>339</v>
      </c>
      <c r="C920" s="389" t="s">
        <v>8</v>
      </c>
      <c r="D920" s="389" t="s">
        <v>591</v>
      </c>
      <c r="E920" s="390" t="s">
        <v>45</v>
      </c>
      <c r="F920" s="391">
        <v>77248.0</v>
      </c>
      <c r="G920" s="391">
        <v>11218.0</v>
      </c>
      <c r="H920" s="391">
        <v>14.52</v>
      </c>
      <c r="I920" s="391">
        <v>3.6</v>
      </c>
      <c r="J920" s="391">
        <v>2.8</v>
      </c>
      <c r="K920" s="391">
        <v>14218.0</v>
      </c>
      <c r="L920" s="391">
        <v>394838.0</v>
      </c>
      <c r="M920" s="391">
        <v>0.1841</v>
      </c>
      <c r="N920" s="38">
        <v>1.2674</v>
      </c>
    </row>
    <row r="921">
      <c r="A921" s="389" t="s">
        <v>1970</v>
      </c>
      <c r="B921" s="389" t="s">
        <v>339</v>
      </c>
      <c r="C921" s="389" t="s">
        <v>8</v>
      </c>
      <c r="D921" s="389" t="s">
        <v>591</v>
      </c>
      <c r="E921" s="390" t="s">
        <v>365</v>
      </c>
      <c r="F921" s="391">
        <v>77248.0</v>
      </c>
      <c r="G921" s="391">
        <v>10439.0</v>
      </c>
      <c r="H921" s="391">
        <v>13.51</v>
      </c>
      <c r="I921" s="391">
        <v>2.7</v>
      </c>
      <c r="J921" s="391">
        <v>2.83</v>
      </c>
      <c r="K921" s="391">
        <v>10663.0</v>
      </c>
      <c r="L921" s="391">
        <v>394838.0</v>
      </c>
      <c r="M921" s="391">
        <v>0.138</v>
      </c>
      <c r="N921" s="38">
        <v>1.0215</v>
      </c>
    </row>
    <row r="922">
      <c r="A922" s="389" t="s">
        <v>1970</v>
      </c>
      <c r="B922" s="389" t="s">
        <v>339</v>
      </c>
      <c r="C922" s="389" t="s">
        <v>8</v>
      </c>
      <c r="D922" s="389" t="s">
        <v>591</v>
      </c>
      <c r="E922" s="390" t="s">
        <v>108</v>
      </c>
      <c r="F922" s="391">
        <v>77248.0</v>
      </c>
      <c r="G922" s="391">
        <v>3168.0</v>
      </c>
      <c r="H922" s="391">
        <v>4.1</v>
      </c>
      <c r="I922" s="391">
        <v>0.93</v>
      </c>
      <c r="J922" s="391">
        <v>1.02</v>
      </c>
      <c r="K922" s="391">
        <v>3680.0</v>
      </c>
      <c r="L922" s="391">
        <v>394838.0</v>
      </c>
      <c r="M922" s="391">
        <v>0.0476</v>
      </c>
      <c r="N922" s="38">
        <v>1.1616</v>
      </c>
    </row>
    <row r="923">
      <c r="A923" s="389" t="s">
        <v>1970</v>
      </c>
      <c r="B923" s="389" t="s">
        <v>339</v>
      </c>
      <c r="C923" s="389" t="s">
        <v>8</v>
      </c>
      <c r="D923" s="389" t="s">
        <v>591</v>
      </c>
      <c r="E923" s="390" t="s">
        <v>38</v>
      </c>
      <c r="F923" s="391">
        <v>77248.0</v>
      </c>
      <c r="G923" s="391">
        <v>994.0</v>
      </c>
      <c r="H923" s="391">
        <v>1.29</v>
      </c>
      <c r="I923" s="391">
        <v>0.26</v>
      </c>
      <c r="J923" s="391">
        <v>0.21</v>
      </c>
      <c r="K923" s="391">
        <v>1015.0</v>
      </c>
      <c r="L923" s="391">
        <v>394838.0</v>
      </c>
      <c r="M923" s="391">
        <v>0.0131</v>
      </c>
      <c r="N923" s="38">
        <v>1.0211</v>
      </c>
    </row>
    <row r="924">
      <c r="A924" s="389" t="s">
        <v>1970</v>
      </c>
      <c r="B924" s="389" t="s">
        <v>339</v>
      </c>
      <c r="C924" s="389" t="s">
        <v>8</v>
      </c>
      <c r="D924" s="389" t="s">
        <v>591</v>
      </c>
      <c r="E924" s="390" t="s">
        <v>368</v>
      </c>
      <c r="F924" s="391">
        <v>77248.0</v>
      </c>
      <c r="G924" s="391">
        <v>48.0</v>
      </c>
      <c r="H924" s="391">
        <v>0.06</v>
      </c>
      <c r="I924" s="391">
        <v>0.01</v>
      </c>
      <c r="J924" s="391">
        <v>0.01</v>
      </c>
      <c r="K924" s="391">
        <v>49.0</v>
      </c>
      <c r="L924" s="391">
        <v>394838.0</v>
      </c>
      <c r="M924" s="391">
        <v>6.0E-4</v>
      </c>
      <c r="N924" s="38">
        <v>1.0208</v>
      </c>
    </row>
    <row r="925">
      <c r="A925" s="389" t="s">
        <v>1970</v>
      </c>
      <c r="B925" s="389" t="s">
        <v>339</v>
      </c>
      <c r="C925" s="389" t="s">
        <v>8</v>
      </c>
      <c r="D925" s="389" t="s">
        <v>591</v>
      </c>
      <c r="E925" s="390" t="s">
        <v>367</v>
      </c>
      <c r="F925" s="391">
        <v>77248.0</v>
      </c>
      <c r="G925" s="391">
        <v>2.0</v>
      </c>
      <c r="H925" s="391">
        <v>0.0</v>
      </c>
      <c r="I925" s="391">
        <v>0.0</v>
      </c>
      <c r="J925" s="391">
        <v>0.0</v>
      </c>
      <c r="K925" s="391">
        <v>4.0</v>
      </c>
      <c r="L925" s="391">
        <v>394838.0</v>
      </c>
      <c r="M925" s="391">
        <v>1.0E-4</v>
      </c>
      <c r="N925" s="38">
        <v>2.0</v>
      </c>
    </row>
    <row r="926">
      <c r="A926" s="389" t="s">
        <v>1970</v>
      </c>
      <c r="B926" s="389" t="s">
        <v>339</v>
      </c>
      <c r="C926" s="389" t="s">
        <v>8</v>
      </c>
      <c r="D926" s="389" t="s">
        <v>591</v>
      </c>
      <c r="E926" s="390" t="s">
        <v>163</v>
      </c>
      <c r="F926" s="391">
        <v>77248.0</v>
      </c>
      <c r="G926" s="391">
        <v>6.0</v>
      </c>
      <c r="H926" s="391">
        <v>0.01</v>
      </c>
      <c r="I926" s="391">
        <v>0.0</v>
      </c>
      <c r="J926" s="391">
        <v>0.0</v>
      </c>
      <c r="K926" s="391">
        <v>6.0</v>
      </c>
      <c r="L926" s="391">
        <v>394838.0</v>
      </c>
      <c r="M926" s="391">
        <v>1.0E-4</v>
      </c>
      <c r="N926" s="38">
        <v>1.0</v>
      </c>
    </row>
    <row r="927">
      <c r="A927" s="389" t="s">
        <v>1970</v>
      </c>
      <c r="B927" s="389" t="s">
        <v>339</v>
      </c>
      <c r="C927" s="389" t="s">
        <v>8</v>
      </c>
      <c r="D927" s="389" t="s">
        <v>591</v>
      </c>
      <c r="E927" s="390" t="s">
        <v>366</v>
      </c>
      <c r="F927" s="391">
        <v>77248.0</v>
      </c>
      <c r="G927" s="391">
        <v>1.0</v>
      </c>
      <c r="H927" s="391">
        <v>0.0</v>
      </c>
      <c r="I927" s="391">
        <v>0.0</v>
      </c>
      <c r="J927" s="391">
        <v>0.0</v>
      </c>
      <c r="K927" s="391">
        <v>1.0</v>
      </c>
      <c r="L927" s="391">
        <v>394838.0</v>
      </c>
      <c r="M927" s="391">
        <v>0.0</v>
      </c>
      <c r="N927" s="38">
        <v>1.0</v>
      </c>
    </row>
    <row r="928">
      <c r="A928" s="389" t="s">
        <v>1970</v>
      </c>
      <c r="B928" s="389" t="s">
        <v>339</v>
      </c>
      <c r="C928" s="389" t="s">
        <v>8</v>
      </c>
      <c r="D928" s="389" t="s">
        <v>591</v>
      </c>
      <c r="E928" s="390" t="s">
        <v>284</v>
      </c>
      <c r="F928" s="391">
        <v>77248.0</v>
      </c>
      <c r="G928" s="391">
        <v>1.0</v>
      </c>
      <c r="H928" s="391">
        <v>0.0</v>
      </c>
      <c r="I928" s="391">
        <v>0.0</v>
      </c>
      <c r="J928" s="391">
        <v>0.0</v>
      </c>
      <c r="K928" s="391">
        <v>1.0</v>
      </c>
      <c r="L928" s="391">
        <v>394838.0</v>
      </c>
      <c r="M928" s="391">
        <v>0.0</v>
      </c>
      <c r="N928" s="38">
        <v>1.0</v>
      </c>
    </row>
    <row r="929">
      <c r="A929" s="389" t="s">
        <v>1970</v>
      </c>
      <c r="B929" s="389" t="s">
        <v>339</v>
      </c>
      <c r="C929" s="389" t="s">
        <v>8</v>
      </c>
      <c r="D929" s="389" t="s">
        <v>591</v>
      </c>
      <c r="E929" s="390" t="s">
        <v>30</v>
      </c>
      <c r="F929" s="391">
        <v>77248.0</v>
      </c>
      <c r="G929" s="391">
        <v>6.0</v>
      </c>
      <c r="H929" s="391">
        <v>0.01</v>
      </c>
      <c r="I929" s="391">
        <v>0.0</v>
      </c>
      <c r="J929" s="391">
        <v>0.0</v>
      </c>
      <c r="K929" s="391">
        <v>6.0</v>
      </c>
      <c r="L929" s="391">
        <v>394838.0</v>
      </c>
      <c r="M929" s="391">
        <v>1.0E-4</v>
      </c>
      <c r="N929" s="38">
        <v>1.0</v>
      </c>
    </row>
    <row r="930">
      <c r="A930" s="389" t="s">
        <v>1970</v>
      </c>
      <c r="B930" s="389" t="s">
        <v>339</v>
      </c>
      <c r="C930" s="389" t="s">
        <v>8</v>
      </c>
      <c r="D930" s="389" t="s">
        <v>591</v>
      </c>
      <c r="E930" s="390" t="s">
        <v>27</v>
      </c>
      <c r="F930" s="391">
        <v>77248.0</v>
      </c>
      <c r="G930" s="391">
        <v>6.0</v>
      </c>
      <c r="H930" s="391">
        <v>0.01</v>
      </c>
      <c r="I930" s="391">
        <v>0.0</v>
      </c>
      <c r="J930" s="391">
        <v>0.0</v>
      </c>
      <c r="K930" s="391">
        <v>7.0</v>
      </c>
      <c r="L930" s="391">
        <v>394838.0</v>
      </c>
      <c r="M930" s="391">
        <v>1.0E-4</v>
      </c>
      <c r="N930" s="38">
        <v>1.1667</v>
      </c>
    </row>
    <row r="931">
      <c r="A931" s="389" t="s">
        <v>1970</v>
      </c>
      <c r="B931" s="389" t="s">
        <v>339</v>
      </c>
      <c r="C931" s="389" t="s">
        <v>8</v>
      </c>
      <c r="D931" s="389" t="s">
        <v>591</v>
      </c>
      <c r="E931" s="390" t="s">
        <v>372</v>
      </c>
      <c r="F931" s="391">
        <v>77248.0</v>
      </c>
      <c r="G931" s="391">
        <v>5.0</v>
      </c>
      <c r="H931" s="391">
        <v>0.01</v>
      </c>
      <c r="I931" s="391">
        <v>0.0</v>
      </c>
      <c r="J931" s="391">
        <v>0.0</v>
      </c>
      <c r="K931" s="391">
        <v>12.0</v>
      </c>
      <c r="L931" s="391">
        <v>394838.0</v>
      </c>
      <c r="M931" s="391">
        <v>2.0E-4</v>
      </c>
      <c r="N931" s="38">
        <v>2.4</v>
      </c>
    </row>
    <row r="932">
      <c r="A932" s="389" t="s">
        <v>1970</v>
      </c>
      <c r="B932" s="389" t="s">
        <v>339</v>
      </c>
      <c r="C932" s="389" t="s">
        <v>7</v>
      </c>
      <c r="D932" s="389" t="s">
        <v>591</v>
      </c>
      <c r="E932" s="390" t="s">
        <v>370</v>
      </c>
      <c r="F932" s="391">
        <v>87244.0</v>
      </c>
      <c r="G932" s="391">
        <v>68079.0</v>
      </c>
      <c r="H932" s="391">
        <v>78.03</v>
      </c>
      <c r="I932" s="391">
        <v>33.24</v>
      </c>
      <c r="J932" s="391">
        <v>30.04</v>
      </c>
      <c r="K932" s="391">
        <v>274585.0</v>
      </c>
      <c r="L932" s="391">
        <v>825971.0</v>
      </c>
      <c r="M932" s="391">
        <v>3.1473</v>
      </c>
      <c r="N932" s="38">
        <v>4.0333</v>
      </c>
    </row>
    <row r="933">
      <c r="A933" s="389" t="s">
        <v>1970</v>
      </c>
      <c r="B933" s="389" t="s">
        <v>339</v>
      </c>
      <c r="C933" s="389" t="s">
        <v>7</v>
      </c>
      <c r="D933" s="389" t="s">
        <v>591</v>
      </c>
      <c r="E933" s="390" t="s">
        <v>371</v>
      </c>
      <c r="F933" s="391">
        <v>87244.0</v>
      </c>
      <c r="G933" s="391">
        <v>66892.0</v>
      </c>
      <c r="H933" s="391">
        <v>76.67</v>
      </c>
      <c r="I933" s="391">
        <v>23.31</v>
      </c>
      <c r="J933" s="391">
        <v>25.52</v>
      </c>
      <c r="K933" s="391">
        <v>192501.0</v>
      </c>
      <c r="L933" s="391">
        <v>825971.0</v>
      </c>
      <c r="M933" s="391">
        <v>2.2065</v>
      </c>
      <c r="N933" s="38">
        <v>2.8778</v>
      </c>
    </row>
    <row r="934">
      <c r="A934" s="389" t="s">
        <v>1970</v>
      </c>
      <c r="B934" s="389" t="s">
        <v>339</v>
      </c>
      <c r="C934" s="389" t="s">
        <v>7</v>
      </c>
      <c r="D934" s="389" t="s">
        <v>591</v>
      </c>
      <c r="E934" s="390" t="s">
        <v>369</v>
      </c>
      <c r="F934" s="391">
        <v>87244.0</v>
      </c>
      <c r="G934" s="391">
        <v>61323.0</v>
      </c>
      <c r="H934" s="391">
        <v>70.29</v>
      </c>
      <c r="I934" s="391">
        <v>14.63</v>
      </c>
      <c r="J934" s="391">
        <v>17.29</v>
      </c>
      <c r="K934" s="391">
        <v>120851.0</v>
      </c>
      <c r="L934" s="391">
        <v>825971.0</v>
      </c>
      <c r="M934" s="391">
        <v>1.3852</v>
      </c>
      <c r="N934" s="38">
        <v>1.9707</v>
      </c>
    </row>
    <row r="935">
      <c r="A935" s="389" t="s">
        <v>1970</v>
      </c>
      <c r="B935" s="389" t="s">
        <v>339</v>
      </c>
      <c r="C935" s="389" t="s">
        <v>7</v>
      </c>
      <c r="D935" s="389" t="s">
        <v>591</v>
      </c>
      <c r="E935" s="390" t="s">
        <v>39</v>
      </c>
      <c r="F935" s="391">
        <v>87244.0</v>
      </c>
      <c r="G935" s="391">
        <v>35687.0</v>
      </c>
      <c r="H935" s="391">
        <v>40.9</v>
      </c>
      <c r="I935" s="391">
        <v>7.07</v>
      </c>
      <c r="J935" s="391">
        <v>5.87</v>
      </c>
      <c r="K935" s="391">
        <v>58382.0</v>
      </c>
      <c r="L935" s="391">
        <v>825971.0</v>
      </c>
      <c r="M935" s="391">
        <v>0.6692</v>
      </c>
      <c r="N935" s="38">
        <v>1.6359</v>
      </c>
    </row>
    <row r="936">
      <c r="A936" s="389" t="s">
        <v>1970</v>
      </c>
      <c r="B936" s="389" t="s">
        <v>339</v>
      </c>
      <c r="C936" s="389" t="s">
        <v>7</v>
      </c>
      <c r="D936" s="389" t="s">
        <v>591</v>
      </c>
      <c r="E936" s="390" t="s">
        <v>368</v>
      </c>
      <c r="F936" s="391">
        <v>87244.0</v>
      </c>
      <c r="G936" s="391">
        <v>41222.0</v>
      </c>
      <c r="H936" s="391">
        <v>47.25</v>
      </c>
      <c r="I936" s="391">
        <v>6.56</v>
      </c>
      <c r="J936" s="391">
        <v>7.46</v>
      </c>
      <c r="K936" s="391">
        <v>54197.0</v>
      </c>
      <c r="L936" s="391">
        <v>825971.0</v>
      </c>
      <c r="M936" s="391">
        <v>0.6212</v>
      </c>
      <c r="N936" s="38">
        <v>1.3148</v>
      </c>
    </row>
    <row r="937">
      <c r="A937" s="389" t="s">
        <v>1970</v>
      </c>
      <c r="B937" s="389" t="s">
        <v>339</v>
      </c>
      <c r="C937" s="389" t="s">
        <v>7</v>
      </c>
      <c r="D937" s="389" t="s">
        <v>591</v>
      </c>
      <c r="E937" s="390" t="s">
        <v>44</v>
      </c>
      <c r="F937" s="391">
        <v>87244.0</v>
      </c>
      <c r="G937" s="391">
        <v>23802.0</v>
      </c>
      <c r="H937" s="391">
        <v>27.28</v>
      </c>
      <c r="I937" s="391">
        <v>4.56</v>
      </c>
      <c r="J937" s="391">
        <v>3.87</v>
      </c>
      <c r="K937" s="391">
        <v>37660.0</v>
      </c>
      <c r="L937" s="391">
        <v>825971.0</v>
      </c>
      <c r="M937" s="391">
        <v>0.4317</v>
      </c>
      <c r="N937" s="38">
        <v>1.5822</v>
      </c>
    </row>
    <row r="938">
      <c r="A938" s="389" t="s">
        <v>1970</v>
      </c>
      <c r="B938" s="389" t="s">
        <v>339</v>
      </c>
      <c r="C938" s="389" t="s">
        <v>7</v>
      </c>
      <c r="D938" s="389" t="s">
        <v>591</v>
      </c>
      <c r="E938" s="390" t="s">
        <v>163</v>
      </c>
      <c r="F938" s="391">
        <v>87244.0</v>
      </c>
      <c r="G938" s="391">
        <v>20860.0</v>
      </c>
      <c r="H938" s="391">
        <v>23.91</v>
      </c>
      <c r="I938" s="391">
        <v>2.57</v>
      </c>
      <c r="J938" s="391">
        <v>2.77</v>
      </c>
      <c r="K938" s="391">
        <v>21266.0</v>
      </c>
      <c r="L938" s="391">
        <v>825971.0</v>
      </c>
      <c r="M938" s="391">
        <v>0.2438</v>
      </c>
      <c r="N938" s="38">
        <v>1.0195</v>
      </c>
    </row>
    <row r="939">
      <c r="A939" s="389" t="s">
        <v>1970</v>
      </c>
      <c r="B939" s="389" t="s">
        <v>339</v>
      </c>
      <c r="C939" s="389" t="s">
        <v>7</v>
      </c>
      <c r="D939" s="389" t="s">
        <v>591</v>
      </c>
      <c r="E939" s="390" t="s">
        <v>367</v>
      </c>
      <c r="F939" s="391">
        <v>87244.0</v>
      </c>
      <c r="G939" s="391">
        <v>11199.0</v>
      </c>
      <c r="H939" s="391">
        <v>12.84</v>
      </c>
      <c r="I939" s="391">
        <v>1.82</v>
      </c>
      <c r="J939" s="391">
        <v>1.55</v>
      </c>
      <c r="K939" s="391">
        <v>15049.0</v>
      </c>
      <c r="L939" s="391">
        <v>825971.0</v>
      </c>
      <c r="M939" s="391">
        <v>0.1725</v>
      </c>
      <c r="N939" s="38">
        <v>1.3438</v>
      </c>
    </row>
    <row r="940">
      <c r="A940" s="389" t="s">
        <v>1970</v>
      </c>
      <c r="B940" s="389" t="s">
        <v>339</v>
      </c>
      <c r="C940" s="389" t="s">
        <v>7</v>
      </c>
      <c r="D940" s="389" t="s">
        <v>591</v>
      </c>
      <c r="E940" s="390" t="s">
        <v>30</v>
      </c>
      <c r="F940" s="391">
        <v>87244.0</v>
      </c>
      <c r="G940" s="391">
        <v>13608.0</v>
      </c>
      <c r="H940" s="391">
        <v>15.6</v>
      </c>
      <c r="I940" s="391">
        <v>1.67</v>
      </c>
      <c r="J940" s="391">
        <v>1.58</v>
      </c>
      <c r="K940" s="391">
        <v>13801.0</v>
      </c>
      <c r="L940" s="391">
        <v>825971.0</v>
      </c>
      <c r="M940" s="391">
        <v>0.1582</v>
      </c>
      <c r="N940" s="38">
        <v>1.0142</v>
      </c>
    </row>
    <row r="941">
      <c r="A941" s="389" t="s">
        <v>1970</v>
      </c>
      <c r="B941" s="389" t="s">
        <v>339</v>
      </c>
      <c r="C941" s="389" t="s">
        <v>7</v>
      </c>
      <c r="D941" s="389" t="s">
        <v>591</v>
      </c>
      <c r="E941" s="390" t="s">
        <v>365</v>
      </c>
      <c r="F941" s="391">
        <v>87244.0</v>
      </c>
      <c r="G941" s="391">
        <v>12137.0</v>
      </c>
      <c r="H941" s="391">
        <v>13.91</v>
      </c>
      <c r="I941" s="391">
        <v>1.67</v>
      </c>
      <c r="J941" s="391">
        <v>1.53</v>
      </c>
      <c r="K941" s="391">
        <v>13771.0</v>
      </c>
      <c r="L941" s="391">
        <v>825971.0</v>
      </c>
      <c r="M941" s="391">
        <v>0.1578</v>
      </c>
      <c r="N941" s="38">
        <v>1.1346</v>
      </c>
    </row>
    <row r="942">
      <c r="A942" s="389" t="s">
        <v>1970</v>
      </c>
      <c r="B942" s="389" t="s">
        <v>339</v>
      </c>
      <c r="C942" s="389" t="s">
        <v>7</v>
      </c>
      <c r="D942" s="389" t="s">
        <v>591</v>
      </c>
      <c r="E942" s="390" t="s">
        <v>37</v>
      </c>
      <c r="F942" s="391">
        <v>87244.0</v>
      </c>
      <c r="G942" s="391">
        <v>8838.0</v>
      </c>
      <c r="H942" s="391">
        <v>10.13</v>
      </c>
      <c r="I942" s="391">
        <v>1.29</v>
      </c>
      <c r="J942" s="391">
        <v>1.31</v>
      </c>
      <c r="K942" s="391">
        <v>10647.0</v>
      </c>
      <c r="L942" s="391">
        <v>825971.0</v>
      </c>
      <c r="M942" s="391">
        <v>0.122</v>
      </c>
      <c r="N942" s="38">
        <v>1.2047</v>
      </c>
    </row>
    <row r="943">
      <c r="A943" s="389" t="s">
        <v>1970</v>
      </c>
      <c r="B943" s="389" t="s">
        <v>339</v>
      </c>
      <c r="C943" s="389" t="s">
        <v>7</v>
      </c>
      <c r="D943" s="389" t="s">
        <v>591</v>
      </c>
      <c r="E943" s="390" t="s">
        <v>45</v>
      </c>
      <c r="F943" s="391">
        <v>87244.0</v>
      </c>
      <c r="G943" s="391">
        <v>6743.0</v>
      </c>
      <c r="H943" s="391">
        <v>7.73</v>
      </c>
      <c r="I943" s="391">
        <v>0.97</v>
      </c>
      <c r="J943" s="391">
        <v>0.67</v>
      </c>
      <c r="K943" s="391">
        <v>8043.0</v>
      </c>
      <c r="L943" s="391">
        <v>825971.0</v>
      </c>
      <c r="M943" s="391">
        <v>0.0922</v>
      </c>
      <c r="N943" s="38">
        <v>1.1928</v>
      </c>
    </row>
    <row r="944">
      <c r="A944" s="389" t="s">
        <v>1970</v>
      </c>
      <c r="B944" s="389" t="s">
        <v>339</v>
      </c>
      <c r="C944" s="389" t="s">
        <v>7</v>
      </c>
      <c r="D944" s="389" t="s">
        <v>591</v>
      </c>
      <c r="E944" s="390" t="s">
        <v>108</v>
      </c>
      <c r="F944" s="391">
        <v>87244.0</v>
      </c>
      <c r="G944" s="391">
        <v>3374.0</v>
      </c>
      <c r="H944" s="391">
        <v>3.87</v>
      </c>
      <c r="I944" s="391">
        <v>0.49</v>
      </c>
      <c r="J944" s="391">
        <v>0.42</v>
      </c>
      <c r="K944" s="391">
        <v>4088.0</v>
      </c>
      <c r="L944" s="391">
        <v>825971.0</v>
      </c>
      <c r="M944" s="391">
        <v>0.0469</v>
      </c>
      <c r="N944" s="38">
        <v>1.2116</v>
      </c>
    </row>
    <row r="945">
      <c r="A945" s="389" t="s">
        <v>1970</v>
      </c>
      <c r="B945" s="389" t="s">
        <v>339</v>
      </c>
      <c r="C945" s="389" t="s">
        <v>7</v>
      </c>
      <c r="D945" s="389" t="s">
        <v>591</v>
      </c>
      <c r="E945" s="390" t="s">
        <v>38</v>
      </c>
      <c r="F945" s="391">
        <v>87244.0</v>
      </c>
      <c r="G945" s="391">
        <v>1081.0</v>
      </c>
      <c r="H945" s="391">
        <v>1.24</v>
      </c>
      <c r="I945" s="391">
        <v>0.13</v>
      </c>
      <c r="J945" s="391">
        <v>0.13</v>
      </c>
      <c r="K945" s="391">
        <v>1102.0</v>
      </c>
      <c r="L945" s="391">
        <v>825971.0</v>
      </c>
      <c r="M945" s="391">
        <v>0.0126</v>
      </c>
      <c r="N945" s="38">
        <v>1.0194</v>
      </c>
    </row>
    <row r="946">
      <c r="A946" s="389" t="s">
        <v>1970</v>
      </c>
      <c r="B946" s="389" t="s">
        <v>339</v>
      </c>
      <c r="C946" s="389" t="s">
        <v>7</v>
      </c>
      <c r="D946" s="389" t="s">
        <v>591</v>
      </c>
      <c r="E946" s="390" t="s">
        <v>372</v>
      </c>
      <c r="F946" s="391">
        <v>87244.0</v>
      </c>
      <c r="G946" s="391">
        <v>2.0</v>
      </c>
      <c r="H946" s="391">
        <v>0.0</v>
      </c>
      <c r="I946" s="391">
        <v>0.0</v>
      </c>
      <c r="J946" s="391">
        <v>0.0</v>
      </c>
      <c r="K946" s="391">
        <v>4.0</v>
      </c>
      <c r="L946" s="391">
        <v>825971.0</v>
      </c>
      <c r="M946" s="391">
        <v>0.0</v>
      </c>
      <c r="N946" s="38">
        <v>2.0</v>
      </c>
    </row>
    <row r="947">
      <c r="A947" s="389" t="s">
        <v>1970</v>
      </c>
      <c r="B947" s="389" t="s">
        <v>339</v>
      </c>
      <c r="C947" s="389" t="s">
        <v>7</v>
      </c>
      <c r="D947" s="389" t="s">
        <v>591</v>
      </c>
      <c r="E947" s="390" t="s">
        <v>366</v>
      </c>
      <c r="F947" s="391">
        <v>87244.0</v>
      </c>
      <c r="G947" s="391">
        <v>1.0</v>
      </c>
      <c r="H947" s="391">
        <v>0.0</v>
      </c>
      <c r="I947" s="391">
        <v>0.0</v>
      </c>
      <c r="J947" s="391">
        <v>0.0</v>
      </c>
      <c r="K947" s="391">
        <v>1.0</v>
      </c>
      <c r="L947" s="391">
        <v>825971.0</v>
      </c>
      <c r="M947" s="391">
        <v>0.0</v>
      </c>
      <c r="N947" s="38">
        <v>1.0</v>
      </c>
    </row>
    <row r="948">
      <c r="A948" s="389" t="s">
        <v>1970</v>
      </c>
      <c r="B948" s="389" t="s">
        <v>339</v>
      </c>
      <c r="C948" s="389" t="s">
        <v>7</v>
      </c>
      <c r="D948" s="389" t="s">
        <v>591</v>
      </c>
      <c r="E948" s="390" t="s">
        <v>283</v>
      </c>
      <c r="F948" s="391">
        <v>87244.0</v>
      </c>
      <c r="G948" s="391">
        <v>1.0</v>
      </c>
      <c r="H948" s="391">
        <v>0.0</v>
      </c>
      <c r="I948" s="391">
        <v>0.0</v>
      </c>
      <c r="J948" s="391">
        <v>0.0</v>
      </c>
      <c r="K948" s="391">
        <v>1.0</v>
      </c>
      <c r="L948" s="391">
        <v>825971.0</v>
      </c>
      <c r="M948" s="391">
        <v>0.0</v>
      </c>
      <c r="N948" s="38">
        <v>1.0</v>
      </c>
    </row>
    <row r="949">
      <c r="A949" s="389" t="s">
        <v>1970</v>
      </c>
      <c r="B949" s="389" t="s">
        <v>339</v>
      </c>
      <c r="C949" s="389" t="s">
        <v>7</v>
      </c>
      <c r="D949" s="389" t="s">
        <v>591</v>
      </c>
      <c r="E949" s="390" t="s">
        <v>27</v>
      </c>
      <c r="F949" s="391">
        <v>87244.0</v>
      </c>
      <c r="G949" s="391">
        <v>19.0</v>
      </c>
      <c r="H949" s="391">
        <v>0.02</v>
      </c>
      <c r="I949" s="391">
        <v>0.0</v>
      </c>
      <c r="J949" s="391">
        <v>0.01</v>
      </c>
      <c r="K949" s="391">
        <v>22.0</v>
      </c>
      <c r="L949" s="391">
        <v>825971.0</v>
      </c>
      <c r="M949" s="391">
        <v>3.0E-4</v>
      </c>
      <c r="N949" s="38">
        <v>1.1579</v>
      </c>
    </row>
    <row r="950">
      <c r="A950" s="389" t="s">
        <v>1970</v>
      </c>
      <c r="B950" s="389" t="s">
        <v>339</v>
      </c>
      <c r="C950" s="389" t="s">
        <v>11</v>
      </c>
      <c r="D950" s="389" t="s">
        <v>591</v>
      </c>
      <c r="E950" s="390" t="s">
        <v>370</v>
      </c>
      <c r="F950" s="391">
        <v>65706.0</v>
      </c>
      <c r="G950" s="391">
        <v>44309.0</v>
      </c>
      <c r="H950" s="391">
        <v>67.44</v>
      </c>
      <c r="I950" s="391">
        <v>24.32</v>
      </c>
      <c r="J950" s="391">
        <v>28.63</v>
      </c>
      <c r="K950" s="391">
        <v>68873.0</v>
      </c>
      <c r="L950" s="391">
        <v>283138.0</v>
      </c>
      <c r="M950" s="391">
        <v>1.0482</v>
      </c>
      <c r="N950" s="38">
        <v>1.5544</v>
      </c>
    </row>
    <row r="951">
      <c r="A951" s="389" t="s">
        <v>1970</v>
      </c>
      <c r="B951" s="389" t="s">
        <v>339</v>
      </c>
      <c r="C951" s="389" t="s">
        <v>11</v>
      </c>
      <c r="D951" s="389" t="s">
        <v>591</v>
      </c>
      <c r="E951" s="390" t="s">
        <v>37</v>
      </c>
      <c r="F951" s="391">
        <v>65706.0</v>
      </c>
      <c r="G951" s="391">
        <v>35875.0</v>
      </c>
      <c r="H951" s="391">
        <v>54.6</v>
      </c>
      <c r="I951" s="391">
        <v>22.69</v>
      </c>
      <c r="J951" s="391">
        <v>24.94</v>
      </c>
      <c r="K951" s="391">
        <v>64242.0</v>
      </c>
      <c r="L951" s="391">
        <v>283138.0</v>
      </c>
      <c r="M951" s="391">
        <v>0.9777</v>
      </c>
      <c r="N951" s="38">
        <v>1.7907</v>
      </c>
    </row>
    <row r="952">
      <c r="A952" s="389" t="s">
        <v>1970</v>
      </c>
      <c r="B952" s="389" t="s">
        <v>339</v>
      </c>
      <c r="C952" s="389" t="s">
        <v>11</v>
      </c>
      <c r="D952" s="389" t="s">
        <v>591</v>
      </c>
      <c r="E952" s="390" t="s">
        <v>371</v>
      </c>
      <c r="F952" s="391">
        <v>65706.0</v>
      </c>
      <c r="G952" s="391">
        <v>14254.0</v>
      </c>
      <c r="H952" s="391">
        <v>21.69</v>
      </c>
      <c r="I952" s="391">
        <v>11.78</v>
      </c>
      <c r="J952" s="391">
        <v>7.91</v>
      </c>
      <c r="K952" s="391">
        <v>33351.0</v>
      </c>
      <c r="L952" s="391">
        <v>283138.0</v>
      </c>
      <c r="M952" s="391">
        <v>0.5076</v>
      </c>
      <c r="N952" s="38">
        <v>2.3398</v>
      </c>
    </row>
    <row r="953">
      <c r="A953" s="389" t="s">
        <v>1970</v>
      </c>
      <c r="B953" s="389" t="s">
        <v>339</v>
      </c>
      <c r="C953" s="389" t="s">
        <v>11</v>
      </c>
      <c r="D953" s="389" t="s">
        <v>591</v>
      </c>
      <c r="E953" s="390" t="s">
        <v>363</v>
      </c>
      <c r="F953" s="391">
        <v>65706.0</v>
      </c>
      <c r="G953" s="391">
        <v>14357.0</v>
      </c>
      <c r="H953" s="391">
        <v>21.85</v>
      </c>
      <c r="I953" s="391">
        <v>9.53</v>
      </c>
      <c r="J953" s="391">
        <v>7.05</v>
      </c>
      <c r="K953" s="391">
        <v>26988.0</v>
      </c>
      <c r="L953" s="391">
        <v>283138.0</v>
      </c>
      <c r="M953" s="391">
        <v>0.4107</v>
      </c>
      <c r="N953" s="38">
        <v>1.8798</v>
      </c>
    </row>
    <row r="954">
      <c r="A954" s="389" t="s">
        <v>1970</v>
      </c>
      <c r="B954" s="389" t="s">
        <v>339</v>
      </c>
      <c r="C954" s="389" t="s">
        <v>11</v>
      </c>
      <c r="D954" s="389" t="s">
        <v>591</v>
      </c>
      <c r="E954" s="390" t="s">
        <v>45</v>
      </c>
      <c r="F954" s="391">
        <v>65706.0</v>
      </c>
      <c r="G954" s="391">
        <v>16532.0</v>
      </c>
      <c r="H954" s="391">
        <v>25.16</v>
      </c>
      <c r="I954" s="391">
        <v>8.1</v>
      </c>
      <c r="J954" s="391">
        <v>8.27</v>
      </c>
      <c r="K954" s="391">
        <v>22933.0</v>
      </c>
      <c r="L954" s="391">
        <v>283138.0</v>
      </c>
      <c r="M954" s="391">
        <v>0.349</v>
      </c>
      <c r="N954" s="38">
        <v>1.3872</v>
      </c>
    </row>
    <row r="955">
      <c r="A955" s="389" t="s">
        <v>1970</v>
      </c>
      <c r="B955" s="389" t="s">
        <v>339</v>
      </c>
      <c r="C955" s="389" t="s">
        <v>11</v>
      </c>
      <c r="D955" s="389" t="s">
        <v>591</v>
      </c>
      <c r="E955" s="390" t="s">
        <v>108</v>
      </c>
      <c r="F955" s="391">
        <v>65706.0</v>
      </c>
      <c r="G955" s="391">
        <v>11499.0</v>
      </c>
      <c r="H955" s="391">
        <v>17.5</v>
      </c>
      <c r="I955" s="391">
        <v>5.12</v>
      </c>
      <c r="J955" s="391">
        <v>5.98</v>
      </c>
      <c r="K955" s="391">
        <v>14504.0</v>
      </c>
      <c r="L955" s="391">
        <v>283138.0</v>
      </c>
      <c r="M955" s="391">
        <v>0.2207</v>
      </c>
      <c r="N955" s="38">
        <v>1.2613</v>
      </c>
    </row>
    <row r="956">
      <c r="A956" s="389" t="s">
        <v>1970</v>
      </c>
      <c r="B956" s="389" t="s">
        <v>339</v>
      </c>
      <c r="C956" s="389" t="s">
        <v>11</v>
      </c>
      <c r="D956" s="389" t="s">
        <v>591</v>
      </c>
      <c r="E956" s="390" t="s">
        <v>365</v>
      </c>
      <c r="F956" s="391">
        <v>65706.0</v>
      </c>
      <c r="G956" s="391">
        <v>13800.0</v>
      </c>
      <c r="H956" s="391">
        <v>21.0</v>
      </c>
      <c r="I956" s="391">
        <v>5.1</v>
      </c>
      <c r="J956" s="391">
        <v>6.21</v>
      </c>
      <c r="K956" s="391">
        <v>14426.0</v>
      </c>
      <c r="L956" s="391">
        <v>283138.0</v>
      </c>
      <c r="M956" s="391">
        <v>0.2196</v>
      </c>
      <c r="N956" s="38">
        <v>1.0454</v>
      </c>
    </row>
    <row r="957">
      <c r="A957" s="389" t="s">
        <v>1970</v>
      </c>
      <c r="B957" s="389" t="s">
        <v>339</v>
      </c>
      <c r="C957" s="389" t="s">
        <v>11</v>
      </c>
      <c r="D957" s="389" t="s">
        <v>591</v>
      </c>
      <c r="E957" s="390" t="s">
        <v>369</v>
      </c>
      <c r="F957" s="391">
        <v>65706.0</v>
      </c>
      <c r="G957" s="391">
        <v>9994.0</v>
      </c>
      <c r="H957" s="391">
        <v>15.21</v>
      </c>
      <c r="I957" s="391">
        <v>4.74</v>
      </c>
      <c r="J957" s="391">
        <v>3.48</v>
      </c>
      <c r="K957" s="391">
        <v>13433.0</v>
      </c>
      <c r="L957" s="391">
        <v>283138.0</v>
      </c>
      <c r="M957" s="391">
        <v>0.2044</v>
      </c>
      <c r="N957" s="38">
        <v>1.3441</v>
      </c>
    </row>
    <row r="958">
      <c r="A958" s="389" t="s">
        <v>1970</v>
      </c>
      <c r="B958" s="389" t="s">
        <v>339</v>
      </c>
      <c r="C958" s="389" t="s">
        <v>11</v>
      </c>
      <c r="D958" s="389" t="s">
        <v>591</v>
      </c>
      <c r="E958" s="390" t="s">
        <v>366</v>
      </c>
      <c r="F958" s="391">
        <v>65706.0</v>
      </c>
      <c r="G958" s="391">
        <v>9324.0</v>
      </c>
      <c r="H958" s="391">
        <v>14.19</v>
      </c>
      <c r="I958" s="391">
        <v>3.46</v>
      </c>
      <c r="J958" s="391">
        <v>2.79</v>
      </c>
      <c r="K958" s="391">
        <v>9809.0</v>
      </c>
      <c r="L958" s="391">
        <v>283138.0</v>
      </c>
      <c r="M958" s="391">
        <v>0.1493</v>
      </c>
      <c r="N958" s="38">
        <v>1.052</v>
      </c>
    </row>
    <row r="959">
      <c r="A959" s="389" t="s">
        <v>1970</v>
      </c>
      <c r="B959" s="389" t="s">
        <v>339</v>
      </c>
      <c r="C959" s="389" t="s">
        <v>11</v>
      </c>
      <c r="D959" s="389" t="s">
        <v>591</v>
      </c>
      <c r="E959" s="390" t="s">
        <v>35</v>
      </c>
      <c r="F959" s="391">
        <v>65706.0</v>
      </c>
      <c r="G959" s="391">
        <v>5268.0</v>
      </c>
      <c r="H959" s="391">
        <v>8.02</v>
      </c>
      <c r="I959" s="391">
        <v>3.15</v>
      </c>
      <c r="J959" s="391">
        <v>2.69</v>
      </c>
      <c r="K959" s="391">
        <v>8919.0</v>
      </c>
      <c r="L959" s="391">
        <v>283138.0</v>
      </c>
      <c r="M959" s="391">
        <v>0.1357</v>
      </c>
      <c r="N959" s="38">
        <v>1.6931</v>
      </c>
    </row>
    <row r="960">
      <c r="A960" s="389" t="s">
        <v>1970</v>
      </c>
      <c r="B960" s="389" t="s">
        <v>339</v>
      </c>
      <c r="C960" s="389" t="s">
        <v>11</v>
      </c>
      <c r="D960" s="389" t="s">
        <v>591</v>
      </c>
      <c r="E960" s="390" t="s">
        <v>284</v>
      </c>
      <c r="F960" s="391">
        <v>65706.0</v>
      </c>
      <c r="G960" s="391">
        <v>1473.0</v>
      </c>
      <c r="H960" s="391">
        <v>2.24</v>
      </c>
      <c r="I960" s="391">
        <v>0.55</v>
      </c>
      <c r="J960" s="391">
        <v>0.54</v>
      </c>
      <c r="K960" s="391">
        <v>1557.0</v>
      </c>
      <c r="L960" s="391">
        <v>283138.0</v>
      </c>
      <c r="M960" s="391">
        <v>0.0237</v>
      </c>
      <c r="N960" s="38">
        <v>1.057</v>
      </c>
    </row>
    <row r="961">
      <c r="A961" s="389" t="s">
        <v>1970</v>
      </c>
      <c r="B961" s="389" t="s">
        <v>339</v>
      </c>
      <c r="C961" s="389" t="s">
        <v>11</v>
      </c>
      <c r="D961" s="389" t="s">
        <v>591</v>
      </c>
      <c r="E961" s="390" t="s">
        <v>282</v>
      </c>
      <c r="F961" s="391">
        <v>65706.0</v>
      </c>
      <c r="G961" s="391">
        <v>1397.0</v>
      </c>
      <c r="H961" s="391">
        <v>2.13</v>
      </c>
      <c r="I961" s="391">
        <v>0.52</v>
      </c>
      <c r="J961" s="391">
        <v>0.57</v>
      </c>
      <c r="K961" s="391">
        <v>1473.0</v>
      </c>
      <c r="L961" s="391">
        <v>283138.0</v>
      </c>
      <c r="M961" s="391">
        <v>0.0224</v>
      </c>
      <c r="N961" s="38">
        <v>1.0544</v>
      </c>
    </row>
    <row r="962">
      <c r="A962" s="389" t="s">
        <v>1970</v>
      </c>
      <c r="B962" s="389" t="s">
        <v>339</v>
      </c>
      <c r="C962" s="389" t="s">
        <v>11</v>
      </c>
      <c r="D962" s="389" t="s">
        <v>591</v>
      </c>
      <c r="E962" s="390" t="s">
        <v>283</v>
      </c>
      <c r="F962" s="391">
        <v>65706.0</v>
      </c>
      <c r="G962" s="391">
        <v>1187.0</v>
      </c>
      <c r="H962" s="391">
        <v>1.81</v>
      </c>
      <c r="I962" s="391">
        <v>0.43</v>
      </c>
      <c r="J962" s="391">
        <v>0.54</v>
      </c>
      <c r="K962" s="391">
        <v>1226.0</v>
      </c>
      <c r="L962" s="391">
        <v>283138.0</v>
      </c>
      <c r="M962" s="391">
        <v>0.0187</v>
      </c>
      <c r="N962" s="38">
        <v>1.0329</v>
      </c>
    </row>
    <row r="963">
      <c r="A963" s="389" t="s">
        <v>1970</v>
      </c>
      <c r="B963" s="389" t="s">
        <v>339</v>
      </c>
      <c r="C963" s="389" t="s">
        <v>11</v>
      </c>
      <c r="D963" s="389" t="s">
        <v>591</v>
      </c>
      <c r="E963" s="390" t="s">
        <v>39</v>
      </c>
      <c r="F963" s="391">
        <v>65706.0</v>
      </c>
      <c r="G963" s="391">
        <v>903.0</v>
      </c>
      <c r="H963" s="391">
        <v>1.37</v>
      </c>
      <c r="I963" s="391">
        <v>0.37</v>
      </c>
      <c r="J963" s="391">
        <v>0.26</v>
      </c>
      <c r="K963" s="391">
        <v>1042.0</v>
      </c>
      <c r="L963" s="391">
        <v>283138.0</v>
      </c>
      <c r="M963" s="391">
        <v>0.0159</v>
      </c>
      <c r="N963" s="38">
        <v>1.1539</v>
      </c>
    </row>
    <row r="964">
      <c r="A964" s="389" t="s">
        <v>1970</v>
      </c>
      <c r="B964" s="389" t="s">
        <v>339</v>
      </c>
      <c r="C964" s="389" t="s">
        <v>11</v>
      </c>
      <c r="D964" s="389" t="s">
        <v>591</v>
      </c>
      <c r="E964" s="390" t="s">
        <v>27</v>
      </c>
      <c r="F964" s="391">
        <v>65706.0</v>
      </c>
      <c r="G964" s="391">
        <v>260.0</v>
      </c>
      <c r="H964" s="391">
        <v>0.4</v>
      </c>
      <c r="I964" s="391">
        <v>0.09</v>
      </c>
      <c r="J964" s="391">
        <v>0.11</v>
      </c>
      <c r="K964" s="391">
        <v>264.0</v>
      </c>
      <c r="L964" s="391">
        <v>283138.0</v>
      </c>
      <c r="M964" s="391">
        <v>0.004</v>
      </c>
      <c r="N964" s="38">
        <v>1.0154</v>
      </c>
    </row>
    <row r="965">
      <c r="A965" s="389" t="s">
        <v>1970</v>
      </c>
      <c r="B965" s="389" t="s">
        <v>339</v>
      </c>
      <c r="C965" s="389" t="s">
        <v>11</v>
      </c>
      <c r="D965" s="389" t="s">
        <v>591</v>
      </c>
      <c r="E965" s="390" t="s">
        <v>368</v>
      </c>
      <c r="F965" s="391">
        <v>65706.0</v>
      </c>
      <c r="G965" s="391">
        <v>48.0</v>
      </c>
      <c r="H965" s="391">
        <v>0.07</v>
      </c>
      <c r="I965" s="391">
        <v>0.02</v>
      </c>
      <c r="J965" s="391">
        <v>0.01</v>
      </c>
      <c r="K965" s="391">
        <v>49.0</v>
      </c>
      <c r="L965" s="391">
        <v>283138.0</v>
      </c>
      <c r="M965" s="391">
        <v>7.0E-4</v>
      </c>
      <c r="N965" s="38">
        <v>1.0208</v>
      </c>
    </row>
    <row r="966">
      <c r="A966" s="389" t="s">
        <v>1970</v>
      </c>
      <c r="B966" s="389" t="s">
        <v>339</v>
      </c>
      <c r="C966" s="389" t="s">
        <v>11</v>
      </c>
      <c r="D966" s="389" t="s">
        <v>591</v>
      </c>
      <c r="E966" s="390" t="s">
        <v>38</v>
      </c>
      <c r="F966" s="391">
        <v>65706.0</v>
      </c>
      <c r="G966" s="391">
        <v>38.0</v>
      </c>
      <c r="H966" s="391">
        <v>0.06</v>
      </c>
      <c r="I966" s="391">
        <v>0.01</v>
      </c>
      <c r="J966" s="391">
        <v>0.02</v>
      </c>
      <c r="K966" s="391">
        <v>39.0</v>
      </c>
      <c r="L966" s="391">
        <v>283138.0</v>
      </c>
      <c r="M966" s="391">
        <v>6.0E-4</v>
      </c>
      <c r="N966" s="38">
        <v>1.0263</v>
      </c>
    </row>
    <row r="967">
      <c r="A967" s="389" t="s">
        <v>1970</v>
      </c>
      <c r="B967" s="389" t="s">
        <v>339</v>
      </c>
      <c r="C967" s="389" t="s">
        <v>11</v>
      </c>
      <c r="D967" s="389" t="s">
        <v>591</v>
      </c>
      <c r="E967" s="390" t="s">
        <v>372</v>
      </c>
      <c r="F967" s="391">
        <v>65706.0</v>
      </c>
      <c r="G967" s="391">
        <v>2.0</v>
      </c>
      <c r="H967" s="391">
        <v>0.0</v>
      </c>
      <c r="I967" s="391">
        <v>0.0</v>
      </c>
      <c r="J967" s="391">
        <v>0.0</v>
      </c>
      <c r="K967" s="391">
        <v>4.0</v>
      </c>
      <c r="L967" s="391">
        <v>283138.0</v>
      </c>
      <c r="M967" s="391">
        <v>1.0E-4</v>
      </c>
      <c r="N967" s="38">
        <v>2.0</v>
      </c>
    </row>
    <row r="968">
      <c r="A968" s="389" t="s">
        <v>1970</v>
      </c>
      <c r="B968" s="389" t="s">
        <v>339</v>
      </c>
      <c r="C968" s="389" t="s">
        <v>11</v>
      </c>
      <c r="D968" s="389" t="s">
        <v>591</v>
      </c>
      <c r="E968" s="390" t="s">
        <v>163</v>
      </c>
      <c r="F968" s="391">
        <v>65706.0</v>
      </c>
      <c r="G968" s="391">
        <v>6.0</v>
      </c>
      <c r="H968" s="391">
        <v>0.01</v>
      </c>
      <c r="I968" s="391">
        <v>0.0</v>
      </c>
      <c r="J968" s="391">
        <v>0.0</v>
      </c>
      <c r="K968" s="391">
        <v>6.0</v>
      </c>
      <c r="L968" s="391">
        <v>283138.0</v>
      </c>
      <c r="M968" s="391">
        <v>1.0E-4</v>
      </c>
      <c r="N968" s="38">
        <v>1.0</v>
      </c>
    </row>
    <row r="969">
      <c r="A969" s="389" t="s">
        <v>1970</v>
      </c>
      <c r="B969" s="389" t="s">
        <v>339</v>
      </c>
      <c r="C969" s="389" t="s">
        <v>357</v>
      </c>
      <c r="D969" s="389" t="s">
        <v>357</v>
      </c>
      <c r="E969" s="390" t="s">
        <v>370</v>
      </c>
      <c r="F969" s="391">
        <v>91039.0</v>
      </c>
      <c r="G969" s="391">
        <v>88380.0</v>
      </c>
      <c r="H969" s="391">
        <v>97.08</v>
      </c>
      <c r="I969" s="391">
        <v>23.0</v>
      </c>
      <c r="J969" s="391">
        <v>26.87</v>
      </c>
      <c r="K969" s="391">
        <v>1.237124E7</v>
      </c>
      <c r="L969" s="391">
        <v>5.3786058E7</v>
      </c>
      <c r="M969" s="391">
        <v>135.8895</v>
      </c>
      <c r="N969" s="38">
        <v>139.9778</v>
      </c>
    </row>
    <row r="970">
      <c r="A970" s="389" t="s">
        <v>1970</v>
      </c>
      <c r="B970" s="389" t="s">
        <v>339</v>
      </c>
      <c r="C970" s="389" t="s">
        <v>357</v>
      </c>
      <c r="D970" s="389" t="s">
        <v>357</v>
      </c>
      <c r="E970" s="390" t="s">
        <v>366</v>
      </c>
      <c r="F970" s="391">
        <v>91039.0</v>
      </c>
      <c r="G970" s="391">
        <v>77050.0</v>
      </c>
      <c r="H970" s="391">
        <v>84.63</v>
      </c>
      <c r="I970" s="391">
        <v>20.1</v>
      </c>
      <c r="J970" s="391">
        <v>20.21</v>
      </c>
      <c r="K970" s="391">
        <v>1.080975E7</v>
      </c>
      <c r="L970" s="391">
        <v>5.3786058E7</v>
      </c>
      <c r="M970" s="391">
        <v>118.7376</v>
      </c>
      <c r="N970" s="38">
        <v>140.2953</v>
      </c>
    </row>
    <row r="971">
      <c r="A971" s="389" t="s">
        <v>1970</v>
      </c>
      <c r="B971" s="389" t="s">
        <v>339</v>
      </c>
      <c r="C971" s="389" t="s">
        <v>357</v>
      </c>
      <c r="D971" s="389" t="s">
        <v>357</v>
      </c>
      <c r="E971" s="390" t="s">
        <v>37</v>
      </c>
      <c r="F971" s="391">
        <v>91039.0</v>
      </c>
      <c r="G971" s="391">
        <v>37046.0</v>
      </c>
      <c r="H971" s="391">
        <v>40.69</v>
      </c>
      <c r="I971" s="391">
        <v>8.47</v>
      </c>
      <c r="J971" s="391">
        <v>7.84</v>
      </c>
      <c r="K971" s="391">
        <v>4554330.0</v>
      </c>
      <c r="L971" s="391">
        <v>5.3786058E7</v>
      </c>
      <c r="M971" s="391">
        <v>50.0261</v>
      </c>
      <c r="N971" s="38">
        <v>122.9372</v>
      </c>
    </row>
    <row r="972">
      <c r="A972" s="389" t="s">
        <v>1970</v>
      </c>
      <c r="B972" s="389" t="s">
        <v>339</v>
      </c>
      <c r="C972" s="389" t="s">
        <v>357</v>
      </c>
      <c r="D972" s="389" t="s">
        <v>357</v>
      </c>
      <c r="E972" s="390" t="s">
        <v>45</v>
      </c>
      <c r="F972" s="391">
        <v>91039.0</v>
      </c>
      <c r="G972" s="391">
        <v>35935.0</v>
      </c>
      <c r="H972" s="391">
        <v>39.47</v>
      </c>
      <c r="I972" s="391">
        <v>7.24</v>
      </c>
      <c r="J972" s="391">
        <v>6.03</v>
      </c>
      <c r="K972" s="391">
        <v>3896200.0</v>
      </c>
      <c r="L972" s="391">
        <v>5.3786058E7</v>
      </c>
      <c r="M972" s="391">
        <v>42.797</v>
      </c>
      <c r="N972" s="38">
        <v>108.4235</v>
      </c>
    </row>
    <row r="973">
      <c r="A973" s="389" t="s">
        <v>1970</v>
      </c>
      <c r="B973" s="389" t="s">
        <v>339</v>
      </c>
      <c r="C973" s="389" t="s">
        <v>357</v>
      </c>
      <c r="D973" s="389" t="s">
        <v>357</v>
      </c>
      <c r="E973" s="390" t="s">
        <v>371</v>
      </c>
      <c r="F973" s="391">
        <v>91039.0</v>
      </c>
      <c r="G973" s="391">
        <v>70328.0</v>
      </c>
      <c r="H973" s="391">
        <v>77.25</v>
      </c>
      <c r="I973" s="391">
        <v>6.89</v>
      </c>
      <c r="J973" s="391">
        <v>9.37</v>
      </c>
      <c r="K973" s="391">
        <v>3703940.0</v>
      </c>
      <c r="L973" s="391">
        <v>5.3786058E7</v>
      </c>
      <c r="M973" s="391">
        <v>40.6852</v>
      </c>
      <c r="N973" s="38">
        <v>52.6666</v>
      </c>
    </row>
    <row r="974">
      <c r="A974" s="389" t="s">
        <v>1970</v>
      </c>
      <c r="B974" s="389" t="s">
        <v>339</v>
      </c>
      <c r="C974" s="389" t="s">
        <v>357</v>
      </c>
      <c r="D974" s="389" t="s">
        <v>357</v>
      </c>
      <c r="E974" s="390" t="s">
        <v>35</v>
      </c>
      <c r="F974" s="391">
        <v>91039.0</v>
      </c>
      <c r="G974" s="391">
        <v>27411.0</v>
      </c>
      <c r="H974" s="391">
        <v>30.11</v>
      </c>
      <c r="I974" s="391">
        <v>6.57</v>
      </c>
      <c r="J974" s="391">
        <v>4.97</v>
      </c>
      <c r="K974" s="391">
        <v>3531430.0</v>
      </c>
      <c r="L974" s="391">
        <v>5.3786058E7</v>
      </c>
      <c r="M974" s="391">
        <v>38.7903</v>
      </c>
      <c r="N974" s="38">
        <v>128.8326</v>
      </c>
    </row>
    <row r="975">
      <c r="A975" s="389" t="s">
        <v>1970</v>
      </c>
      <c r="B975" s="389" t="s">
        <v>339</v>
      </c>
      <c r="C975" s="389" t="s">
        <v>357</v>
      </c>
      <c r="D975" s="389" t="s">
        <v>357</v>
      </c>
      <c r="E975" s="390" t="s">
        <v>365</v>
      </c>
      <c r="F975" s="391">
        <v>91039.0</v>
      </c>
      <c r="G975" s="391">
        <v>49891.0</v>
      </c>
      <c r="H975" s="391">
        <v>54.8</v>
      </c>
      <c r="I975" s="391">
        <v>5.98</v>
      </c>
      <c r="J975" s="391">
        <v>6.72</v>
      </c>
      <c r="K975" s="391">
        <v>3215490.0</v>
      </c>
      <c r="L975" s="391">
        <v>5.3786058E7</v>
      </c>
      <c r="M975" s="391">
        <v>35.3199</v>
      </c>
      <c r="N975" s="38">
        <v>64.4503</v>
      </c>
    </row>
    <row r="976">
      <c r="A976" s="389" t="s">
        <v>1970</v>
      </c>
      <c r="B976" s="389" t="s">
        <v>339</v>
      </c>
      <c r="C976" s="389" t="s">
        <v>357</v>
      </c>
      <c r="D976" s="389" t="s">
        <v>357</v>
      </c>
      <c r="E976" s="390" t="s">
        <v>363</v>
      </c>
      <c r="F976" s="391">
        <v>91039.0</v>
      </c>
      <c r="G976" s="391">
        <v>32033.0</v>
      </c>
      <c r="H976" s="391">
        <v>35.19</v>
      </c>
      <c r="I976" s="391">
        <v>4.78</v>
      </c>
      <c r="J976" s="391">
        <v>3.47</v>
      </c>
      <c r="K976" s="391">
        <v>2570700.0</v>
      </c>
      <c r="L976" s="391">
        <v>5.3786058E7</v>
      </c>
      <c r="M976" s="391">
        <v>28.2373</v>
      </c>
      <c r="N976" s="38">
        <v>80.2516</v>
      </c>
    </row>
    <row r="977">
      <c r="A977" s="389" t="s">
        <v>1970</v>
      </c>
      <c r="B977" s="389" t="s">
        <v>339</v>
      </c>
      <c r="C977" s="389" t="s">
        <v>357</v>
      </c>
      <c r="D977" s="389" t="s">
        <v>357</v>
      </c>
      <c r="E977" s="390" t="s">
        <v>369</v>
      </c>
      <c r="F977" s="391">
        <v>91039.0</v>
      </c>
      <c r="G977" s="391">
        <v>32553.0</v>
      </c>
      <c r="H977" s="391">
        <v>35.76</v>
      </c>
      <c r="I977" s="391">
        <v>4.2</v>
      </c>
      <c r="J977" s="391">
        <v>2.98</v>
      </c>
      <c r="K977" s="391">
        <v>2260688.0</v>
      </c>
      <c r="L977" s="391">
        <v>5.3786058E7</v>
      </c>
      <c r="M977" s="391">
        <v>24.8321</v>
      </c>
      <c r="N977" s="38">
        <v>69.4464</v>
      </c>
    </row>
    <row r="978">
      <c r="A978" s="389" t="s">
        <v>1970</v>
      </c>
      <c r="B978" s="389" t="s">
        <v>339</v>
      </c>
      <c r="C978" s="389" t="s">
        <v>357</v>
      </c>
      <c r="D978" s="389" t="s">
        <v>357</v>
      </c>
      <c r="E978" s="390" t="s">
        <v>367</v>
      </c>
      <c r="F978" s="391">
        <v>91039.0</v>
      </c>
      <c r="G978" s="391">
        <v>37277.0</v>
      </c>
      <c r="H978" s="391">
        <v>40.95</v>
      </c>
      <c r="I978" s="391">
        <v>3.77</v>
      </c>
      <c r="J978" s="391">
        <v>4.17</v>
      </c>
      <c r="K978" s="391">
        <v>2026720.0</v>
      </c>
      <c r="L978" s="391">
        <v>5.3786058E7</v>
      </c>
      <c r="M978" s="391">
        <v>22.2621</v>
      </c>
      <c r="N978" s="38">
        <v>54.3692</v>
      </c>
    </row>
    <row r="979">
      <c r="A979" s="389" t="s">
        <v>1970</v>
      </c>
      <c r="B979" s="389" t="s">
        <v>339</v>
      </c>
      <c r="C979" s="389" t="s">
        <v>357</v>
      </c>
      <c r="D979" s="389" t="s">
        <v>357</v>
      </c>
      <c r="E979" s="390" t="s">
        <v>108</v>
      </c>
      <c r="F979" s="391">
        <v>91039.0</v>
      </c>
      <c r="G979" s="391">
        <v>14887.0</v>
      </c>
      <c r="H979" s="391">
        <v>16.35</v>
      </c>
      <c r="I979" s="391">
        <v>1.64</v>
      </c>
      <c r="J979" s="391">
        <v>1.48</v>
      </c>
      <c r="K979" s="391">
        <v>882105.0</v>
      </c>
      <c r="L979" s="391">
        <v>5.3786058E7</v>
      </c>
      <c r="M979" s="391">
        <v>9.6893</v>
      </c>
      <c r="N979" s="38">
        <v>59.2534</v>
      </c>
    </row>
    <row r="980">
      <c r="A980" s="389" t="s">
        <v>1970</v>
      </c>
      <c r="B980" s="389" t="s">
        <v>339</v>
      </c>
      <c r="C980" s="389" t="s">
        <v>357</v>
      </c>
      <c r="D980" s="389" t="s">
        <v>357</v>
      </c>
      <c r="E980" s="390" t="s">
        <v>282</v>
      </c>
      <c r="F980" s="391">
        <v>91039.0</v>
      </c>
      <c r="G980" s="391">
        <v>6770.0</v>
      </c>
      <c r="H980" s="391">
        <v>7.44</v>
      </c>
      <c r="I980" s="391">
        <v>1.35</v>
      </c>
      <c r="J980" s="391">
        <v>1.06</v>
      </c>
      <c r="K980" s="391">
        <v>728500.0</v>
      </c>
      <c r="L980" s="391">
        <v>5.3786058E7</v>
      </c>
      <c r="M980" s="391">
        <v>8.0021</v>
      </c>
      <c r="N980" s="38">
        <v>107.6071</v>
      </c>
    </row>
    <row r="981">
      <c r="A981" s="389" t="s">
        <v>1970</v>
      </c>
      <c r="B981" s="389" t="s">
        <v>339</v>
      </c>
      <c r="C981" s="389" t="s">
        <v>357</v>
      </c>
      <c r="D981" s="389" t="s">
        <v>357</v>
      </c>
      <c r="E981" s="390" t="s">
        <v>284</v>
      </c>
      <c r="F981" s="391">
        <v>91039.0</v>
      </c>
      <c r="G981" s="391">
        <v>6245.0</v>
      </c>
      <c r="H981" s="391">
        <v>6.86</v>
      </c>
      <c r="I981" s="391">
        <v>1.33</v>
      </c>
      <c r="J981" s="391">
        <v>1.03</v>
      </c>
      <c r="K981" s="391">
        <v>713550.0</v>
      </c>
      <c r="L981" s="391">
        <v>5.3786058E7</v>
      </c>
      <c r="M981" s="391">
        <v>7.8378</v>
      </c>
      <c r="N981" s="38">
        <v>114.2594</v>
      </c>
    </row>
    <row r="982">
      <c r="A982" s="389" t="s">
        <v>1970</v>
      </c>
      <c r="B982" s="389" t="s">
        <v>339</v>
      </c>
      <c r="C982" s="389" t="s">
        <v>357</v>
      </c>
      <c r="D982" s="389" t="s">
        <v>357</v>
      </c>
      <c r="E982" s="390" t="s">
        <v>39</v>
      </c>
      <c r="F982" s="391">
        <v>91039.0</v>
      </c>
      <c r="G982" s="391">
        <v>36333.0</v>
      </c>
      <c r="H982" s="391">
        <v>39.91</v>
      </c>
      <c r="I982" s="391">
        <v>1.33</v>
      </c>
      <c r="J982" s="391">
        <v>1.17</v>
      </c>
      <c r="K982" s="391">
        <v>716445.0</v>
      </c>
      <c r="L982" s="391">
        <v>5.3786058E7</v>
      </c>
      <c r="M982" s="391">
        <v>7.8696</v>
      </c>
      <c r="N982" s="38">
        <v>19.7189</v>
      </c>
    </row>
    <row r="983">
      <c r="A983" s="389" t="s">
        <v>1970</v>
      </c>
      <c r="B983" s="389" t="s">
        <v>339</v>
      </c>
      <c r="C983" s="389" t="s">
        <v>357</v>
      </c>
      <c r="D983" s="389" t="s">
        <v>357</v>
      </c>
      <c r="E983" s="390" t="s">
        <v>368</v>
      </c>
      <c r="F983" s="391">
        <v>91039.0</v>
      </c>
      <c r="G983" s="391">
        <v>18889.0</v>
      </c>
      <c r="H983" s="391">
        <v>20.75</v>
      </c>
      <c r="I983" s="391">
        <v>1.19</v>
      </c>
      <c r="J983" s="391">
        <v>0.85</v>
      </c>
      <c r="K983" s="391">
        <v>639075.0</v>
      </c>
      <c r="L983" s="391">
        <v>5.3786058E7</v>
      </c>
      <c r="M983" s="391">
        <v>7.0198</v>
      </c>
      <c r="N983" s="38">
        <v>33.8332</v>
      </c>
    </row>
    <row r="984">
      <c r="A984" s="389" t="s">
        <v>1970</v>
      </c>
      <c r="B984" s="389" t="s">
        <v>339</v>
      </c>
      <c r="C984" s="389" t="s">
        <v>357</v>
      </c>
      <c r="D984" s="389" t="s">
        <v>357</v>
      </c>
      <c r="E984" s="390" t="s">
        <v>283</v>
      </c>
      <c r="F984" s="391">
        <v>91039.0</v>
      </c>
      <c r="G984" s="391">
        <v>6008.0</v>
      </c>
      <c r="H984" s="391">
        <v>6.6</v>
      </c>
      <c r="I984" s="391">
        <v>1.16</v>
      </c>
      <c r="J984" s="391">
        <v>1.03</v>
      </c>
      <c r="K984" s="391">
        <v>621350.0</v>
      </c>
      <c r="L984" s="391">
        <v>5.3786058E7</v>
      </c>
      <c r="M984" s="391">
        <v>6.8251</v>
      </c>
      <c r="N984" s="38">
        <v>103.4204</v>
      </c>
    </row>
    <row r="985">
      <c r="A985" s="389" t="s">
        <v>1970</v>
      </c>
      <c r="B985" s="389" t="s">
        <v>339</v>
      </c>
      <c r="C985" s="389" t="s">
        <v>357</v>
      </c>
      <c r="D985" s="389" t="s">
        <v>357</v>
      </c>
      <c r="E985" s="390" t="s">
        <v>163</v>
      </c>
      <c r="F985" s="391">
        <v>91039.0</v>
      </c>
      <c r="G985" s="391">
        <v>6929.0</v>
      </c>
      <c r="H985" s="391">
        <v>7.61</v>
      </c>
      <c r="I985" s="391">
        <v>0.33</v>
      </c>
      <c r="J985" s="391">
        <v>0.23</v>
      </c>
      <c r="K985" s="391">
        <v>178200.0</v>
      </c>
      <c r="L985" s="391">
        <v>5.3786058E7</v>
      </c>
      <c r="M985" s="391">
        <v>1.9574</v>
      </c>
      <c r="N985" s="38">
        <v>25.718</v>
      </c>
    </row>
    <row r="986">
      <c r="A986" s="389" t="s">
        <v>1970</v>
      </c>
      <c r="B986" s="389" t="s">
        <v>339</v>
      </c>
      <c r="C986" s="389" t="s">
        <v>357</v>
      </c>
      <c r="D986" s="389" t="s">
        <v>357</v>
      </c>
      <c r="E986" s="390" t="s">
        <v>27</v>
      </c>
      <c r="F986" s="391">
        <v>91039.0</v>
      </c>
      <c r="G986" s="391">
        <v>1558.0</v>
      </c>
      <c r="H986" s="391">
        <v>1.71</v>
      </c>
      <c r="I986" s="391">
        <v>0.27</v>
      </c>
      <c r="J986" s="391">
        <v>0.23</v>
      </c>
      <c r="K986" s="391">
        <v>146395.0</v>
      </c>
      <c r="L986" s="391">
        <v>5.3786058E7</v>
      </c>
      <c r="M986" s="391">
        <v>1.608</v>
      </c>
      <c r="N986" s="38">
        <v>93.9634</v>
      </c>
    </row>
    <row r="987">
      <c r="A987" s="389" t="s">
        <v>1970</v>
      </c>
      <c r="B987" s="389" t="s">
        <v>339</v>
      </c>
      <c r="C987" s="389" t="s">
        <v>357</v>
      </c>
      <c r="D987" s="389" t="s">
        <v>357</v>
      </c>
      <c r="E987" s="390" t="s">
        <v>30</v>
      </c>
      <c r="F987" s="391">
        <v>91039.0</v>
      </c>
      <c r="G987" s="391">
        <v>5028.0</v>
      </c>
      <c r="H987" s="391">
        <v>5.52</v>
      </c>
      <c r="I987" s="391">
        <v>0.24</v>
      </c>
      <c r="J987" s="391">
        <v>0.17</v>
      </c>
      <c r="K987" s="391">
        <v>131100.0</v>
      </c>
      <c r="L987" s="391">
        <v>5.3786058E7</v>
      </c>
      <c r="M987" s="391">
        <v>1.44</v>
      </c>
      <c r="N987" s="38">
        <v>26.074</v>
      </c>
    </row>
    <row r="988">
      <c r="A988" s="389" t="s">
        <v>1970</v>
      </c>
      <c r="B988" s="389" t="s">
        <v>339</v>
      </c>
      <c r="C988" s="389" t="s">
        <v>357</v>
      </c>
      <c r="D988" s="389" t="s">
        <v>357</v>
      </c>
      <c r="E988" s="390" t="s">
        <v>38</v>
      </c>
      <c r="F988" s="391">
        <v>91039.0</v>
      </c>
      <c r="G988" s="391">
        <v>616.0</v>
      </c>
      <c r="H988" s="391">
        <v>0.68</v>
      </c>
      <c r="I988" s="391">
        <v>0.17</v>
      </c>
      <c r="J988" s="391">
        <v>0.12</v>
      </c>
      <c r="K988" s="391">
        <v>88850.0</v>
      </c>
      <c r="L988" s="391">
        <v>5.3786058E7</v>
      </c>
      <c r="M988" s="391">
        <v>0.976</v>
      </c>
      <c r="N988" s="38">
        <v>144.237</v>
      </c>
    </row>
    <row r="989">
      <c r="A989" s="389" t="s">
        <v>1970</v>
      </c>
      <c r="B989" s="389" t="s">
        <v>339</v>
      </c>
      <c r="C989" s="389" t="s">
        <v>6</v>
      </c>
      <c r="D989" s="389" t="s">
        <v>591</v>
      </c>
      <c r="E989" s="390" t="s">
        <v>370</v>
      </c>
      <c r="F989" s="391">
        <v>86184.0</v>
      </c>
      <c r="G989" s="391">
        <v>68460.0</v>
      </c>
      <c r="H989" s="391">
        <v>79.43</v>
      </c>
      <c r="I989" s="391">
        <v>34.81</v>
      </c>
      <c r="J989" s="391">
        <v>32.18</v>
      </c>
      <c r="K989" s="391">
        <v>276238.0</v>
      </c>
      <c r="L989" s="391">
        <v>793461.0</v>
      </c>
      <c r="M989" s="391">
        <v>3.2052</v>
      </c>
      <c r="N989" s="38">
        <v>4.035</v>
      </c>
    </row>
    <row r="990">
      <c r="A990" s="389" t="s">
        <v>1970</v>
      </c>
      <c r="B990" s="389" t="s">
        <v>339</v>
      </c>
      <c r="C990" s="389" t="s">
        <v>6</v>
      </c>
      <c r="D990" s="389" t="s">
        <v>591</v>
      </c>
      <c r="E990" s="390" t="s">
        <v>371</v>
      </c>
      <c r="F990" s="391">
        <v>86184.0</v>
      </c>
      <c r="G990" s="391">
        <v>62134.0</v>
      </c>
      <c r="H990" s="391">
        <v>72.09</v>
      </c>
      <c r="I990" s="391">
        <v>23.92</v>
      </c>
      <c r="J990" s="391">
        <v>23.66</v>
      </c>
      <c r="K990" s="391">
        <v>189818.0</v>
      </c>
      <c r="L990" s="391">
        <v>793461.0</v>
      </c>
      <c r="M990" s="391">
        <v>2.2025</v>
      </c>
      <c r="N990" s="38">
        <v>3.055</v>
      </c>
    </row>
    <row r="991">
      <c r="A991" s="389" t="s">
        <v>1970</v>
      </c>
      <c r="B991" s="389" t="s">
        <v>339</v>
      </c>
      <c r="C991" s="389" t="s">
        <v>6</v>
      </c>
      <c r="D991" s="389" t="s">
        <v>591</v>
      </c>
      <c r="E991" s="390" t="s">
        <v>369</v>
      </c>
      <c r="F991" s="391">
        <v>86184.0</v>
      </c>
      <c r="G991" s="391">
        <v>61136.0</v>
      </c>
      <c r="H991" s="391">
        <v>70.94</v>
      </c>
      <c r="I991" s="391">
        <v>14.08</v>
      </c>
      <c r="J991" s="391">
        <v>18.31</v>
      </c>
      <c r="K991" s="391">
        <v>111700.0</v>
      </c>
      <c r="L991" s="391">
        <v>793461.0</v>
      </c>
      <c r="M991" s="391">
        <v>1.2961</v>
      </c>
      <c r="N991" s="38">
        <v>1.8271</v>
      </c>
    </row>
    <row r="992">
      <c r="A992" s="389" t="s">
        <v>1970</v>
      </c>
      <c r="B992" s="389" t="s">
        <v>339</v>
      </c>
      <c r="C992" s="389" t="s">
        <v>6</v>
      </c>
      <c r="D992" s="389" t="s">
        <v>591</v>
      </c>
      <c r="E992" s="390" t="s">
        <v>39</v>
      </c>
      <c r="F992" s="391">
        <v>86184.0</v>
      </c>
      <c r="G992" s="391">
        <v>52626.0</v>
      </c>
      <c r="H992" s="391">
        <v>61.06</v>
      </c>
      <c r="I992" s="391">
        <v>11.34</v>
      </c>
      <c r="J992" s="391">
        <v>12.55</v>
      </c>
      <c r="K992" s="391">
        <v>89942.0</v>
      </c>
      <c r="L992" s="391">
        <v>793461.0</v>
      </c>
      <c r="M992" s="391">
        <v>1.0436</v>
      </c>
      <c r="N992" s="38">
        <v>1.7091</v>
      </c>
    </row>
    <row r="993">
      <c r="A993" s="389" t="s">
        <v>1970</v>
      </c>
      <c r="B993" s="389" t="s">
        <v>339</v>
      </c>
      <c r="C993" s="389" t="s">
        <v>6</v>
      </c>
      <c r="D993" s="389" t="s">
        <v>591</v>
      </c>
      <c r="E993" s="390" t="s">
        <v>367</v>
      </c>
      <c r="F993" s="391">
        <v>86184.0</v>
      </c>
      <c r="G993" s="391">
        <v>24388.0</v>
      </c>
      <c r="H993" s="391">
        <v>28.3</v>
      </c>
      <c r="I993" s="391">
        <v>5.81</v>
      </c>
      <c r="J993" s="391">
        <v>4.86</v>
      </c>
      <c r="K993" s="391">
        <v>46080.0</v>
      </c>
      <c r="L993" s="391">
        <v>793461.0</v>
      </c>
      <c r="M993" s="391">
        <v>0.5347</v>
      </c>
      <c r="N993" s="38">
        <v>1.8895</v>
      </c>
    </row>
    <row r="994">
      <c r="A994" s="389" t="s">
        <v>1970</v>
      </c>
      <c r="B994" s="389" t="s">
        <v>339</v>
      </c>
      <c r="C994" s="389" t="s">
        <v>6</v>
      </c>
      <c r="D994" s="389" t="s">
        <v>591</v>
      </c>
      <c r="E994" s="390" t="s">
        <v>44</v>
      </c>
      <c r="F994" s="391">
        <v>86184.0</v>
      </c>
      <c r="G994" s="391">
        <v>23802.0</v>
      </c>
      <c r="H994" s="391">
        <v>27.62</v>
      </c>
      <c r="I994" s="391">
        <v>4.75</v>
      </c>
      <c r="J994" s="391">
        <v>4.13</v>
      </c>
      <c r="K994" s="391">
        <v>37660.0</v>
      </c>
      <c r="L994" s="391">
        <v>793461.0</v>
      </c>
      <c r="M994" s="391">
        <v>0.437</v>
      </c>
      <c r="N994" s="38">
        <v>1.5822</v>
      </c>
    </row>
    <row r="995">
      <c r="A995" s="389" t="s">
        <v>1970</v>
      </c>
      <c r="B995" s="389" t="s">
        <v>339</v>
      </c>
      <c r="C995" s="389" t="s">
        <v>6</v>
      </c>
      <c r="D995" s="389" t="s">
        <v>591</v>
      </c>
      <c r="E995" s="390" t="s">
        <v>368</v>
      </c>
      <c r="F995" s="391">
        <v>86184.0</v>
      </c>
      <c r="G995" s="391">
        <v>9093.0</v>
      </c>
      <c r="H995" s="391">
        <v>10.55</v>
      </c>
      <c r="I995" s="391">
        <v>1.39</v>
      </c>
      <c r="J995" s="391">
        <v>0.93</v>
      </c>
      <c r="K995" s="391">
        <v>11009.0</v>
      </c>
      <c r="L995" s="391">
        <v>793461.0</v>
      </c>
      <c r="M995" s="391">
        <v>0.1277</v>
      </c>
      <c r="N995" s="38">
        <v>1.2107</v>
      </c>
    </row>
    <row r="996">
      <c r="A996" s="389" t="s">
        <v>1970</v>
      </c>
      <c r="B996" s="389" t="s">
        <v>339</v>
      </c>
      <c r="C996" s="389" t="s">
        <v>6</v>
      </c>
      <c r="D996" s="389" t="s">
        <v>591</v>
      </c>
      <c r="E996" s="390" t="s">
        <v>365</v>
      </c>
      <c r="F996" s="391">
        <v>86184.0</v>
      </c>
      <c r="G996" s="391">
        <v>10341.0</v>
      </c>
      <c r="H996" s="391">
        <v>12.0</v>
      </c>
      <c r="I996" s="391">
        <v>1.38</v>
      </c>
      <c r="J996" s="391">
        <v>1.39</v>
      </c>
      <c r="K996" s="391">
        <v>10984.0</v>
      </c>
      <c r="L996" s="391">
        <v>793461.0</v>
      </c>
      <c r="M996" s="391">
        <v>0.1274</v>
      </c>
      <c r="N996" s="38">
        <v>1.0622</v>
      </c>
    </row>
    <row r="997">
      <c r="A997" s="389" t="s">
        <v>1970</v>
      </c>
      <c r="B997" s="389" t="s">
        <v>339</v>
      </c>
      <c r="C997" s="389" t="s">
        <v>6</v>
      </c>
      <c r="D997" s="389" t="s">
        <v>591</v>
      </c>
      <c r="E997" s="390" t="s">
        <v>108</v>
      </c>
      <c r="F997" s="391">
        <v>86184.0</v>
      </c>
      <c r="G997" s="391">
        <v>5163.0</v>
      </c>
      <c r="H997" s="391">
        <v>5.99</v>
      </c>
      <c r="I997" s="391">
        <v>0.82</v>
      </c>
      <c r="J997" s="391">
        <v>0.54</v>
      </c>
      <c r="K997" s="391">
        <v>6540.0</v>
      </c>
      <c r="L997" s="391">
        <v>793461.0</v>
      </c>
      <c r="M997" s="391">
        <v>0.0759</v>
      </c>
      <c r="N997" s="38">
        <v>1.2667</v>
      </c>
    </row>
    <row r="998">
      <c r="A998" s="389" t="s">
        <v>1970</v>
      </c>
      <c r="B998" s="389" t="s">
        <v>339</v>
      </c>
      <c r="C998" s="389" t="s">
        <v>6</v>
      </c>
      <c r="D998" s="389" t="s">
        <v>591</v>
      </c>
      <c r="E998" s="390" t="s">
        <v>37</v>
      </c>
      <c r="F998" s="391">
        <v>86184.0</v>
      </c>
      <c r="G998" s="391">
        <v>5197.0</v>
      </c>
      <c r="H998" s="391">
        <v>6.03</v>
      </c>
      <c r="I998" s="391">
        <v>0.74</v>
      </c>
      <c r="J998" s="391">
        <v>0.74</v>
      </c>
      <c r="K998" s="391">
        <v>5861.0</v>
      </c>
      <c r="L998" s="391">
        <v>793461.0</v>
      </c>
      <c r="M998" s="391">
        <v>0.068</v>
      </c>
      <c r="N998" s="38">
        <v>1.1278</v>
      </c>
    </row>
    <row r="999">
      <c r="A999" s="389" t="s">
        <v>1970</v>
      </c>
      <c r="B999" s="389" t="s">
        <v>339</v>
      </c>
      <c r="C999" s="389" t="s">
        <v>6</v>
      </c>
      <c r="D999" s="389" t="s">
        <v>591</v>
      </c>
      <c r="E999" s="390" t="s">
        <v>45</v>
      </c>
      <c r="F999" s="391">
        <v>86184.0</v>
      </c>
      <c r="G999" s="391">
        <v>3163.0</v>
      </c>
      <c r="H999" s="391">
        <v>3.67</v>
      </c>
      <c r="I999" s="391">
        <v>0.44</v>
      </c>
      <c r="J999" s="391">
        <v>0.3</v>
      </c>
      <c r="K999" s="391">
        <v>3467.0</v>
      </c>
      <c r="L999" s="391">
        <v>793461.0</v>
      </c>
      <c r="M999" s="391">
        <v>0.0402</v>
      </c>
      <c r="N999" s="38">
        <v>1.0961</v>
      </c>
    </row>
    <row r="1000">
      <c r="A1000" s="389" t="s">
        <v>1970</v>
      </c>
      <c r="B1000" s="389" t="s">
        <v>339</v>
      </c>
      <c r="C1000" s="389" t="s">
        <v>6</v>
      </c>
      <c r="D1000" s="389" t="s">
        <v>591</v>
      </c>
      <c r="E1000" s="390" t="s">
        <v>163</v>
      </c>
      <c r="F1000" s="391">
        <v>86184.0</v>
      </c>
      <c r="G1000" s="391">
        <v>1736.0</v>
      </c>
      <c r="H1000" s="391">
        <v>2.01</v>
      </c>
      <c r="I1000" s="391">
        <v>0.23</v>
      </c>
      <c r="J1000" s="391">
        <v>0.16</v>
      </c>
      <c r="K1000" s="391">
        <v>1795.0</v>
      </c>
      <c r="L1000" s="391">
        <v>793461.0</v>
      </c>
      <c r="M1000" s="391">
        <v>0.0208</v>
      </c>
      <c r="N1000" s="38">
        <v>1.034</v>
      </c>
    </row>
    <row r="1001">
      <c r="A1001" s="389" t="s">
        <v>1970</v>
      </c>
      <c r="B1001" s="389" t="s">
        <v>339</v>
      </c>
      <c r="C1001" s="389" t="s">
        <v>6</v>
      </c>
      <c r="D1001" s="389" t="s">
        <v>591</v>
      </c>
      <c r="E1001" s="390" t="s">
        <v>38</v>
      </c>
      <c r="F1001" s="391">
        <v>86184.0</v>
      </c>
      <c r="G1001" s="391">
        <v>1147.0</v>
      </c>
      <c r="H1001" s="391">
        <v>1.33</v>
      </c>
      <c r="I1001" s="391">
        <v>0.15</v>
      </c>
      <c r="J1001" s="391">
        <v>0.14</v>
      </c>
      <c r="K1001" s="391">
        <v>1166.0</v>
      </c>
      <c r="L1001" s="391">
        <v>793461.0</v>
      </c>
      <c r="M1001" s="391">
        <v>0.0135</v>
      </c>
      <c r="N1001" s="38">
        <v>1.0166</v>
      </c>
    </row>
    <row r="1002">
      <c r="A1002" s="389" t="s">
        <v>1970</v>
      </c>
      <c r="B1002" s="389" t="s">
        <v>339</v>
      </c>
      <c r="C1002" s="389" t="s">
        <v>6</v>
      </c>
      <c r="D1002" s="389" t="s">
        <v>591</v>
      </c>
      <c r="E1002" s="390" t="s">
        <v>30</v>
      </c>
      <c r="F1002" s="391">
        <v>86184.0</v>
      </c>
      <c r="G1002" s="391">
        <v>1128.0</v>
      </c>
      <c r="H1002" s="391">
        <v>1.31</v>
      </c>
      <c r="I1002" s="391">
        <v>0.15</v>
      </c>
      <c r="J1002" s="391">
        <v>0.09</v>
      </c>
      <c r="K1002" s="391">
        <v>1157.0</v>
      </c>
      <c r="L1002" s="391">
        <v>793461.0</v>
      </c>
      <c r="M1002" s="391">
        <v>0.0134</v>
      </c>
      <c r="N1002" s="38">
        <v>1.0257</v>
      </c>
    </row>
    <row r="1003">
      <c r="A1003" s="389" t="s">
        <v>1970</v>
      </c>
      <c r="B1003" s="389" t="s">
        <v>339</v>
      </c>
      <c r="C1003" s="389" t="s">
        <v>6</v>
      </c>
      <c r="D1003" s="389" t="s">
        <v>591</v>
      </c>
      <c r="E1003" s="390" t="s">
        <v>27</v>
      </c>
      <c r="F1003" s="391">
        <v>86184.0</v>
      </c>
      <c r="G1003" s="391">
        <v>34.0</v>
      </c>
      <c r="H1003" s="391">
        <v>0.04</v>
      </c>
      <c r="I1003" s="391">
        <v>0.01</v>
      </c>
      <c r="J1003" s="391">
        <v>0.01</v>
      </c>
      <c r="K1003" s="391">
        <v>40.0</v>
      </c>
      <c r="L1003" s="391">
        <v>793461.0</v>
      </c>
      <c r="M1003" s="391">
        <v>5.0E-4</v>
      </c>
      <c r="N1003" s="38">
        <v>1.1765</v>
      </c>
    </row>
    <row r="1004">
      <c r="A1004" s="389" t="s">
        <v>1970</v>
      </c>
      <c r="B1004" s="389" t="s">
        <v>339</v>
      </c>
      <c r="C1004" s="389" t="s">
        <v>6</v>
      </c>
      <c r="D1004" s="389" t="s">
        <v>591</v>
      </c>
      <c r="E1004" s="390" t="s">
        <v>366</v>
      </c>
      <c r="F1004" s="391">
        <v>86184.0</v>
      </c>
      <c r="G1004" s="391">
        <v>1.0</v>
      </c>
      <c r="H1004" s="391">
        <v>0.0</v>
      </c>
      <c r="I1004" s="391">
        <v>0.0</v>
      </c>
      <c r="J1004" s="391">
        <v>0.0</v>
      </c>
      <c r="K1004" s="391">
        <v>1.0</v>
      </c>
      <c r="L1004" s="391">
        <v>793461.0</v>
      </c>
      <c r="M1004" s="391">
        <v>0.0</v>
      </c>
      <c r="N1004" s="38">
        <v>1.0</v>
      </c>
    </row>
    <row r="1005">
      <c r="A1005" s="389" t="s">
        <v>1970</v>
      </c>
      <c r="B1005" s="389" t="s">
        <v>339</v>
      </c>
      <c r="C1005" s="389" t="s">
        <v>6</v>
      </c>
      <c r="D1005" s="389" t="s">
        <v>591</v>
      </c>
      <c r="E1005" s="390" t="s">
        <v>284</v>
      </c>
      <c r="F1005" s="391">
        <v>86184.0</v>
      </c>
      <c r="G1005" s="391">
        <v>2.0</v>
      </c>
      <c r="H1005" s="391">
        <v>0.0</v>
      </c>
      <c r="I1005" s="391">
        <v>0.0</v>
      </c>
      <c r="J1005" s="391">
        <v>0.0</v>
      </c>
      <c r="K1005" s="391">
        <v>2.0</v>
      </c>
      <c r="L1005" s="391">
        <v>793461.0</v>
      </c>
      <c r="M1005" s="391">
        <v>0.0</v>
      </c>
      <c r="N1005" s="38">
        <v>1.0</v>
      </c>
    </row>
    <row r="1006">
      <c r="A1006" s="389" t="s">
        <v>1970</v>
      </c>
      <c r="B1006" s="389" t="s">
        <v>339</v>
      </c>
      <c r="C1006" s="389" t="s">
        <v>6</v>
      </c>
      <c r="D1006" s="389" t="s">
        <v>591</v>
      </c>
      <c r="E1006" s="390" t="s">
        <v>283</v>
      </c>
      <c r="F1006" s="391">
        <v>86184.0</v>
      </c>
      <c r="G1006" s="391">
        <v>1.0</v>
      </c>
      <c r="H1006" s="391">
        <v>0.0</v>
      </c>
      <c r="I1006" s="391">
        <v>0.0</v>
      </c>
      <c r="J1006" s="391">
        <v>0.0</v>
      </c>
      <c r="K1006" s="391">
        <v>1.0</v>
      </c>
      <c r="L1006" s="391">
        <v>793461.0</v>
      </c>
      <c r="M1006" s="391">
        <v>0.0</v>
      </c>
      <c r="N1006" s="38">
        <v>1.0</v>
      </c>
    </row>
    <row r="1007">
      <c r="A1007" s="389" t="s">
        <v>1970</v>
      </c>
      <c r="B1007" s="389" t="s">
        <v>339</v>
      </c>
      <c r="C1007" s="389" t="s">
        <v>10</v>
      </c>
      <c r="D1007" s="389" t="s">
        <v>591</v>
      </c>
      <c r="E1007" s="390" t="s">
        <v>370</v>
      </c>
      <c r="F1007" s="391">
        <v>76785.0</v>
      </c>
      <c r="G1007" s="391">
        <v>56253.0</v>
      </c>
      <c r="H1007" s="391">
        <v>73.26</v>
      </c>
      <c r="I1007" s="391">
        <v>23.41</v>
      </c>
      <c r="J1007" s="391">
        <v>27.6</v>
      </c>
      <c r="K1007" s="391">
        <v>136237.0</v>
      </c>
      <c r="L1007" s="391">
        <v>581896.0</v>
      </c>
      <c r="M1007" s="391">
        <v>1.7743</v>
      </c>
      <c r="N1007" s="38">
        <v>2.4219</v>
      </c>
    </row>
    <row r="1008">
      <c r="A1008" s="389" t="s">
        <v>1970</v>
      </c>
      <c r="B1008" s="389" t="s">
        <v>339</v>
      </c>
      <c r="C1008" s="389" t="s">
        <v>10</v>
      </c>
      <c r="D1008" s="389" t="s">
        <v>591</v>
      </c>
      <c r="E1008" s="390" t="s">
        <v>371</v>
      </c>
      <c r="F1008" s="391">
        <v>76785.0</v>
      </c>
      <c r="G1008" s="391">
        <v>38510.0</v>
      </c>
      <c r="H1008" s="391">
        <v>50.15</v>
      </c>
      <c r="I1008" s="391">
        <v>15.12</v>
      </c>
      <c r="J1008" s="391">
        <v>13.31</v>
      </c>
      <c r="K1008" s="391">
        <v>88007.0</v>
      </c>
      <c r="L1008" s="391">
        <v>581896.0</v>
      </c>
      <c r="M1008" s="391">
        <v>1.1461</v>
      </c>
      <c r="N1008" s="38">
        <v>2.2853</v>
      </c>
    </row>
    <row r="1009">
      <c r="A1009" s="389" t="s">
        <v>1970</v>
      </c>
      <c r="B1009" s="389" t="s">
        <v>339</v>
      </c>
      <c r="C1009" s="389" t="s">
        <v>10</v>
      </c>
      <c r="D1009" s="389" t="s">
        <v>591</v>
      </c>
      <c r="E1009" s="390" t="s">
        <v>366</v>
      </c>
      <c r="F1009" s="391">
        <v>76785.0</v>
      </c>
      <c r="G1009" s="391">
        <v>34860.0</v>
      </c>
      <c r="H1009" s="391">
        <v>45.4</v>
      </c>
      <c r="I1009" s="391">
        <v>10.6</v>
      </c>
      <c r="J1009" s="391">
        <v>9.2</v>
      </c>
      <c r="K1009" s="391">
        <v>61709.0</v>
      </c>
      <c r="L1009" s="391">
        <v>581896.0</v>
      </c>
      <c r="M1009" s="391">
        <v>0.8037</v>
      </c>
      <c r="N1009" s="38">
        <v>1.7702</v>
      </c>
    </row>
    <row r="1010">
      <c r="A1010" s="389" t="s">
        <v>1970</v>
      </c>
      <c r="B1010" s="389" t="s">
        <v>339</v>
      </c>
      <c r="C1010" s="389" t="s">
        <v>10</v>
      </c>
      <c r="D1010" s="389" t="s">
        <v>591</v>
      </c>
      <c r="E1010" s="390" t="s">
        <v>363</v>
      </c>
      <c r="F1010" s="391">
        <v>76785.0</v>
      </c>
      <c r="G1010" s="391">
        <v>21112.0</v>
      </c>
      <c r="H1010" s="391">
        <v>27.49</v>
      </c>
      <c r="I1010" s="391">
        <v>9.81</v>
      </c>
      <c r="J1010" s="391">
        <v>7.04</v>
      </c>
      <c r="K1010" s="391">
        <v>57102.0</v>
      </c>
      <c r="L1010" s="391">
        <v>581896.0</v>
      </c>
      <c r="M1010" s="391">
        <v>0.7437</v>
      </c>
      <c r="N1010" s="38">
        <v>2.7047</v>
      </c>
    </row>
    <row r="1011">
      <c r="A1011" s="389" t="s">
        <v>1970</v>
      </c>
      <c r="B1011" s="389" t="s">
        <v>339</v>
      </c>
      <c r="C1011" s="389" t="s">
        <v>10</v>
      </c>
      <c r="D1011" s="389" t="s">
        <v>591</v>
      </c>
      <c r="E1011" s="390" t="s">
        <v>37</v>
      </c>
      <c r="F1011" s="391">
        <v>76785.0</v>
      </c>
      <c r="G1011" s="391">
        <v>27138.0</v>
      </c>
      <c r="H1011" s="391">
        <v>35.34</v>
      </c>
      <c r="I1011" s="391">
        <v>7.4</v>
      </c>
      <c r="J1011" s="391">
        <v>8.2</v>
      </c>
      <c r="K1011" s="391">
        <v>43085.0</v>
      </c>
      <c r="L1011" s="391">
        <v>581896.0</v>
      </c>
      <c r="M1011" s="391">
        <v>0.5611</v>
      </c>
      <c r="N1011" s="38">
        <v>1.5876</v>
      </c>
    </row>
    <row r="1012">
      <c r="A1012" s="389" t="s">
        <v>1970</v>
      </c>
      <c r="B1012" s="389" t="s">
        <v>339</v>
      </c>
      <c r="C1012" s="389" t="s">
        <v>10</v>
      </c>
      <c r="D1012" s="389" t="s">
        <v>591</v>
      </c>
      <c r="E1012" s="390" t="s">
        <v>365</v>
      </c>
      <c r="F1012" s="391">
        <v>76785.0</v>
      </c>
      <c r="G1012" s="391">
        <v>28784.0</v>
      </c>
      <c r="H1012" s="391">
        <v>37.49</v>
      </c>
      <c r="I1012" s="391">
        <v>6.1</v>
      </c>
      <c r="J1012" s="391">
        <v>7.76</v>
      </c>
      <c r="K1012" s="391">
        <v>35472.0</v>
      </c>
      <c r="L1012" s="391">
        <v>581896.0</v>
      </c>
      <c r="M1012" s="391">
        <v>0.462</v>
      </c>
      <c r="N1012" s="38">
        <v>1.2324</v>
      </c>
    </row>
    <row r="1013">
      <c r="A1013" s="389" t="s">
        <v>1970</v>
      </c>
      <c r="B1013" s="389" t="s">
        <v>339</v>
      </c>
      <c r="C1013" s="389" t="s">
        <v>10</v>
      </c>
      <c r="D1013" s="389" t="s">
        <v>591</v>
      </c>
      <c r="E1013" s="390" t="s">
        <v>369</v>
      </c>
      <c r="F1013" s="391">
        <v>76785.0</v>
      </c>
      <c r="G1013" s="391">
        <v>20258.0</v>
      </c>
      <c r="H1013" s="391">
        <v>26.38</v>
      </c>
      <c r="I1013" s="391">
        <v>5.74</v>
      </c>
      <c r="J1013" s="391">
        <v>5.18</v>
      </c>
      <c r="K1013" s="391">
        <v>33405.0</v>
      </c>
      <c r="L1013" s="391">
        <v>581896.0</v>
      </c>
      <c r="M1013" s="391">
        <v>0.435</v>
      </c>
      <c r="N1013" s="38">
        <v>1.649</v>
      </c>
    </row>
    <row r="1014">
      <c r="A1014" s="389" t="s">
        <v>1970</v>
      </c>
      <c r="B1014" s="389" t="s">
        <v>339</v>
      </c>
      <c r="C1014" s="389" t="s">
        <v>10</v>
      </c>
      <c r="D1014" s="389" t="s">
        <v>591</v>
      </c>
      <c r="E1014" s="390" t="s">
        <v>39</v>
      </c>
      <c r="F1014" s="391">
        <v>76785.0</v>
      </c>
      <c r="G1014" s="391">
        <v>19042.0</v>
      </c>
      <c r="H1014" s="391">
        <v>24.8</v>
      </c>
      <c r="I1014" s="391">
        <v>4.56</v>
      </c>
      <c r="J1014" s="391">
        <v>3.21</v>
      </c>
      <c r="K1014" s="391">
        <v>26545.0</v>
      </c>
      <c r="L1014" s="391">
        <v>581896.0</v>
      </c>
      <c r="M1014" s="391">
        <v>0.3457</v>
      </c>
      <c r="N1014" s="38">
        <v>1.394</v>
      </c>
    </row>
    <row r="1015">
      <c r="A1015" s="389" t="s">
        <v>1970</v>
      </c>
      <c r="B1015" s="389" t="s">
        <v>339</v>
      </c>
      <c r="C1015" s="389" t="s">
        <v>10</v>
      </c>
      <c r="D1015" s="389" t="s">
        <v>591</v>
      </c>
      <c r="E1015" s="390" t="s">
        <v>35</v>
      </c>
      <c r="F1015" s="391">
        <v>76785.0</v>
      </c>
      <c r="G1015" s="391">
        <v>7471.0</v>
      </c>
      <c r="H1015" s="391">
        <v>9.73</v>
      </c>
      <c r="I1015" s="391">
        <v>3.94</v>
      </c>
      <c r="J1015" s="391">
        <v>3.05</v>
      </c>
      <c r="K1015" s="391">
        <v>22930.0</v>
      </c>
      <c r="L1015" s="391">
        <v>581896.0</v>
      </c>
      <c r="M1015" s="391">
        <v>0.2986</v>
      </c>
      <c r="N1015" s="38">
        <v>3.0692</v>
      </c>
    </row>
    <row r="1016">
      <c r="A1016" s="389" t="s">
        <v>1970</v>
      </c>
      <c r="B1016" s="389" t="s">
        <v>339</v>
      </c>
      <c r="C1016" s="389" t="s">
        <v>10</v>
      </c>
      <c r="D1016" s="389" t="s">
        <v>591</v>
      </c>
      <c r="E1016" s="390" t="s">
        <v>45</v>
      </c>
      <c r="F1016" s="391">
        <v>76785.0</v>
      </c>
      <c r="G1016" s="391">
        <v>17162.0</v>
      </c>
      <c r="H1016" s="391">
        <v>22.35</v>
      </c>
      <c r="I1016" s="391">
        <v>3.85</v>
      </c>
      <c r="J1016" s="391">
        <v>4.0</v>
      </c>
      <c r="K1016" s="391">
        <v>22406.0</v>
      </c>
      <c r="L1016" s="391">
        <v>581896.0</v>
      </c>
      <c r="M1016" s="391">
        <v>0.2918</v>
      </c>
      <c r="N1016" s="38">
        <v>1.3056</v>
      </c>
    </row>
    <row r="1017">
      <c r="A1017" s="389" t="s">
        <v>1970</v>
      </c>
      <c r="B1017" s="389" t="s">
        <v>339</v>
      </c>
      <c r="C1017" s="389" t="s">
        <v>10</v>
      </c>
      <c r="D1017" s="389" t="s">
        <v>591</v>
      </c>
      <c r="E1017" s="390" t="s">
        <v>282</v>
      </c>
      <c r="F1017" s="391">
        <v>76785.0</v>
      </c>
      <c r="G1017" s="391">
        <v>12273.0</v>
      </c>
      <c r="H1017" s="391">
        <v>15.98</v>
      </c>
      <c r="I1017" s="391">
        <v>2.47</v>
      </c>
      <c r="J1017" s="391">
        <v>2.77</v>
      </c>
      <c r="K1017" s="391">
        <v>14364.0</v>
      </c>
      <c r="L1017" s="391">
        <v>581896.0</v>
      </c>
      <c r="M1017" s="391">
        <v>0.1871</v>
      </c>
      <c r="N1017" s="38">
        <v>1.1704</v>
      </c>
    </row>
    <row r="1018">
      <c r="A1018" s="389" t="s">
        <v>1970</v>
      </c>
      <c r="B1018" s="389" t="s">
        <v>339</v>
      </c>
      <c r="C1018" s="389" t="s">
        <v>10</v>
      </c>
      <c r="D1018" s="389" t="s">
        <v>591</v>
      </c>
      <c r="E1018" s="390" t="s">
        <v>284</v>
      </c>
      <c r="F1018" s="391">
        <v>76785.0</v>
      </c>
      <c r="G1018" s="391">
        <v>10656.0</v>
      </c>
      <c r="H1018" s="391">
        <v>13.88</v>
      </c>
      <c r="I1018" s="391">
        <v>2.14</v>
      </c>
      <c r="J1018" s="391">
        <v>2.5</v>
      </c>
      <c r="K1018" s="391">
        <v>12477.0</v>
      </c>
      <c r="L1018" s="391">
        <v>581896.0</v>
      </c>
      <c r="M1018" s="391">
        <v>0.1625</v>
      </c>
      <c r="N1018" s="38">
        <v>1.1709</v>
      </c>
    </row>
    <row r="1019">
      <c r="A1019" s="389" t="s">
        <v>1970</v>
      </c>
      <c r="B1019" s="389" t="s">
        <v>339</v>
      </c>
      <c r="C1019" s="389" t="s">
        <v>10</v>
      </c>
      <c r="D1019" s="389" t="s">
        <v>591</v>
      </c>
      <c r="E1019" s="390" t="s">
        <v>108</v>
      </c>
      <c r="F1019" s="391">
        <v>76785.0</v>
      </c>
      <c r="G1019" s="391">
        <v>8690.0</v>
      </c>
      <c r="H1019" s="391">
        <v>11.32</v>
      </c>
      <c r="I1019" s="391">
        <v>2.11</v>
      </c>
      <c r="J1019" s="391">
        <v>2.82</v>
      </c>
      <c r="K1019" s="391">
        <v>12268.0</v>
      </c>
      <c r="L1019" s="391">
        <v>581896.0</v>
      </c>
      <c r="M1019" s="391">
        <v>0.1598</v>
      </c>
      <c r="N1019" s="38">
        <v>1.4117</v>
      </c>
    </row>
    <row r="1020">
      <c r="A1020" s="389" t="s">
        <v>1970</v>
      </c>
      <c r="B1020" s="389" t="s">
        <v>339</v>
      </c>
      <c r="C1020" s="389" t="s">
        <v>10</v>
      </c>
      <c r="D1020" s="389" t="s">
        <v>591</v>
      </c>
      <c r="E1020" s="390" t="s">
        <v>283</v>
      </c>
      <c r="F1020" s="391">
        <v>76785.0</v>
      </c>
      <c r="G1020" s="391">
        <v>10849.0</v>
      </c>
      <c r="H1020" s="391">
        <v>14.13</v>
      </c>
      <c r="I1020" s="391">
        <v>2.1</v>
      </c>
      <c r="J1020" s="391">
        <v>2.64</v>
      </c>
      <c r="K1020" s="391">
        <v>12228.0</v>
      </c>
      <c r="L1020" s="391">
        <v>581896.0</v>
      </c>
      <c r="M1020" s="391">
        <v>0.1592</v>
      </c>
      <c r="N1020" s="38">
        <v>1.1271</v>
      </c>
    </row>
    <row r="1021">
      <c r="A1021" s="389" t="s">
        <v>1970</v>
      </c>
      <c r="B1021" s="389" t="s">
        <v>339</v>
      </c>
      <c r="C1021" s="389" t="s">
        <v>10</v>
      </c>
      <c r="D1021" s="389" t="s">
        <v>591</v>
      </c>
      <c r="E1021" s="390" t="s">
        <v>27</v>
      </c>
      <c r="F1021" s="391">
        <v>76785.0</v>
      </c>
      <c r="G1021" s="391">
        <v>2982.0</v>
      </c>
      <c r="H1021" s="391">
        <v>3.88</v>
      </c>
      <c r="I1021" s="391">
        <v>0.52</v>
      </c>
      <c r="J1021" s="391">
        <v>0.59</v>
      </c>
      <c r="K1021" s="391">
        <v>3023.0</v>
      </c>
      <c r="L1021" s="391">
        <v>581896.0</v>
      </c>
      <c r="M1021" s="391">
        <v>0.0394</v>
      </c>
      <c r="N1021" s="38">
        <v>1.0137</v>
      </c>
    </row>
    <row r="1022">
      <c r="A1022" s="389" t="s">
        <v>1970</v>
      </c>
      <c r="B1022" s="389" t="s">
        <v>339</v>
      </c>
      <c r="C1022" s="389" t="s">
        <v>10</v>
      </c>
      <c r="D1022" s="389" t="s">
        <v>591</v>
      </c>
      <c r="E1022" s="390" t="s">
        <v>38</v>
      </c>
      <c r="F1022" s="391">
        <v>76785.0</v>
      </c>
      <c r="G1022" s="391">
        <v>588.0</v>
      </c>
      <c r="H1022" s="391">
        <v>0.77</v>
      </c>
      <c r="I1022" s="391">
        <v>0.1</v>
      </c>
      <c r="J1022" s="391">
        <v>0.12</v>
      </c>
      <c r="K1022" s="391">
        <v>603.0</v>
      </c>
      <c r="L1022" s="391">
        <v>581896.0</v>
      </c>
      <c r="M1022" s="391">
        <v>0.0079</v>
      </c>
      <c r="N1022" s="38">
        <v>1.0255</v>
      </c>
    </row>
    <row r="1023">
      <c r="A1023" s="389" t="s">
        <v>1970</v>
      </c>
      <c r="B1023" s="389" t="s">
        <v>339</v>
      </c>
      <c r="C1023" s="389" t="s">
        <v>10</v>
      </c>
      <c r="D1023" s="389" t="s">
        <v>591</v>
      </c>
      <c r="E1023" s="390" t="s">
        <v>367</v>
      </c>
      <c r="F1023" s="391">
        <v>76785.0</v>
      </c>
      <c r="G1023" s="391">
        <v>2.0</v>
      </c>
      <c r="H1023" s="391">
        <v>0.0</v>
      </c>
      <c r="I1023" s="391">
        <v>0.0</v>
      </c>
      <c r="J1023" s="391">
        <v>0.0</v>
      </c>
      <c r="K1023" s="391">
        <v>3.0</v>
      </c>
      <c r="L1023" s="391">
        <v>581896.0</v>
      </c>
      <c r="M1023" s="391">
        <v>0.0</v>
      </c>
      <c r="N1023" s="38">
        <v>1.5</v>
      </c>
    </row>
    <row r="1024">
      <c r="A1024" s="389" t="s">
        <v>1970</v>
      </c>
      <c r="B1024" s="389" t="s">
        <v>339</v>
      </c>
      <c r="C1024" s="389" t="s">
        <v>10</v>
      </c>
      <c r="D1024" s="389" t="s">
        <v>591</v>
      </c>
      <c r="E1024" s="390" t="s">
        <v>163</v>
      </c>
      <c r="F1024" s="391">
        <v>76785.0</v>
      </c>
      <c r="G1024" s="391">
        <v>8.0</v>
      </c>
      <c r="H1024" s="391">
        <v>0.01</v>
      </c>
      <c r="I1024" s="391">
        <v>0.0</v>
      </c>
      <c r="J1024" s="391">
        <v>0.0</v>
      </c>
      <c r="K1024" s="391">
        <v>8.0</v>
      </c>
      <c r="L1024" s="391">
        <v>581896.0</v>
      </c>
      <c r="M1024" s="391">
        <v>1.0E-4</v>
      </c>
      <c r="N1024" s="38">
        <v>1.0</v>
      </c>
    </row>
    <row r="1025">
      <c r="A1025" s="389" t="s">
        <v>1970</v>
      </c>
      <c r="B1025" s="389" t="s">
        <v>339</v>
      </c>
      <c r="C1025" s="389" t="s">
        <v>10</v>
      </c>
      <c r="D1025" s="389" t="s">
        <v>591</v>
      </c>
      <c r="E1025" s="390" t="s">
        <v>30</v>
      </c>
      <c r="F1025" s="391">
        <v>76785.0</v>
      </c>
      <c r="G1025" s="391">
        <v>24.0</v>
      </c>
      <c r="H1025" s="391">
        <v>0.03</v>
      </c>
      <c r="I1025" s="391">
        <v>0.0</v>
      </c>
      <c r="J1025" s="391">
        <v>0.0</v>
      </c>
      <c r="K1025" s="391">
        <v>24.0</v>
      </c>
      <c r="L1025" s="391">
        <v>581896.0</v>
      </c>
      <c r="M1025" s="391">
        <v>3.0E-4</v>
      </c>
      <c r="N1025" s="38">
        <v>1.0</v>
      </c>
    </row>
    <row r="1026">
      <c r="A1026" s="389" t="s">
        <v>1970</v>
      </c>
      <c r="B1026" s="389" t="s">
        <v>339</v>
      </c>
      <c r="C1026" s="389" t="s">
        <v>9</v>
      </c>
      <c r="D1026" s="389" t="s">
        <v>591</v>
      </c>
      <c r="E1026" s="390" t="s">
        <v>370</v>
      </c>
      <c r="F1026" s="391">
        <v>77700.0</v>
      </c>
      <c r="G1026" s="391">
        <v>55939.0</v>
      </c>
      <c r="H1026" s="391">
        <v>71.99</v>
      </c>
      <c r="I1026" s="391">
        <v>21.38</v>
      </c>
      <c r="J1026" s="391">
        <v>25.29</v>
      </c>
      <c r="K1026" s="391">
        <v>135517.0</v>
      </c>
      <c r="L1026" s="391">
        <v>633721.0</v>
      </c>
      <c r="M1026" s="391">
        <v>1.7441</v>
      </c>
      <c r="N1026" s="38">
        <v>2.4226</v>
      </c>
    </row>
    <row r="1027">
      <c r="A1027" s="389" t="s">
        <v>1970</v>
      </c>
      <c r="B1027" s="389" t="s">
        <v>339</v>
      </c>
      <c r="C1027" s="389" t="s">
        <v>9</v>
      </c>
      <c r="D1027" s="389" t="s">
        <v>591</v>
      </c>
      <c r="E1027" s="390" t="s">
        <v>366</v>
      </c>
      <c r="F1027" s="391">
        <v>77700.0</v>
      </c>
      <c r="G1027" s="391">
        <v>43019.0</v>
      </c>
      <c r="H1027" s="391">
        <v>55.37</v>
      </c>
      <c r="I1027" s="391">
        <v>14.7</v>
      </c>
      <c r="J1027" s="391">
        <v>13.73</v>
      </c>
      <c r="K1027" s="391">
        <v>93128.0</v>
      </c>
      <c r="L1027" s="391">
        <v>633721.0</v>
      </c>
      <c r="M1027" s="391">
        <v>1.1986</v>
      </c>
      <c r="N1027" s="38">
        <v>2.1648</v>
      </c>
    </row>
    <row r="1028">
      <c r="A1028" s="389" t="s">
        <v>1970</v>
      </c>
      <c r="B1028" s="389" t="s">
        <v>339</v>
      </c>
      <c r="C1028" s="389" t="s">
        <v>9</v>
      </c>
      <c r="D1028" s="389" t="s">
        <v>591</v>
      </c>
      <c r="E1028" s="390" t="s">
        <v>363</v>
      </c>
      <c r="F1028" s="391">
        <v>77700.0</v>
      </c>
      <c r="G1028" s="391">
        <v>21211.0</v>
      </c>
      <c r="H1028" s="391">
        <v>27.3</v>
      </c>
      <c r="I1028" s="391">
        <v>9.05</v>
      </c>
      <c r="J1028" s="391">
        <v>6.53</v>
      </c>
      <c r="K1028" s="391">
        <v>57326.0</v>
      </c>
      <c r="L1028" s="391">
        <v>633721.0</v>
      </c>
      <c r="M1028" s="391">
        <v>0.7378</v>
      </c>
      <c r="N1028" s="38">
        <v>2.7027</v>
      </c>
    </row>
    <row r="1029">
      <c r="A1029" s="389" t="s">
        <v>1970</v>
      </c>
      <c r="B1029" s="389" t="s">
        <v>339</v>
      </c>
      <c r="C1029" s="389" t="s">
        <v>9</v>
      </c>
      <c r="D1029" s="389" t="s">
        <v>591</v>
      </c>
      <c r="E1029" s="390" t="s">
        <v>371</v>
      </c>
      <c r="F1029" s="391">
        <v>77700.0</v>
      </c>
      <c r="G1029" s="391">
        <v>23861.0</v>
      </c>
      <c r="H1029" s="391">
        <v>30.71</v>
      </c>
      <c r="I1029" s="391">
        <v>8.61</v>
      </c>
      <c r="J1029" s="391">
        <v>6.18</v>
      </c>
      <c r="K1029" s="391">
        <v>54550.0</v>
      </c>
      <c r="L1029" s="391">
        <v>633721.0</v>
      </c>
      <c r="M1029" s="391">
        <v>0.7021</v>
      </c>
      <c r="N1029" s="38">
        <v>2.2862</v>
      </c>
    </row>
    <row r="1030">
      <c r="A1030" s="389" t="s">
        <v>1970</v>
      </c>
      <c r="B1030" s="389" t="s">
        <v>339</v>
      </c>
      <c r="C1030" s="389" t="s">
        <v>9</v>
      </c>
      <c r="D1030" s="389" t="s">
        <v>591</v>
      </c>
      <c r="E1030" s="390" t="s">
        <v>369</v>
      </c>
      <c r="F1030" s="391">
        <v>77700.0</v>
      </c>
      <c r="G1030" s="391">
        <v>26475.0</v>
      </c>
      <c r="H1030" s="391">
        <v>34.07</v>
      </c>
      <c r="I1030" s="391">
        <v>7.83</v>
      </c>
      <c r="J1030" s="391">
        <v>6.8</v>
      </c>
      <c r="K1030" s="391">
        <v>49627.0</v>
      </c>
      <c r="L1030" s="391">
        <v>633721.0</v>
      </c>
      <c r="M1030" s="391">
        <v>0.6387</v>
      </c>
      <c r="N1030" s="38">
        <v>1.8745</v>
      </c>
    </row>
    <row r="1031">
      <c r="A1031" s="389" t="s">
        <v>1970</v>
      </c>
      <c r="B1031" s="389" t="s">
        <v>339</v>
      </c>
      <c r="C1031" s="389" t="s">
        <v>9</v>
      </c>
      <c r="D1031" s="389" t="s">
        <v>591</v>
      </c>
      <c r="E1031" s="390" t="s">
        <v>35</v>
      </c>
      <c r="F1031" s="391">
        <v>77700.0</v>
      </c>
      <c r="G1031" s="391">
        <v>22627.0</v>
      </c>
      <c r="H1031" s="391">
        <v>29.12</v>
      </c>
      <c r="I1031" s="391">
        <v>7.18</v>
      </c>
      <c r="J1031" s="391">
        <v>7.26</v>
      </c>
      <c r="K1031" s="391">
        <v>45519.0</v>
      </c>
      <c r="L1031" s="391">
        <v>633721.0</v>
      </c>
      <c r="M1031" s="391">
        <v>0.5858</v>
      </c>
      <c r="N1031" s="38">
        <v>2.0117</v>
      </c>
    </row>
    <row r="1032">
      <c r="A1032" s="389" t="s">
        <v>1970</v>
      </c>
      <c r="B1032" s="389" t="s">
        <v>339</v>
      </c>
      <c r="C1032" s="389" t="s">
        <v>9</v>
      </c>
      <c r="D1032" s="389" t="s">
        <v>591</v>
      </c>
      <c r="E1032" s="390" t="s">
        <v>44</v>
      </c>
      <c r="F1032" s="391">
        <v>77700.0</v>
      </c>
      <c r="G1032" s="391">
        <v>23802.0</v>
      </c>
      <c r="H1032" s="391">
        <v>30.63</v>
      </c>
      <c r="I1032" s="391">
        <v>5.94</v>
      </c>
      <c r="J1032" s="391">
        <v>6.26</v>
      </c>
      <c r="K1032" s="391">
        <v>37660.0</v>
      </c>
      <c r="L1032" s="391">
        <v>633721.0</v>
      </c>
      <c r="M1032" s="391">
        <v>0.4847</v>
      </c>
      <c r="N1032" s="38">
        <v>1.5822</v>
      </c>
    </row>
    <row r="1033">
      <c r="A1033" s="389" t="s">
        <v>1970</v>
      </c>
      <c r="B1033" s="389" t="s">
        <v>339</v>
      </c>
      <c r="C1033" s="389" t="s">
        <v>9</v>
      </c>
      <c r="D1033" s="389" t="s">
        <v>591</v>
      </c>
      <c r="E1033" s="390" t="s">
        <v>37</v>
      </c>
      <c r="F1033" s="391">
        <v>77700.0</v>
      </c>
      <c r="G1033" s="391">
        <v>21778.0</v>
      </c>
      <c r="H1033" s="391">
        <v>28.03</v>
      </c>
      <c r="I1033" s="391">
        <v>4.79</v>
      </c>
      <c r="J1033" s="391">
        <v>5.63</v>
      </c>
      <c r="K1033" s="391">
        <v>30367.0</v>
      </c>
      <c r="L1033" s="391">
        <v>633721.0</v>
      </c>
      <c r="M1033" s="391">
        <v>0.3908</v>
      </c>
      <c r="N1033" s="38">
        <v>1.3944</v>
      </c>
    </row>
    <row r="1034">
      <c r="A1034" s="389" t="s">
        <v>1970</v>
      </c>
      <c r="B1034" s="389" t="s">
        <v>339</v>
      </c>
      <c r="C1034" s="389" t="s">
        <v>9</v>
      </c>
      <c r="D1034" s="389" t="s">
        <v>591</v>
      </c>
      <c r="E1034" s="390" t="s">
        <v>365</v>
      </c>
      <c r="F1034" s="391">
        <v>77700.0</v>
      </c>
      <c r="G1034" s="391">
        <v>21535.0</v>
      </c>
      <c r="H1034" s="391">
        <v>27.72</v>
      </c>
      <c r="I1034" s="391">
        <v>3.87</v>
      </c>
      <c r="J1034" s="391">
        <v>4.82</v>
      </c>
      <c r="K1034" s="391">
        <v>24545.0</v>
      </c>
      <c r="L1034" s="391">
        <v>633721.0</v>
      </c>
      <c r="M1034" s="391">
        <v>0.3159</v>
      </c>
      <c r="N1034" s="38">
        <v>1.1398</v>
      </c>
    </row>
    <row r="1035">
      <c r="A1035" s="389" t="s">
        <v>1970</v>
      </c>
      <c r="B1035" s="389" t="s">
        <v>339</v>
      </c>
      <c r="C1035" s="389" t="s">
        <v>9</v>
      </c>
      <c r="D1035" s="389" t="s">
        <v>591</v>
      </c>
      <c r="E1035" s="390" t="s">
        <v>282</v>
      </c>
      <c r="F1035" s="391">
        <v>77700.0</v>
      </c>
      <c r="G1035" s="391">
        <v>17497.0</v>
      </c>
      <c r="H1035" s="391">
        <v>22.52</v>
      </c>
      <c r="I1035" s="391">
        <v>3.36</v>
      </c>
      <c r="J1035" s="391">
        <v>3.62</v>
      </c>
      <c r="K1035" s="391">
        <v>21289.0</v>
      </c>
      <c r="L1035" s="391">
        <v>633721.0</v>
      </c>
      <c r="M1035" s="391">
        <v>0.274</v>
      </c>
      <c r="N1035" s="38">
        <v>1.2167</v>
      </c>
    </row>
    <row r="1036">
      <c r="A1036" s="389" t="s">
        <v>1970</v>
      </c>
      <c r="B1036" s="389" t="s">
        <v>339</v>
      </c>
      <c r="C1036" s="389" t="s">
        <v>9</v>
      </c>
      <c r="D1036" s="389" t="s">
        <v>591</v>
      </c>
      <c r="E1036" s="390" t="s">
        <v>45</v>
      </c>
      <c r="F1036" s="391">
        <v>77700.0</v>
      </c>
      <c r="G1036" s="391">
        <v>15081.0</v>
      </c>
      <c r="H1036" s="391">
        <v>19.41</v>
      </c>
      <c r="I1036" s="391">
        <v>3.05</v>
      </c>
      <c r="J1036" s="391">
        <v>2.94</v>
      </c>
      <c r="K1036" s="391">
        <v>19304.0</v>
      </c>
      <c r="L1036" s="391">
        <v>633721.0</v>
      </c>
      <c r="M1036" s="391">
        <v>0.2484</v>
      </c>
      <c r="N1036" s="38">
        <v>1.28</v>
      </c>
    </row>
    <row r="1037">
      <c r="A1037" s="389" t="s">
        <v>1970</v>
      </c>
      <c r="B1037" s="389" t="s">
        <v>339</v>
      </c>
      <c r="C1037" s="389" t="s">
        <v>9</v>
      </c>
      <c r="D1037" s="389" t="s">
        <v>591</v>
      </c>
      <c r="E1037" s="390" t="s">
        <v>283</v>
      </c>
      <c r="F1037" s="391">
        <v>77700.0</v>
      </c>
      <c r="G1037" s="391">
        <v>15317.0</v>
      </c>
      <c r="H1037" s="391">
        <v>19.71</v>
      </c>
      <c r="I1037" s="391">
        <v>2.88</v>
      </c>
      <c r="J1037" s="391">
        <v>3.18</v>
      </c>
      <c r="K1037" s="391">
        <v>18256.0</v>
      </c>
      <c r="L1037" s="391">
        <v>633721.0</v>
      </c>
      <c r="M1037" s="391">
        <v>0.235</v>
      </c>
      <c r="N1037" s="38">
        <v>1.1919</v>
      </c>
    </row>
    <row r="1038">
      <c r="A1038" s="389" t="s">
        <v>1970</v>
      </c>
      <c r="B1038" s="389" t="s">
        <v>339</v>
      </c>
      <c r="C1038" s="389" t="s">
        <v>9</v>
      </c>
      <c r="D1038" s="389" t="s">
        <v>591</v>
      </c>
      <c r="E1038" s="390" t="s">
        <v>284</v>
      </c>
      <c r="F1038" s="391">
        <v>77700.0</v>
      </c>
      <c r="G1038" s="391">
        <v>14687.0</v>
      </c>
      <c r="H1038" s="391">
        <v>18.9</v>
      </c>
      <c r="I1038" s="391">
        <v>2.74</v>
      </c>
      <c r="J1038" s="391">
        <v>3.25</v>
      </c>
      <c r="K1038" s="391">
        <v>17368.0</v>
      </c>
      <c r="L1038" s="391">
        <v>633721.0</v>
      </c>
      <c r="M1038" s="391">
        <v>0.2235</v>
      </c>
      <c r="N1038" s="38">
        <v>1.1825</v>
      </c>
    </row>
    <row r="1039">
      <c r="A1039" s="389" t="s">
        <v>1970</v>
      </c>
      <c r="B1039" s="389" t="s">
        <v>339</v>
      </c>
      <c r="C1039" s="389" t="s">
        <v>9</v>
      </c>
      <c r="D1039" s="389" t="s">
        <v>591</v>
      </c>
      <c r="E1039" s="390" t="s">
        <v>367</v>
      </c>
      <c r="F1039" s="391">
        <v>77700.0</v>
      </c>
      <c r="G1039" s="391">
        <v>11201.0</v>
      </c>
      <c r="H1039" s="391">
        <v>14.42</v>
      </c>
      <c r="I1039" s="391">
        <v>2.38</v>
      </c>
      <c r="J1039" s="391">
        <v>2.65</v>
      </c>
      <c r="K1039" s="391">
        <v>15053.0</v>
      </c>
      <c r="L1039" s="391">
        <v>633721.0</v>
      </c>
      <c r="M1039" s="391">
        <v>0.1937</v>
      </c>
      <c r="N1039" s="38">
        <v>1.3439</v>
      </c>
    </row>
    <row r="1040">
      <c r="A1040" s="389" t="s">
        <v>1970</v>
      </c>
      <c r="B1040" s="389" t="s">
        <v>339</v>
      </c>
      <c r="C1040" s="389" t="s">
        <v>9</v>
      </c>
      <c r="D1040" s="389" t="s">
        <v>591</v>
      </c>
      <c r="E1040" s="390" t="s">
        <v>39</v>
      </c>
      <c r="F1040" s="391">
        <v>77700.0</v>
      </c>
      <c r="G1040" s="391">
        <v>5180.0</v>
      </c>
      <c r="H1040" s="391">
        <v>6.67</v>
      </c>
      <c r="I1040" s="391">
        <v>0.96</v>
      </c>
      <c r="J1040" s="391">
        <v>0.66</v>
      </c>
      <c r="K1040" s="391">
        <v>6063.0</v>
      </c>
      <c r="L1040" s="391">
        <v>633721.0</v>
      </c>
      <c r="M1040" s="391">
        <v>0.078</v>
      </c>
      <c r="N1040" s="38">
        <v>1.1705</v>
      </c>
    </row>
    <row r="1041">
      <c r="A1041" s="389" t="s">
        <v>1970</v>
      </c>
      <c r="B1041" s="389" t="s">
        <v>339</v>
      </c>
      <c r="C1041" s="389" t="s">
        <v>9</v>
      </c>
      <c r="D1041" s="389" t="s">
        <v>591</v>
      </c>
      <c r="E1041" s="390" t="s">
        <v>27</v>
      </c>
      <c r="F1041" s="391">
        <v>77700.0</v>
      </c>
      <c r="G1041" s="391">
        <v>4164.0</v>
      </c>
      <c r="H1041" s="391">
        <v>5.36</v>
      </c>
      <c r="I1041" s="391">
        <v>0.67</v>
      </c>
      <c r="J1041" s="391">
        <v>0.67</v>
      </c>
      <c r="K1041" s="391">
        <v>4222.0</v>
      </c>
      <c r="L1041" s="391">
        <v>633721.0</v>
      </c>
      <c r="M1041" s="391">
        <v>0.0543</v>
      </c>
      <c r="N1041" s="38">
        <v>1.0139</v>
      </c>
    </row>
    <row r="1042">
      <c r="A1042" s="389" t="s">
        <v>1970</v>
      </c>
      <c r="B1042" s="389" t="s">
        <v>339</v>
      </c>
      <c r="C1042" s="389" t="s">
        <v>9</v>
      </c>
      <c r="D1042" s="389" t="s">
        <v>591</v>
      </c>
      <c r="E1042" s="390" t="s">
        <v>108</v>
      </c>
      <c r="F1042" s="391">
        <v>77700.0</v>
      </c>
      <c r="G1042" s="391">
        <v>1380.0</v>
      </c>
      <c r="H1042" s="391">
        <v>1.78</v>
      </c>
      <c r="I1042" s="391">
        <v>0.31</v>
      </c>
      <c r="J1042" s="391">
        <v>0.18</v>
      </c>
      <c r="K1042" s="391">
        <v>1941.0</v>
      </c>
      <c r="L1042" s="391">
        <v>633721.0</v>
      </c>
      <c r="M1042" s="391">
        <v>0.025</v>
      </c>
      <c r="N1042" s="38">
        <v>1.4065</v>
      </c>
    </row>
    <row r="1043">
      <c r="A1043" s="389" t="s">
        <v>1970</v>
      </c>
      <c r="B1043" s="389" t="s">
        <v>339</v>
      </c>
      <c r="C1043" s="389" t="s">
        <v>9</v>
      </c>
      <c r="D1043" s="389" t="s">
        <v>591</v>
      </c>
      <c r="E1043" s="390" t="s">
        <v>38</v>
      </c>
      <c r="F1043" s="391">
        <v>77700.0</v>
      </c>
      <c r="G1043" s="391">
        <v>1815.0</v>
      </c>
      <c r="H1043" s="391">
        <v>2.34</v>
      </c>
      <c r="I1043" s="391">
        <v>0.3</v>
      </c>
      <c r="J1043" s="391">
        <v>0.34</v>
      </c>
      <c r="K1043" s="391">
        <v>1880.0</v>
      </c>
      <c r="L1043" s="391">
        <v>633721.0</v>
      </c>
      <c r="M1043" s="391">
        <v>0.0242</v>
      </c>
      <c r="N1043" s="38">
        <v>1.0358</v>
      </c>
    </row>
    <row r="1044">
      <c r="A1044" s="389" t="s">
        <v>1970</v>
      </c>
      <c r="B1044" s="389" t="s">
        <v>339</v>
      </c>
      <c r="C1044" s="389" t="s">
        <v>9</v>
      </c>
      <c r="D1044" s="389" t="s">
        <v>591</v>
      </c>
      <c r="E1044" s="390" t="s">
        <v>368</v>
      </c>
      <c r="F1044" s="391">
        <v>77700.0</v>
      </c>
      <c r="G1044" s="391">
        <v>90.0</v>
      </c>
      <c r="H1044" s="391">
        <v>0.12</v>
      </c>
      <c r="I1044" s="391">
        <v>0.01</v>
      </c>
      <c r="J1044" s="391">
        <v>0.01</v>
      </c>
      <c r="K1044" s="391">
        <v>93.0</v>
      </c>
      <c r="L1044" s="391">
        <v>633721.0</v>
      </c>
      <c r="M1044" s="391">
        <v>0.0012</v>
      </c>
      <c r="N1044" s="38">
        <v>1.0333</v>
      </c>
    </row>
    <row r="1045">
      <c r="A1045" s="389" t="s">
        <v>1970</v>
      </c>
      <c r="B1045" s="389" t="s">
        <v>339</v>
      </c>
      <c r="C1045" s="389" t="s">
        <v>9</v>
      </c>
      <c r="D1045" s="389" t="s">
        <v>591</v>
      </c>
      <c r="E1045" s="390" t="s">
        <v>163</v>
      </c>
      <c r="F1045" s="391">
        <v>77700.0</v>
      </c>
      <c r="G1045" s="391">
        <v>12.0</v>
      </c>
      <c r="H1045" s="391">
        <v>0.02</v>
      </c>
      <c r="I1045" s="391">
        <v>0.0</v>
      </c>
      <c r="J1045" s="391">
        <v>0.0</v>
      </c>
      <c r="K1045" s="391">
        <v>13.0</v>
      </c>
      <c r="L1045" s="391">
        <v>633721.0</v>
      </c>
      <c r="M1045" s="391">
        <v>2.0E-4</v>
      </c>
      <c r="N1045" s="38">
        <v>1.0833</v>
      </c>
    </row>
    <row r="1046">
      <c r="A1046" s="389" t="s">
        <v>1970</v>
      </c>
      <c r="B1046" s="389" t="s">
        <v>339</v>
      </c>
      <c r="C1046" s="389" t="s">
        <v>358</v>
      </c>
      <c r="D1046" s="389" t="s">
        <v>1968</v>
      </c>
      <c r="E1046" s="390" t="s">
        <v>366</v>
      </c>
      <c r="F1046" s="391">
        <v>29352.0</v>
      </c>
      <c r="G1046" s="391">
        <v>10463.0</v>
      </c>
      <c r="H1046" s="391">
        <v>35.65</v>
      </c>
      <c r="I1046" s="391">
        <v>35.66</v>
      </c>
      <c r="J1046" s="391">
        <v>27.22</v>
      </c>
      <c r="K1046" s="391">
        <v>321945.0</v>
      </c>
      <c r="L1046" s="391">
        <v>902870.0</v>
      </c>
      <c r="M1046" s="391">
        <v>10.9684</v>
      </c>
      <c r="N1046" s="38">
        <v>30.7699</v>
      </c>
    </row>
    <row r="1047">
      <c r="A1047" s="389" t="s">
        <v>1970</v>
      </c>
      <c r="B1047" s="389" t="s">
        <v>339</v>
      </c>
      <c r="C1047" s="389" t="s">
        <v>358</v>
      </c>
      <c r="D1047" s="389" t="s">
        <v>1968</v>
      </c>
      <c r="E1047" s="390" t="s">
        <v>371</v>
      </c>
      <c r="F1047" s="391">
        <v>29352.0</v>
      </c>
      <c r="G1047" s="391">
        <v>14146.0</v>
      </c>
      <c r="H1047" s="391">
        <v>48.19</v>
      </c>
      <c r="I1047" s="391">
        <v>31.8</v>
      </c>
      <c r="J1047" s="391">
        <v>35.24</v>
      </c>
      <c r="K1047" s="391">
        <v>287080.0</v>
      </c>
      <c r="L1047" s="391">
        <v>902870.0</v>
      </c>
      <c r="M1047" s="391">
        <v>9.7806</v>
      </c>
      <c r="N1047" s="38">
        <v>20.2941</v>
      </c>
    </row>
    <row r="1048">
      <c r="A1048" s="389" t="s">
        <v>1970</v>
      </c>
      <c r="B1048" s="389" t="s">
        <v>339</v>
      </c>
      <c r="C1048" s="389" t="s">
        <v>358</v>
      </c>
      <c r="D1048" s="389" t="s">
        <v>1968</v>
      </c>
      <c r="E1048" s="390" t="s">
        <v>108</v>
      </c>
      <c r="F1048" s="391">
        <v>29352.0</v>
      </c>
      <c r="G1048" s="391">
        <v>5457.0</v>
      </c>
      <c r="H1048" s="391">
        <v>18.59</v>
      </c>
      <c r="I1048" s="391">
        <v>13.39</v>
      </c>
      <c r="J1048" s="391">
        <v>12.26</v>
      </c>
      <c r="K1048" s="391">
        <v>120935.0</v>
      </c>
      <c r="L1048" s="391">
        <v>902870.0</v>
      </c>
      <c r="M1048" s="391">
        <v>4.1202</v>
      </c>
      <c r="N1048" s="38">
        <v>22.1614</v>
      </c>
    </row>
    <row r="1049">
      <c r="A1049" s="389" t="s">
        <v>1970</v>
      </c>
      <c r="B1049" s="389" t="s">
        <v>339</v>
      </c>
      <c r="C1049" s="389" t="s">
        <v>358</v>
      </c>
      <c r="D1049" s="389" t="s">
        <v>1968</v>
      </c>
      <c r="E1049" s="390" t="s">
        <v>368</v>
      </c>
      <c r="F1049" s="391">
        <v>29352.0</v>
      </c>
      <c r="G1049" s="391">
        <v>9091.0</v>
      </c>
      <c r="H1049" s="391">
        <v>30.97</v>
      </c>
      <c r="I1049" s="391">
        <v>12.09</v>
      </c>
      <c r="J1049" s="391">
        <v>16.65</v>
      </c>
      <c r="K1049" s="391">
        <v>109165.0</v>
      </c>
      <c r="L1049" s="391">
        <v>902870.0</v>
      </c>
      <c r="M1049" s="391">
        <v>3.7192</v>
      </c>
      <c r="N1049" s="38">
        <v>12.008</v>
      </c>
    </row>
    <row r="1050">
      <c r="A1050" s="389" t="s">
        <v>1970</v>
      </c>
      <c r="B1050" s="389" t="s">
        <v>339</v>
      </c>
      <c r="C1050" s="389" t="s">
        <v>358</v>
      </c>
      <c r="D1050" s="389" t="s">
        <v>1968</v>
      </c>
      <c r="E1050" s="390" t="s">
        <v>163</v>
      </c>
      <c r="F1050" s="391">
        <v>29352.0</v>
      </c>
      <c r="G1050" s="391">
        <v>3471.0</v>
      </c>
      <c r="H1050" s="391">
        <v>11.83</v>
      </c>
      <c r="I1050" s="391">
        <v>3.9</v>
      </c>
      <c r="J1050" s="391">
        <v>5.57</v>
      </c>
      <c r="K1050" s="391">
        <v>35200.0</v>
      </c>
      <c r="L1050" s="391">
        <v>902870.0</v>
      </c>
      <c r="M1050" s="391">
        <v>1.1992</v>
      </c>
      <c r="N1050" s="38">
        <v>10.1412</v>
      </c>
    </row>
    <row r="1051">
      <c r="A1051" s="389" t="s">
        <v>1970</v>
      </c>
      <c r="B1051" s="389" t="s">
        <v>339</v>
      </c>
      <c r="C1051" s="389" t="s">
        <v>358</v>
      </c>
      <c r="D1051" s="389" t="s">
        <v>1968</v>
      </c>
      <c r="E1051" s="390" t="s">
        <v>369</v>
      </c>
      <c r="F1051" s="391">
        <v>29352.0</v>
      </c>
      <c r="G1051" s="391">
        <v>900.0</v>
      </c>
      <c r="H1051" s="391">
        <v>3.07</v>
      </c>
      <c r="I1051" s="391">
        <v>3.09</v>
      </c>
      <c r="J1051" s="391">
        <v>2.96</v>
      </c>
      <c r="K1051" s="391">
        <v>27885.0</v>
      </c>
      <c r="L1051" s="391">
        <v>902870.0</v>
      </c>
      <c r="M1051" s="391">
        <v>0.95</v>
      </c>
      <c r="N1051" s="38">
        <v>30.9833</v>
      </c>
    </row>
    <row r="1052">
      <c r="A1052" s="389" t="s">
        <v>1970</v>
      </c>
      <c r="B1052" s="389" t="s">
        <v>339</v>
      </c>
      <c r="C1052" s="389" t="s">
        <v>358</v>
      </c>
      <c r="D1052" s="389" t="s">
        <v>1968</v>
      </c>
      <c r="E1052" s="390" t="s">
        <v>30</v>
      </c>
      <c r="F1052" s="391">
        <v>29352.0</v>
      </c>
      <c r="G1052" s="391">
        <v>44.0</v>
      </c>
      <c r="H1052" s="391">
        <v>0.15</v>
      </c>
      <c r="I1052" s="391">
        <v>0.07</v>
      </c>
      <c r="J1052" s="391">
        <v>0.08</v>
      </c>
      <c r="K1052" s="391">
        <v>660.0</v>
      </c>
      <c r="L1052" s="391">
        <v>902870.0</v>
      </c>
      <c r="M1052" s="391">
        <v>0.0225</v>
      </c>
      <c r="N1052" s="38">
        <v>15.0</v>
      </c>
    </row>
    <row r="1053">
      <c r="A1053" s="389" t="s">
        <v>1970</v>
      </c>
      <c r="B1053" s="389" t="s">
        <v>339</v>
      </c>
      <c r="C1053" s="389" t="s">
        <v>359</v>
      </c>
      <c r="D1053" s="389" t="s">
        <v>1968</v>
      </c>
      <c r="E1053" s="390" t="s">
        <v>371</v>
      </c>
      <c r="F1053" s="391">
        <v>66280.0</v>
      </c>
      <c r="G1053" s="391">
        <v>50687.0</v>
      </c>
      <c r="H1053" s="391">
        <v>76.47</v>
      </c>
      <c r="I1053" s="391">
        <v>49.36</v>
      </c>
      <c r="J1053" s="391">
        <v>54.63</v>
      </c>
      <c r="K1053" s="391">
        <v>1358620.0</v>
      </c>
      <c r="L1053" s="391">
        <v>2752275.0</v>
      </c>
      <c r="M1053" s="391">
        <v>20.4982</v>
      </c>
      <c r="N1053" s="38">
        <v>26.8041</v>
      </c>
    </row>
    <row r="1054">
      <c r="A1054" s="389" t="s">
        <v>1970</v>
      </c>
      <c r="B1054" s="389" t="s">
        <v>339</v>
      </c>
      <c r="C1054" s="389" t="s">
        <v>359</v>
      </c>
      <c r="D1054" s="389" t="s">
        <v>1968</v>
      </c>
      <c r="E1054" s="390" t="s">
        <v>366</v>
      </c>
      <c r="F1054" s="391">
        <v>66280.0</v>
      </c>
      <c r="G1054" s="391">
        <v>10054.0</v>
      </c>
      <c r="H1054" s="391">
        <v>15.17</v>
      </c>
      <c r="I1054" s="391">
        <v>22.37</v>
      </c>
      <c r="J1054" s="391">
        <v>9.58</v>
      </c>
      <c r="K1054" s="391">
        <v>615750.0</v>
      </c>
      <c r="L1054" s="391">
        <v>2752275.0</v>
      </c>
      <c r="M1054" s="391">
        <v>9.2901</v>
      </c>
      <c r="N1054" s="38">
        <v>61.2443</v>
      </c>
    </row>
    <row r="1055">
      <c r="A1055" s="389" t="s">
        <v>1970</v>
      </c>
      <c r="B1055" s="389" t="s">
        <v>339</v>
      </c>
      <c r="C1055" s="389" t="s">
        <v>359</v>
      </c>
      <c r="D1055" s="389" t="s">
        <v>1968</v>
      </c>
      <c r="E1055" s="390" t="s">
        <v>368</v>
      </c>
      <c r="F1055" s="391">
        <v>66280.0</v>
      </c>
      <c r="G1055" s="391">
        <v>34880.0</v>
      </c>
      <c r="H1055" s="391">
        <v>52.63</v>
      </c>
      <c r="I1055" s="391">
        <v>17.24</v>
      </c>
      <c r="J1055" s="391">
        <v>22.02</v>
      </c>
      <c r="K1055" s="391">
        <v>474530.0</v>
      </c>
      <c r="L1055" s="391">
        <v>2752275.0</v>
      </c>
      <c r="M1055" s="391">
        <v>7.1595</v>
      </c>
      <c r="N1055" s="38">
        <v>13.6046</v>
      </c>
    </row>
    <row r="1056">
      <c r="A1056" s="389" t="s">
        <v>1970</v>
      </c>
      <c r="B1056" s="389" t="s">
        <v>339</v>
      </c>
      <c r="C1056" s="389" t="s">
        <v>359</v>
      </c>
      <c r="D1056" s="389" t="s">
        <v>1968</v>
      </c>
      <c r="E1056" s="390" t="s">
        <v>163</v>
      </c>
      <c r="F1056" s="391">
        <v>66280.0</v>
      </c>
      <c r="G1056" s="391">
        <v>15242.0</v>
      </c>
      <c r="H1056" s="391">
        <v>23.0</v>
      </c>
      <c r="I1056" s="391">
        <v>5.61</v>
      </c>
      <c r="J1056" s="391">
        <v>7.63</v>
      </c>
      <c r="K1056" s="391">
        <v>154290.0</v>
      </c>
      <c r="L1056" s="391">
        <v>2752275.0</v>
      </c>
      <c r="M1056" s="391">
        <v>2.3279</v>
      </c>
      <c r="N1056" s="38">
        <v>10.1227</v>
      </c>
    </row>
    <row r="1057">
      <c r="A1057" s="389" t="s">
        <v>1970</v>
      </c>
      <c r="B1057" s="389" t="s">
        <v>339</v>
      </c>
      <c r="C1057" s="389" t="s">
        <v>359</v>
      </c>
      <c r="D1057" s="389" t="s">
        <v>1968</v>
      </c>
      <c r="E1057" s="390" t="s">
        <v>108</v>
      </c>
      <c r="F1057" s="391">
        <v>66280.0</v>
      </c>
      <c r="G1057" s="391">
        <v>8034.0</v>
      </c>
      <c r="H1057" s="391">
        <v>12.12</v>
      </c>
      <c r="I1057" s="391">
        <v>3.84</v>
      </c>
      <c r="J1057" s="391">
        <v>4.59</v>
      </c>
      <c r="K1057" s="391">
        <v>105570.0</v>
      </c>
      <c r="L1057" s="391">
        <v>2752275.0</v>
      </c>
      <c r="M1057" s="391">
        <v>1.5928</v>
      </c>
      <c r="N1057" s="38">
        <v>13.1404</v>
      </c>
    </row>
    <row r="1058">
      <c r="A1058" s="389" t="s">
        <v>1970</v>
      </c>
      <c r="B1058" s="389" t="s">
        <v>339</v>
      </c>
      <c r="C1058" s="389" t="s">
        <v>359</v>
      </c>
      <c r="D1058" s="389" t="s">
        <v>1968</v>
      </c>
      <c r="E1058" s="390" t="s">
        <v>369</v>
      </c>
      <c r="F1058" s="391">
        <v>66280.0</v>
      </c>
      <c r="G1058" s="391">
        <v>902.0</v>
      </c>
      <c r="H1058" s="391">
        <v>1.36</v>
      </c>
      <c r="I1058" s="391">
        <v>1.01</v>
      </c>
      <c r="J1058" s="391">
        <v>0.96</v>
      </c>
      <c r="K1058" s="391">
        <v>27880.0</v>
      </c>
      <c r="L1058" s="391">
        <v>2752275.0</v>
      </c>
      <c r="M1058" s="391">
        <v>0.4206</v>
      </c>
      <c r="N1058" s="38">
        <v>30.9091</v>
      </c>
    </row>
    <row r="1059">
      <c r="A1059" s="389" t="s">
        <v>1970</v>
      </c>
      <c r="B1059" s="389" t="s">
        <v>339</v>
      </c>
      <c r="C1059" s="389" t="s">
        <v>359</v>
      </c>
      <c r="D1059" s="389" t="s">
        <v>1968</v>
      </c>
      <c r="E1059" s="390" t="s">
        <v>39</v>
      </c>
      <c r="F1059" s="391">
        <v>66280.0</v>
      </c>
      <c r="G1059" s="391">
        <v>903.0</v>
      </c>
      <c r="H1059" s="391">
        <v>1.36</v>
      </c>
      <c r="I1059" s="391">
        <v>0.38</v>
      </c>
      <c r="J1059" s="391">
        <v>0.42</v>
      </c>
      <c r="K1059" s="391">
        <v>10400.0</v>
      </c>
      <c r="L1059" s="391">
        <v>2752275.0</v>
      </c>
      <c r="M1059" s="391">
        <v>0.1569</v>
      </c>
      <c r="N1059" s="38">
        <v>11.5172</v>
      </c>
    </row>
    <row r="1060">
      <c r="A1060" s="389" t="s">
        <v>1970</v>
      </c>
      <c r="B1060" s="389" t="s">
        <v>339</v>
      </c>
      <c r="C1060" s="389" t="s">
        <v>359</v>
      </c>
      <c r="D1060" s="389" t="s">
        <v>1968</v>
      </c>
      <c r="E1060" s="390" t="s">
        <v>30</v>
      </c>
      <c r="F1060" s="391">
        <v>66280.0</v>
      </c>
      <c r="G1060" s="391">
        <v>348.0</v>
      </c>
      <c r="H1060" s="391">
        <v>0.53</v>
      </c>
      <c r="I1060" s="391">
        <v>0.19</v>
      </c>
      <c r="J1060" s="391">
        <v>0.17</v>
      </c>
      <c r="K1060" s="391">
        <v>5220.0</v>
      </c>
      <c r="L1060" s="391">
        <v>2752275.0</v>
      </c>
      <c r="M1060" s="391">
        <v>0.0788</v>
      </c>
      <c r="N1060" s="38">
        <v>15.0</v>
      </c>
    </row>
    <row r="1061">
      <c r="A1061" s="389" t="s">
        <v>1970</v>
      </c>
      <c r="B1061" s="389" t="s">
        <v>339</v>
      </c>
      <c r="C1061" s="389" t="s">
        <v>359</v>
      </c>
      <c r="D1061" s="389" t="s">
        <v>1968</v>
      </c>
      <c r="E1061" s="390" t="s">
        <v>370</v>
      </c>
      <c r="F1061" s="391">
        <v>66280.0</v>
      </c>
      <c r="G1061" s="391">
        <v>1.0</v>
      </c>
      <c r="H1061" s="391">
        <v>0.0</v>
      </c>
      <c r="I1061" s="391">
        <v>0.0</v>
      </c>
      <c r="J1061" s="391">
        <v>0.0</v>
      </c>
      <c r="K1061" s="391">
        <v>15.0</v>
      </c>
      <c r="L1061" s="391">
        <v>2752275.0</v>
      </c>
      <c r="M1061" s="391">
        <v>2.0E-4</v>
      </c>
      <c r="N1061" s="38">
        <v>15.0</v>
      </c>
    </row>
    <row r="1062">
      <c r="A1062" s="389" t="s">
        <v>1970</v>
      </c>
      <c r="B1062" s="389" t="s">
        <v>339</v>
      </c>
      <c r="C1062" s="389" t="s">
        <v>360</v>
      </c>
      <c r="D1062" s="389" t="s">
        <v>1968</v>
      </c>
      <c r="E1062" s="390" t="s">
        <v>371</v>
      </c>
      <c r="F1062" s="391">
        <v>73420.0</v>
      </c>
      <c r="G1062" s="391">
        <v>62794.0</v>
      </c>
      <c r="H1062" s="391">
        <v>85.53</v>
      </c>
      <c r="I1062" s="391">
        <v>50.84</v>
      </c>
      <c r="J1062" s="391">
        <v>59.32</v>
      </c>
      <c r="K1062" s="391">
        <v>1552570.0</v>
      </c>
      <c r="L1062" s="391">
        <v>3053995.0</v>
      </c>
      <c r="M1062" s="391">
        <v>21.1464</v>
      </c>
      <c r="N1062" s="38">
        <v>24.7248</v>
      </c>
    </row>
    <row r="1063">
      <c r="A1063" s="389" t="s">
        <v>1970</v>
      </c>
      <c r="B1063" s="389" t="s">
        <v>339</v>
      </c>
      <c r="C1063" s="389" t="s">
        <v>360</v>
      </c>
      <c r="D1063" s="389" t="s">
        <v>1968</v>
      </c>
      <c r="E1063" s="390" t="s">
        <v>366</v>
      </c>
      <c r="F1063" s="391">
        <v>73420.0</v>
      </c>
      <c r="G1063" s="391">
        <v>9358.0</v>
      </c>
      <c r="H1063" s="391">
        <v>12.75</v>
      </c>
      <c r="I1063" s="391">
        <v>18.83</v>
      </c>
      <c r="J1063" s="391">
        <v>7.27</v>
      </c>
      <c r="K1063" s="391">
        <v>575055.0</v>
      </c>
      <c r="L1063" s="391">
        <v>3053995.0</v>
      </c>
      <c r="M1063" s="391">
        <v>7.8324</v>
      </c>
      <c r="N1063" s="38">
        <v>61.4506</v>
      </c>
    </row>
    <row r="1064">
      <c r="A1064" s="389" t="s">
        <v>1970</v>
      </c>
      <c r="B1064" s="389" t="s">
        <v>339</v>
      </c>
      <c r="C1064" s="389" t="s">
        <v>360</v>
      </c>
      <c r="D1064" s="389" t="s">
        <v>1968</v>
      </c>
      <c r="E1064" s="390" t="s">
        <v>368</v>
      </c>
      <c r="F1064" s="391">
        <v>73420.0</v>
      </c>
      <c r="G1064" s="391">
        <v>39132.0</v>
      </c>
      <c r="H1064" s="391">
        <v>53.3</v>
      </c>
      <c r="I1064" s="391">
        <v>17.4</v>
      </c>
      <c r="J1064" s="391">
        <v>20.36</v>
      </c>
      <c r="K1064" s="391">
        <v>531315.0</v>
      </c>
      <c r="L1064" s="391">
        <v>3053995.0</v>
      </c>
      <c r="M1064" s="391">
        <v>7.2367</v>
      </c>
      <c r="N1064" s="38">
        <v>13.5775</v>
      </c>
    </row>
    <row r="1065">
      <c r="A1065" s="389" t="s">
        <v>1970</v>
      </c>
      <c r="B1065" s="389" t="s">
        <v>339</v>
      </c>
      <c r="C1065" s="389" t="s">
        <v>360</v>
      </c>
      <c r="D1065" s="389" t="s">
        <v>1968</v>
      </c>
      <c r="E1065" s="390" t="s">
        <v>163</v>
      </c>
      <c r="F1065" s="391">
        <v>73420.0</v>
      </c>
      <c r="G1065" s="391">
        <v>18532.0</v>
      </c>
      <c r="H1065" s="391">
        <v>25.24</v>
      </c>
      <c r="I1065" s="391">
        <v>6.21</v>
      </c>
      <c r="J1065" s="391">
        <v>7.52</v>
      </c>
      <c r="K1065" s="391">
        <v>189510.0</v>
      </c>
      <c r="L1065" s="391">
        <v>3053995.0</v>
      </c>
      <c r="M1065" s="391">
        <v>2.5812</v>
      </c>
      <c r="N1065" s="38">
        <v>10.2261</v>
      </c>
    </row>
    <row r="1066">
      <c r="A1066" s="389" t="s">
        <v>1970</v>
      </c>
      <c r="B1066" s="389" t="s">
        <v>339</v>
      </c>
      <c r="C1066" s="389" t="s">
        <v>360</v>
      </c>
      <c r="D1066" s="389" t="s">
        <v>1968</v>
      </c>
      <c r="E1066" s="390" t="s">
        <v>108</v>
      </c>
      <c r="F1066" s="391">
        <v>73420.0</v>
      </c>
      <c r="G1066" s="391">
        <v>4957.0</v>
      </c>
      <c r="H1066" s="391">
        <v>6.75</v>
      </c>
      <c r="I1066" s="391">
        <v>2.58</v>
      </c>
      <c r="J1066" s="391">
        <v>2.09</v>
      </c>
      <c r="K1066" s="391">
        <v>78885.0</v>
      </c>
      <c r="L1066" s="391">
        <v>3053995.0</v>
      </c>
      <c r="M1066" s="391">
        <v>1.0744</v>
      </c>
      <c r="N1066" s="38">
        <v>15.9139</v>
      </c>
    </row>
    <row r="1067">
      <c r="A1067" s="389" t="s">
        <v>1970</v>
      </c>
      <c r="B1067" s="389" t="s">
        <v>339</v>
      </c>
      <c r="C1067" s="389" t="s">
        <v>360</v>
      </c>
      <c r="D1067" s="389" t="s">
        <v>1968</v>
      </c>
      <c r="E1067" s="390" t="s">
        <v>39</v>
      </c>
      <c r="F1067" s="391">
        <v>73420.0</v>
      </c>
      <c r="G1067" s="391">
        <v>5180.0</v>
      </c>
      <c r="H1067" s="391">
        <v>7.06</v>
      </c>
      <c r="I1067" s="391">
        <v>1.97</v>
      </c>
      <c r="J1067" s="391">
        <v>1.65</v>
      </c>
      <c r="K1067" s="391">
        <v>60300.0</v>
      </c>
      <c r="L1067" s="391">
        <v>3053995.0</v>
      </c>
      <c r="M1067" s="391">
        <v>0.8213</v>
      </c>
      <c r="N1067" s="38">
        <v>11.6409</v>
      </c>
    </row>
    <row r="1068">
      <c r="A1068" s="389" t="s">
        <v>1970</v>
      </c>
      <c r="B1068" s="389" t="s">
        <v>339</v>
      </c>
      <c r="C1068" s="389" t="s">
        <v>360</v>
      </c>
      <c r="D1068" s="389" t="s">
        <v>1968</v>
      </c>
      <c r="E1068" s="390" t="s">
        <v>30</v>
      </c>
      <c r="F1068" s="391">
        <v>73420.0</v>
      </c>
      <c r="G1068" s="391">
        <v>2523.0</v>
      </c>
      <c r="H1068" s="391">
        <v>3.44</v>
      </c>
      <c r="I1068" s="391">
        <v>1.25</v>
      </c>
      <c r="J1068" s="391">
        <v>0.95</v>
      </c>
      <c r="K1068" s="391">
        <v>38295.0</v>
      </c>
      <c r="L1068" s="391">
        <v>3053995.0</v>
      </c>
      <c r="M1068" s="391">
        <v>0.5216</v>
      </c>
      <c r="N1068" s="38">
        <v>15.1784</v>
      </c>
    </row>
    <row r="1069">
      <c r="A1069" s="389" t="s">
        <v>1970</v>
      </c>
      <c r="B1069" s="389" t="s">
        <v>339</v>
      </c>
      <c r="C1069" s="389" t="s">
        <v>360</v>
      </c>
      <c r="D1069" s="389" t="s">
        <v>1968</v>
      </c>
      <c r="E1069" s="390" t="s">
        <v>369</v>
      </c>
      <c r="F1069" s="391">
        <v>73420.0</v>
      </c>
      <c r="G1069" s="391">
        <v>907.0</v>
      </c>
      <c r="H1069" s="391">
        <v>1.24</v>
      </c>
      <c r="I1069" s="391">
        <v>0.92</v>
      </c>
      <c r="J1069" s="391">
        <v>0.85</v>
      </c>
      <c r="K1069" s="391">
        <v>27990.0</v>
      </c>
      <c r="L1069" s="391">
        <v>3053995.0</v>
      </c>
      <c r="M1069" s="391">
        <v>0.3812</v>
      </c>
      <c r="N1069" s="38">
        <v>30.86</v>
      </c>
    </row>
    <row r="1070">
      <c r="A1070" s="389" t="s">
        <v>1970</v>
      </c>
      <c r="B1070" s="389" t="s">
        <v>339</v>
      </c>
      <c r="C1070" s="389" t="s">
        <v>360</v>
      </c>
      <c r="D1070" s="389" t="s">
        <v>1968</v>
      </c>
      <c r="E1070" s="390" t="s">
        <v>372</v>
      </c>
      <c r="F1070" s="391">
        <v>73420.0</v>
      </c>
      <c r="G1070" s="391">
        <v>5.0</v>
      </c>
      <c r="H1070" s="391">
        <v>0.01</v>
      </c>
      <c r="I1070" s="391">
        <v>0.0</v>
      </c>
      <c r="J1070" s="391">
        <v>0.0</v>
      </c>
      <c r="K1070" s="391">
        <v>50.0</v>
      </c>
      <c r="L1070" s="391">
        <v>3053995.0</v>
      </c>
      <c r="M1070" s="391">
        <v>7.0E-4</v>
      </c>
      <c r="N1070" s="38">
        <v>10.0</v>
      </c>
    </row>
    <row r="1071">
      <c r="A1071" s="389" t="s">
        <v>1970</v>
      </c>
      <c r="B1071" s="389" t="s">
        <v>339</v>
      </c>
      <c r="C1071" s="389" t="s">
        <v>360</v>
      </c>
      <c r="D1071" s="389" t="s">
        <v>1968</v>
      </c>
      <c r="E1071" s="390" t="s">
        <v>367</v>
      </c>
      <c r="F1071" s="391">
        <v>73420.0</v>
      </c>
      <c r="G1071" s="391">
        <v>1.0</v>
      </c>
      <c r="H1071" s="391">
        <v>0.0</v>
      </c>
      <c r="I1071" s="391">
        <v>0.0</v>
      </c>
      <c r="J1071" s="391">
        <v>0.0</v>
      </c>
      <c r="K1071" s="391">
        <v>10.0</v>
      </c>
      <c r="L1071" s="391">
        <v>3053995.0</v>
      </c>
      <c r="M1071" s="391">
        <v>1.0E-4</v>
      </c>
      <c r="N1071" s="38">
        <v>10.0</v>
      </c>
    </row>
    <row r="1072">
      <c r="A1072" s="389" t="s">
        <v>1970</v>
      </c>
      <c r="B1072" s="389" t="s">
        <v>339</v>
      </c>
      <c r="C1072" s="389" t="s">
        <v>360</v>
      </c>
      <c r="D1072" s="389" t="s">
        <v>1968</v>
      </c>
      <c r="E1072" s="390" t="s">
        <v>370</v>
      </c>
      <c r="F1072" s="391">
        <v>73420.0</v>
      </c>
      <c r="G1072" s="391">
        <v>1.0</v>
      </c>
      <c r="H1072" s="391">
        <v>0.0</v>
      </c>
      <c r="I1072" s="391">
        <v>0.0</v>
      </c>
      <c r="J1072" s="391">
        <v>0.0</v>
      </c>
      <c r="K1072" s="391">
        <v>15.0</v>
      </c>
      <c r="L1072" s="391">
        <v>3053995.0</v>
      </c>
      <c r="M1072" s="391">
        <v>2.0E-4</v>
      </c>
      <c r="N1072" s="38">
        <v>15.0</v>
      </c>
    </row>
    <row r="1073">
      <c r="A1073" s="389" t="s">
        <v>1970</v>
      </c>
      <c r="B1073" s="389" t="s">
        <v>339</v>
      </c>
      <c r="C1073" s="389" t="s">
        <v>12</v>
      </c>
      <c r="D1073" s="389" t="s">
        <v>1968</v>
      </c>
      <c r="E1073" s="390" t="s">
        <v>44</v>
      </c>
      <c r="F1073" s="391">
        <v>90289.0</v>
      </c>
      <c r="G1073" s="391">
        <v>59234.0</v>
      </c>
      <c r="H1073" s="391">
        <v>65.6</v>
      </c>
      <c r="I1073" s="391">
        <v>20.14</v>
      </c>
      <c r="J1073" s="391">
        <v>19.04</v>
      </c>
      <c r="K1073" s="391">
        <v>1.183292E7</v>
      </c>
      <c r="L1073" s="391">
        <v>5.8741376E7</v>
      </c>
      <c r="M1073" s="391">
        <v>131.0561</v>
      </c>
      <c r="N1073" s="38">
        <v>199.7657</v>
      </c>
    </row>
    <row r="1074">
      <c r="A1074" s="389" t="s">
        <v>1970</v>
      </c>
      <c r="B1074" s="389" t="s">
        <v>339</v>
      </c>
      <c r="C1074" s="389" t="s">
        <v>12</v>
      </c>
      <c r="D1074" s="389" t="s">
        <v>1968</v>
      </c>
      <c r="E1074" s="390" t="s">
        <v>371</v>
      </c>
      <c r="F1074" s="391">
        <v>90289.0</v>
      </c>
      <c r="G1074" s="391">
        <v>66556.0</v>
      </c>
      <c r="H1074" s="391">
        <v>73.71</v>
      </c>
      <c r="I1074" s="391">
        <v>18.83</v>
      </c>
      <c r="J1074" s="391">
        <v>19.27</v>
      </c>
      <c r="K1074" s="391">
        <v>1.106106E7</v>
      </c>
      <c r="L1074" s="391">
        <v>5.8741376E7</v>
      </c>
      <c r="M1074" s="391">
        <v>122.5073</v>
      </c>
      <c r="N1074" s="38">
        <v>166.1918</v>
      </c>
    </row>
    <row r="1075">
      <c r="A1075" s="389" t="s">
        <v>1970</v>
      </c>
      <c r="B1075" s="389" t="s">
        <v>339</v>
      </c>
      <c r="C1075" s="389" t="s">
        <v>12</v>
      </c>
      <c r="D1075" s="389" t="s">
        <v>1968</v>
      </c>
      <c r="E1075" s="390" t="s">
        <v>370</v>
      </c>
      <c r="F1075" s="391">
        <v>90289.0</v>
      </c>
      <c r="G1075" s="391">
        <v>79950.0</v>
      </c>
      <c r="H1075" s="391">
        <v>88.55</v>
      </c>
      <c r="I1075" s="391">
        <v>17.48</v>
      </c>
      <c r="J1075" s="391">
        <v>18.87</v>
      </c>
      <c r="K1075" s="391">
        <v>1.0269555E7</v>
      </c>
      <c r="L1075" s="391">
        <v>5.8741376E7</v>
      </c>
      <c r="M1075" s="391">
        <v>113.7409</v>
      </c>
      <c r="N1075" s="38">
        <v>128.4497</v>
      </c>
    </row>
    <row r="1076">
      <c r="A1076" s="389" t="s">
        <v>1970</v>
      </c>
      <c r="B1076" s="389" t="s">
        <v>339</v>
      </c>
      <c r="C1076" s="389" t="s">
        <v>12</v>
      </c>
      <c r="D1076" s="389" t="s">
        <v>1968</v>
      </c>
      <c r="E1076" s="390" t="s">
        <v>366</v>
      </c>
      <c r="F1076" s="391">
        <v>90289.0</v>
      </c>
      <c r="G1076" s="391">
        <v>68894.0</v>
      </c>
      <c r="H1076" s="391">
        <v>76.3</v>
      </c>
      <c r="I1076" s="391">
        <v>15.45</v>
      </c>
      <c r="J1076" s="391">
        <v>14.08</v>
      </c>
      <c r="K1076" s="391">
        <v>9073135.0</v>
      </c>
      <c r="L1076" s="391">
        <v>5.8741376E7</v>
      </c>
      <c r="M1076" s="391">
        <v>100.4899</v>
      </c>
      <c r="N1076" s="38">
        <v>131.697</v>
      </c>
    </row>
    <row r="1077">
      <c r="A1077" s="389" t="s">
        <v>1970</v>
      </c>
      <c r="B1077" s="389" t="s">
        <v>339</v>
      </c>
      <c r="C1077" s="389" t="s">
        <v>12</v>
      </c>
      <c r="D1077" s="389" t="s">
        <v>1968</v>
      </c>
      <c r="E1077" s="390" t="s">
        <v>39</v>
      </c>
      <c r="F1077" s="391">
        <v>90289.0</v>
      </c>
      <c r="G1077" s="391">
        <v>54045.0</v>
      </c>
      <c r="H1077" s="391">
        <v>59.86</v>
      </c>
      <c r="I1077" s="391">
        <v>10.54</v>
      </c>
      <c r="J1077" s="391">
        <v>11.49</v>
      </c>
      <c r="K1077" s="391">
        <v>6192870.0</v>
      </c>
      <c r="L1077" s="391">
        <v>5.8741376E7</v>
      </c>
      <c r="M1077" s="391">
        <v>68.5894</v>
      </c>
      <c r="N1077" s="38">
        <v>114.5873</v>
      </c>
    </row>
    <row r="1078">
      <c r="A1078" s="389" t="s">
        <v>1970</v>
      </c>
      <c r="B1078" s="389" t="s">
        <v>339</v>
      </c>
      <c r="C1078" s="389" t="s">
        <v>12</v>
      </c>
      <c r="D1078" s="389" t="s">
        <v>1968</v>
      </c>
      <c r="E1078" s="390" t="s">
        <v>367</v>
      </c>
      <c r="F1078" s="391">
        <v>90289.0</v>
      </c>
      <c r="G1078" s="391">
        <v>37119.0</v>
      </c>
      <c r="H1078" s="391">
        <v>41.11</v>
      </c>
      <c r="I1078" s="391">
        <v>3.64</v>
      </c>
      <c r="J1078" s="391">
        <v>4.22</v>
      </c>
      <c r="K1078" s="391">
        <v>2140220.0</v>
      </c>
      <c r="L1078" s="391">
        <v>5.8741376E7</v>
      </c>
      <c r="M1078" s="391">
        <v>23.7041</v>
      </c>
      <c r="N1078" s="38">
        <v>57.6583</v>
      </c>
    </row>
    <row r="1079">
      <c r="A1079" s="389" t="s">
        <v>1970</v>
      </c>
      <c r="B1079" s="389" t="s">
        <v>339</v>
      </c>
      <c r="C1079" s="389" t="s">
        <v>12</v>
      </c>
      <c r="D1079" s="389" t="s">
        <v>1968</v>
      </c>
      <c r="E1079" s="390" t="s">
        <v>365</v>
      </c>
      <c r="F1079" s="391">
        <v>90289.0</v>
      </c>
      <c r="G1079" s="391">
        <v>34571.0</v>
      </c>
      <c r="H1079" s="391">
        <v>38.29</v>
      </c>
      <c r="I1079" s="391">
        <v>3.44</v>
      </c>
      <c r="J1079" s="391">
        <v>3.63</v>
      </c>
      <c r="K1079" s="391">
        <v>2021070.0</v>
      </c>
      <c r="L1079" s="391">
        <v>5.8741376E7</v>
      </c>
      <c r="M1079" s="391">
        <v>22.3845</v>
      </c>
      <c r="N1079" s="38">
        <v>58.4614</v>
      </c>
    </row>
    <row r="1080">
      <c r="A1080" s="389" t="s">
        <v>1970</v>
      </c>
      <c r="B1080" s="389" t="s">
        <v>339</v>
      </c>
      <c r="C1080" s="389" t="s">
        <v>12</v>
      </c>
      <c r="D1080" s="389" t="s">
        <v>1968</v>
      </c>
      <c r="E1080" s="390" t="s">
        <v>369</v>
      </c>
      <c r="F1080" s="391">
        <v>90289.0</v>
      </c>
      <c r="G1080" s="391">
        <v>13785.0</v>
      </c>
      <c r="H1080" s="391">
        <v>15.27</v>
      </c>
      <c r="I1080" s="391">
        <v>2.59</v>
      </c>
      <c r="J1080" s="391">
        <v>1.53</v>
      </c>
      <c r="K1080" s="391">
        <v>1520221.0</v>
      </c>
      <c r="L1080" s="391">
        <v>5.8741376E7</v>
      </c>
      <c r="M1080" s="391">
        <v>16.8373</v>
      </c>
      <c r="N1080" s="38">
        <v>110.2808</v>
      </c>
    </row>
    <row r="1081">
      <c r="A1081" s="389" t="s">
        <v>1970</v>
      </c>
      <c r="B1081" s="389" t="s">
        <v>339</v>
      </c>
      <c r="C1081" s="389" t="s">
        <v>12</v>
      </c>
      <c r="D1081" s="389" t="s">
        <v>1968</v>
      </c>
      <c r="E1081" s="390" t="s">
        <v>368</v>
      </c>
      <c r="F1081" s="391">
        <v>90289.0</v>
      </c>
      <c r="G1081" s="391">
        <v>28795.0</v>
      </c>
      <c r="H1081" s="391">
        <v>31.89</v>
      </c>
      <c r="I1081" s="391">
        <v>2.43</v>
      </c>
      <c r="J1081" s="391">
        <v>2.17</v>
      </c>
      <c r="K1081" s="391">
        <v>1425300.0</v>
      </c>
      <c r="L1081" s="391">
        <v>5.8741376E7</v>
      </c>
      <c r="M1081" s="391">
        <v>15.786</v>
      </c>
      <c r="N1081" s="38">
        <v>49.4982</v>
      </c>
    </row>
    <row r="1082">
      <c r="A1082" s="389" t="s">
        <v>1970</v>
      </c>
      <c r="B1082" s="389" t="s">
        <v>339</v>
      </c>
      <c r="C1082" s="389" t="s">
        <v>12</v>
      </c>
      <c r="D1082" s="389" t="s">
        <v>1968</v>
      </c>
      <c r="E1082" s="390" t="s">
        <v>38</v>
      </c>
      <c r="F1082" s="391">
        <v>90289.0</v>
      </c>
      <c r="G1082" s="391">
        <v>32730.0</v>
      </c>
      <c r="H1082" s="391">
        <v>36.25</v>
      </c>
      <c r="I1082" s="391">
        <v>2.18</v>
      </c>
      <c r="J1082" s="391">
        <v>2.86</v>
      </c>
      <c r="K1082" s="391">
        <v>1279460.0</v>
      </c>
      <c r="L1082" s="391">
        <v>5.8741376E7</v>
      </c>
      <c r="M1082" s="391">
        <v>14.1707</v>
      </c>
      <c r="N1082" s="38">
        <v>39.0914</v>
      </c>
    </row>
    <row r="1083">
      <c r="A1083" s="389" t="s">
        <v>1970</v>
      </c>
      <c r="B1083" s="389" t="s">
        <v>339</v>
      </c>
      <c r="C1083" s="389" t="s">
        <v>12</v>
      </c>
      <c r="D1083" s="389" t="s">
        <v>1968</v>
      </c>
      <c r="E1083" s="390" t="s">
        <v>363</v>
      </c>
      <c r="F1083" s="391">
        <v>90289.0</v>
      </c>
      <c r="G1083" s="391">
        <v>23400.0</v>
      </c>
      <c r="H1083" s="391">
        <v>25.92</v>
      </c>
      <c r="I1083" s="391">
        <v>1.46</v>
      </c>
      <c r="J1083" s="391">
        <v>1.17</v>
      </c>
      <c r="K1083" s="391">
        <v>860535.0</v>
      </c>
      <c r="L1083" s="391">
        <v>5.8741376E7</v>
      </c>
      <c r="M1083" s="391">
        <v>9.5309</v>
      </c>
      <c r="N1083" s="38">
        <v>36.775</v>
      </c>
    </row>
    <row r="1084">
      <c r="A1084" s="389" t="s">
        <v>1970</v>
      </c>
      <c r="B1084" s="389" t="s">
        <v>339</v>
      </c>
      <c r="C1084" s="389" t="s">
        <v>12</v>
      </c>
      <c r="D1084" s="389" t="s">
        <v>1968</v>
      </c>
      <c r="E1084" s="390" t="s">
        <v>163</v>
      </c>
      <c r="F1084" s="391">
        <v>90289.0</v>
      </c>
      <c r="G1084" s="391">
        <v>11382.0</v>
      </c>
      <c r="H1084" s="391">
        <v>12.61</v>
      </c>
      <c r="I1084" s="391">
        <v>0.65</v>
      </c>
      <c r="J1084" s="391">
        <v>0.6</v>
      </c>
      <c r="K1084" s="391">
        <v>380550.0</v>
      </c>
      <c r="L1084" s="391">
        <v>5.8741376E7</v>
      </c>
      <c r="M1084" s="391">
        <v>4.2148</v>
      </c>
      <c r="N1084" s="38">
        <v>33.4344</v>
      </c>
    </row>
    <row r="1085">
      <c r="A1085" s="389" t="s">
        <v>1970</v>
      </c>
      <c r="B1085" s="389" t="s">
        <v>339</v>
      </c>
      <c r="C1085" s="389" t="s">
        <v>12</v>
      </c>
      <c r="D1085" s="389" t="s">
        <v>1968</v>
      </c>
      <c r="E1085" s="390" t="s">
        <v>30</v>
      </c>
      <c r="F1085" s="391">
        <v>90289.0</v>
      </c>
      <c r="G1085" s="391">
        <v>9147.0</v>
      </c>
      <c r="H1085" s="391">
        <v>10.13</v>
      </c>
      <c r="I1085" s="391">
        <v>0.61</v>
      </c>
      <c r="J1085" s="391">
        <v>0.54</v>
      </c>
      <c r="K1085" s="391">
        <v>356340.0</v>
      </c>
      <c r="L1085" s="391">
        <v>5.8741376E7</v>
      </c>
      <c r="M1085" s="391">
        <v>3.9467</v>
      </c>
      <c r="N1085" s="38">
        <v>38.957</v>
      </c>
    </row>
    <row r="1086">
      <c r="A1086" s="389" t="s">
        <v>1970</v>
      </c>
      <c r="B1086" s="389" t="s">
        <v>339</v>
      </c>
      <c r="C1086" s="389" t="s">
        <v>12</v>
      </c>
      <c r="D1086" s="389" t="s">
        <v>1968</v>
      </c>
      <c r="E1086" s="390" t="s">
        <v>27</v>
      </c>
      <c r="F1086" s="391">
        <v>90289.0</v>
      </c>
      <c r="G1086" s="391">
        <v>7057.0</v>
      </c>
      <c r="H1086" s="391">
        <v>7.82</v>
      </c>
      <c r="I1086" s="391">
        <v>0.47</v>
      </c>
      <c r="J1086" s="391">
        <v>0.38</v>
      </c>
      <c r="K1086" s="391">
        <v>275520.0</v>
      </c>
      <c r="L1086" s="391">
        <v>5.8741376E7</v>
      </c>
      <c r="M1086" s="391">
        <v>3.0515</v>
      </c>
      <c r="N1086" s="38">
        <v>39.0421</v>
      </c>
    </row>
    <row r="1087">
      <c r="A1087" s="389" t="s">
        <v>1970</v>
      </c>
      <c r="B1087" s="389" t="s">
        <v>339</v>
      </c>
      <c r="C1087" s="389" t="s">
        <v>12</v>
      </c>
      <c r="D1087" s="389" t="s">
        <v>1968</v>
      </c>
      <c r="E1087" s="390" t="s">
        <v>108</v>
      </c>
      <c r="F1087" s="391">
        <v>90289.0</v>
      </c>
      <c r="G1087" s="391">
        <v>1375.0</v>
      </c>
      <c r="H1087" s="391">
        <v>1.52</v>
      </c>
      <c r="I1087" s="391">
        <v>0.05</v>
      </c>
      <c r="J1087" s="391">
        <v>0.07</v>
      </c>
      <c r="K1087" s="391">
        <v>29715.0</v>
      </c>
      <c r="L1087" s="391">
        <v>5.8741376E7</v>
      </c>
      <c r="M1087" s="391">
        <v>0.3291</v>
      </c>
      <c r="N1087" s="38">
        <v>21.6109</v>
      </c>
    </row>
    <row r="1088">
      <c r="A1088" s="389" t="s">
        <v>1970</v>
      </c>
      <c r="B1088" s="389" t="s">
        <v>339</v>
      </c>
      <c r="C1088" s="389" t="s">
        <v>12</v>
      </c>
      <c r="D1088" s="389" t="s">
        <v>1968</v>
      </c>
      <c r="E1088" s="390" t="s">
        <v>45</v>
      </c>
      <c r="F1088" s="391">
        <v>90289.0</v>
      </c>
      <c r="G1088" s="391">
        <v>440.0</v>
      </c>
      <c r="H1088" s="391">
        <v>0.49</v>
      </c>
      <c r="I1088" s="391">
        <v>0.04</v>
      </c>
      <c r="J1088" s="391">
        <v>0.07</v>
      </c>
      <c r="K1088" s="391">
        <v>22855.0</v>
      </c>
      <c r="L1088" s="391">
        <v>5.8741376E7</v>
      </c>
      <c r="M1088" s="391">
        <v>0.2531</v>
      </c>
      <c r="N1088" s="38">
        <v>51.9432</v>
      </c>
    </row>
    <row r="1089">
      <c r="A1089" s="389" t="s">
        <v>1970</v>
      </c>
      <c r="B1089" s="389" t="s">
        <v>339</v>
      </c>
      <c r="C1089" s="389" t="s">
        <v>12</v>
      </c>
      <c r="D1089" s="389" t="s">
        <v>1968</v>
      </c>
      <c r="E1089" s="390" t="s">
        <v>37</v>
      </c>
      <c r="F1089" s="391">
        <v>90289.0</v>
      </c>
      <c r="G1089" s="391">
        <v>1.0</v>
      </c>
      <c r="H1089" s="391">
        <v>0.0</v>
      </c>
      <c r="I1089" s="391">
        <v>0.0</v>
      </c>
      <c r="J1089" s="391">
        <v>0.0</v>
      </c>
      <c r="K1089" s="391">
        <v>20.0</v>
      </c>
      <c r="L1089" s="391">
        <v>5.8741376E7</v>
      </c>
      <c r="M1089" s="391">
        <v>2.0E-4</v>
      </c>
      <c r="N1089" s="38">
        <v>20.0</v>
      </c>
    </row>
    <row r="1090">
      <c r="A1090" s="389" t="s">
        <v>1970</v>
      </c>
      <c r="B1090" s="389" t="s">
        <v>339</v>
      </c>
      <c r="C1090" s="389" t="s">
        <v>12</v>
      </c>
      <c r="D1090" s="389" t="s">
        <v>1968</v>
      </c>
      <c r="E1090" s="390" t="s">
        <v>372</v>
      </c>
      <c r="F1090" s="391">
        <v>90289.0</v>
      </c>
      <c r="G1090" s="391">
        <v>2.0</v>
      </c>
      <c r="H1090" s="391">
        <v>0.0</v>
      </c>
      <c r="I1090" s="391">
        <v>0.0</v>
      </c>
      <c r="J1090" s="391">
        <v>0.0</v>
      </c>
      <c r="K1090" s="391">
        <v>30.0</v>
      </c>
      <c r="L1090" s="391">
        <v>5.8741376E7</v>
      </c>
      <c r="M1090" s="391">
        <v>3.0E-4</v>
      </c>
      <c r="N1090" s="38">
        <v>15.0</v>
      </c>
    </row>
    <row r="1091">
      <c r="A1091" s="389" t="s">
        <v>1971</v>
      </c>
      <c r="B1091" s="389" t="s">
        <v>137</v>
      </c>
      <c r="C1091" s="389" t="s">
        <v>8</v>
      </c>
      <c r="D1091" s="389" t="s">
        <v>591</v>
      </c>
      <c r="E1091" s="390" t="s">
        <v>370</v>
      </c>
      <c r="F1091" s="391">
        <v>85367.0</v>
      </c>
      <c r="G1091" s="391">
        <v>61092.0</v>
      </c>
      <c r="H1091" s="391">
        <v>71.56</v>
      </c>
      <c r="I1091" s="391">
        <v>27.13</v>
      </c>
      <c r="J1091" s="391">
        <v>27.04</v>
      </c>
      <c r="K1091" s="391">
        <v>132695.0</v>
      </c>
      <c r="L1091" s="391">
        <v>489160.0</v>
      </c>
      <c r="M1091" s="391">
        <v>1.5544</v>
      </c>
      <c r="N1091" s="38">
        <v>2.1721</v>
      </c>
    </row>
    <row r="1092">
      <c r="A1092" s="389" t="s">
        <v>1971</v>
      </c>
      <c r="B1092" s="389" t="s">
        <v>137</v>
      </c>
      <c r="C1092" s="389" t="s">
        <v>8</v>
      </c>
      <c r="D1092" s="389" t="s">
        <v>591</v>
      </c>
      <c r="E1092" s="390" t="s">
        <v>369</v>
      </c>
      <c r="F1092" s="391">
        <v>85367.0</v>
      </c>
      <c r="G1092" s="391">
        <v>58777.0</v>
      </c>
      <c r="H1092" s="391">
        <v>68.85</v>
      </c>
      <c r="I1092" s="391">
        <v>20.41</v>
      </c>
      <c r="J1092" s="391">
        <v>27.79</v>
      </c>
      <c r="K1092" s="391">
        <v>99837.0</v>
      </c>
      <c r="L1092" s="391">
        <v>489160.0</v>
      </c>
      <c r="M1092" s="391">
        <v>1.1695</v>
      </c>
      <c r="N1092" s="38">
        <v>1.6986</v>
      </c>
    </row>
    <row r="1093">
      <c r="A1093" s="389" t="s">
        <v>1971</v>
      </c>
      <c r="B1093" s="389" t="s">
        <v>137</v>
      </c>
      <c r="C1093" s="389" t="s">
        <v>8</v>
      </c>
      <c r="D1093" s="389" t="s">
        <v>591</v>
      </c>
      <c r="E1093" s="390" t="s">
        <v>44</v>
      </c>
      <c r="F1093" s="391">
        <v>85367.0</v>
      </c>
      <c r="G1093" s="391">
        <v>32538.0</v>
      </c>
      <c r="H1093" s="391">
        <v>38.12</v>
      </c>
      <c r="I1093" s="391">
        <v>12.75</v>
      </c>
      <c r="J1093" s="391">
        <v>10.59</v>
      </c>
      <c r="K1093" s="391">
        <v>62350.0</v>
      </c>
      <c r="L1093" s="391">
        <v>489160.0</v>
      </c>
      <c r="M1093" s="391">
        <v>0.7304</v>
      </c>
      <c r="N1093" s="38">
        <v>1.9162</v>
      </c>
    </row>
    <row r="1094">
      <c r="A1094" s="389" t="s">
        <v>1971</v>
      </c>
      <c r="B1094" s="389" t="s">
        <v>137</v>
      </c>
      <c r="C1094" s="389" t="s">
        <v>8</v>
      </c>
      <c r="D1094" s="389" t="s">
        <v>591</v>
      </c>
      <c r="E1094" s="390" t="s">
        <v>39</v>
      </c>
      <c r="F1094" s="391">
        <v>85367.0</v>
      </c>
      <c r="G1094" s="391">
        <v>33841.0</v>
      </c>
      <c r="H1094" s="391">
        <v>39.64</v>
      </c>
      <c r="I1094" s="391">
        <v>11.18</v>
      </c>
      <c r="J1094" s="391">
        <v>8.68</v>
      </c>
      <c r="K1094" s="391">
        <v>54672.0</v>
      </c>
      <c r="L1094" s="391">
        <v>489160.0</v>
      </c>
      <c r="M1094" s="391">
        <v>0.6404</v>
      </c>
      <c r="N1094" s="38">
        <v>1.6156</v>
      </c>
    </row>
    <row r="1095">
      <c r="A1095" s="389" t="s">
        <v>1971</v>
      </c>
      <c r="B1095" s="389" t="s">
        <v>137</v>
      </c>
      <c r="C1095" s="389" t="s">
        <v>8</v>
      </c>
      <c r="D1095" s="389" t="s">
        <v>591</v>
      </c>
      <c r="E1095" s="390" t="s">
        <v>371</v>
      </c>
      <c r="F1095" s="391">
        <v>85367.0</v>
      </c>
      <c r="G1095" s="391">
        <v>33762.0</v>
      </c>
      <c r="H1095" s="391">
        <v>39.55</v>
      </c>
      <c r="I1095" s="391">
        <v>10.55</v>
      </c>
      <c r="J1095" s="391">
        <v>8.9</v>
      </c>
      <c r="K1095" s="391">
        <v>51589.0</v>
      </c>
      <c r="L1095" s="391">
        <v>489160.0</v>
      </c>
      <c r="M1095" s="391">
        <v>0.6043</v>
      </c>
      <c r="N1095" s="38">
        <v>1.528</v>
      </c>
    </row>
    <row r="1096">
      <c r="A1096" s="389" t="s">
        <v>1971</v>
      </c>
      <c r="B1096" s="389" t="s">
        <v>137</v>
      </c>
      <c r="C1096" s="389" t="s">
        <v>8</v>
      </c>
      <c r="D1096" s="389" t="s">
        <v>591</v>
      </c>
      <c r="E1096" s="390" t="s">
        <v>37</v>
      </c>
      <c r="F1096" s="391">
        <v>85367.0</v>
      </c>
      <c r="G1096" s="391">
        <v>19688.0</v>
      </c>
      <c r="H1096" s="391">
        <v>23.06</v>
      </c>
      <c r="I1096" s="391">
        <v>5.9</v>
      </c>
      <c r="J1096" s="391">
        <v>5.99</v>
      </c>
      <c r="K1096" s="391">
        <v>28880.0</v>
      </c>
      <c r="L1096" s="391">
        <v>489160.0</v>
      </c>
      <c r="M1096" s="391">
        <v>0.3383</v>
      </c>
      <c r="N1096" s="38">
        <v>1.4669</v>
      </c>
    </row>
    <row r="1097">
      <c r="A1097" s="389" t="s">
        <v>1971</v>
      </c>
      <c r="B1097" s="389" t="s">
        <v>137</v>
      </c>
      <c r="C1097" s="389" t="s">
        <v>8</v>
      </c>
      <c r="D1097" s="389" t="s">
        <v>591</v>
      </c>
      <c r="E1097" s="390" t="s">
        <v>365</v>
      </c>
      <c r="F1097" s="391">
        <v>85367.0</v>
      </c>
      <c r="G1097" s="391">
        <v>23815.0</v>
      </c>
      <c r="H1097" s="391">
        <v>27.9</v>
      </c>
      <c r="I1097" s="391">
        <v>5.45</v>
      </c>
      <c r="J1097" s="391">
        <v>5.84</v>
      </c>
      <c r="K1097" s="391">
        <v>26656.0</v>
      </c>
      <c r="L1097" s="391">
        <v>489160.0</v>
      </c>
      <c r="M1097" s="391">
        <v>0.3123</v>
      </c>
      <c r="N1097" s="38">
        <v>1.1193</v>
      </c>
    </row>
    <row r="1098">
      <c r="A1098" s="389" t="s">
        <v>1971</v>
      </c>
      <c r="B1098" s="389" t="s">
        <v>137</v>
      </c>
      <c r="C1098" s="389" t="s">
        <v>8</v>
      </c>
      <c r="D1098" s="389" t="s">
        <v>591</v>
      </c>
      <c r="E1098" s="390" t="s">
        <v>45</v>
      </c>
      <c r="F1098" s="391">
        <v>85367.0</v>
      </c>
      <c r="G1098" s="391">
        <v>14783.0</v>
      </c>
      <c r="H1098" s="391">
        <v>17.32</v>
      </c>
      <c r="I1098" s="391">
        <v>4.09</v>
      </c>
      <c r="J1098" s="391">
        <v>3.13</v>
      </c>
      <c r="K1098" s="391">
        <v>20025.0</v>
      </c>
      <c r="L1098" s="391">
        <v>489160.0</v>
      </c>
      <c r="M1098" s="391">
        <v>0.2346</v>
      </c>
      <c r="N1098" s="38">
        <v>1.3546</v>
      </c>
    </row>
    <row r="1099">
      <c r="A1099" s="389" t="s">
        <v>1971</v>
      </c>
      <c r="B1099" s="389" t="s">
        <v>137</v>
      </c>
      <c r="C1099" s="389" t="s">
        <v>8</v>
      </c>
      <c r="D1099" s="389" t="s">
        <v>591</v>
      </c>
      <c r="E1099" s="390" t="s">
        <v>108</v>
      </c>
      <c r="F1099" s="391">
        <v>85367.0</v>
      </c>
      <c r="G1099" s="391">
        <v>7349.0</v>
      </c>
      <c r="H1099" s="391">
        <v>8.61</v>
      </c>
      <c r="I1099" s="391">
        <v>2.11</v>
      </c>
      <c r="J1099" s="391">
        <v>1.66</v>
      </c>
      <c r="K1099" s="391">
        <v>10301.0</v>
      </c>
      <c r="L1099" s="391">
        <v>489160.0</v>
      </c>
      <c r="M1099" s="391">
        <v>0.1207</v>
      </c>
      <c r="N1099" s="38">
        <v>1.4017</v>
      </c>
    </row>
    <row r="1100">
      <c r="A1100" s="389" t="s">
        <v>1971</v>
      </c>
      <c r="B1100" s="389" t="s">
        <v>137</v>
      </c>
      <c r="C1100" s="389" t="s">
        <v>8</v>
      </c>
      <c r="D1100" s="389" t="s">
        <v>591</v>
      </c>
      <c r="E1100" s="390" t="s">
        <v>38</v>
      </c>
      <c r="F1100" s="391">
        <v>85367.0</v>
      </c>
      <c r="G1100" s="391">
        <v>1648.0</v>
      </c>
      <c r="H1100" s="391">
        <v>1.93</v>
      </c>
      <c r="I1100" s="391">
        <v>0.35</v>
      </c>
      <c r="J1100" s="391">
        <v>0.31</v>
      </c>
      <c r="K1100" s="391">
        <v>1693.0</v>
      </c>
      <c r="L1100" s="391">
        <v>489160.0</v>
      </c>
      <c r="M1100" s="391">
        <v>0.0198</v>
      </c>
      <c r="N1100" s="38">
        <v>1.0273</v>
      </c>
    </row>
    <row r="1101">
      <c r="A1101" s="389" t="s">
        <v>1971</v>
      </c>
      <c r="B1101" s="389" t="s">
        <v>137</v>
      </c>
      <c r="C1101" s="389" t="s">
        <v>8</v>
      </c>
      <c r="D1101" s="389" t="s">
        <v>591</v>
      </c>
      <c r="E1101" s="390" t="s">
        <v>368</v>
      </c>
      <c r="F1101" s="391">
        <v>85367.0</v>
      </c>
      <c r="G1101" s="391">
        <v>276.0</v>
      </c>
      <c r="H1101" s="391">
        <v>0.32</v>
      </c>
      <c r="I1101" s="391">
        <v>0.06</v>
      </c>
      <c r="J1101" s="391">
        <v>0.04</v>
      </c>
      <c r="K1101" s="391">
        <v>286.0</v>
      </c>
      <c r="L1101" s="391">
        <v>489160.0</v>
      </c>
      <c r="M1101" s="391">
        <v>0.0034</v>
      </c>
      <c r="N1101" s="38">
        <v>1.0362</v>
      </c>
    </row>
    <row r="1102">
      <c r="A1102" s="389" t="s">
        <v>1971</v>
      </c>
      <c r="B1102" s="389" t="s">
        <v>137</v>
      </c>
      <c r="C1102" s="389" t="s">
        <v>8</v>
      </c>
      <c r="D1102" s="389" t="s">
        <v>591</v>
      </c>
      <c r="E1102" s="390" t="s">
        <v>30</v>
      </c>
      <c r="F1102" s="391">
        <v>85367.0</v>
      </c>
      <c r="G1102" s="391">
        <v>104.0</v>
      </c>
      <c r="H1102" s="391">
        <v>0.12</v>
      </c>
      <c r="I1102" s="391">
        <v>0.02</v>
      </c>
      <c r="J1102" s="391">
        <v>0.01</v>
      </c>
      <c r="K1102" s="391">
        <v>107.0</v>
      </c>
      <c r="L1102" s="391">
        <v>489160.0</v>
      </c>
      <c r="M1102" s="391">
        <v>0.0013</v>
      </c>
      <c r="N1102" s="38">
        <v>1.0288</v>
      </c>
    </row>
    <row r="1103">
      <c r="A1103" s="389" t="s">
        <v>1971</v>
      </c>
      <c r="B1103" s="389" t="s">
        <v>137</v>
      </c>
      <c r="C1103" s="389" t="s">
        <v>8</v>
      </c>
      <c r="D1103" s="389" t="s">
        <v>591</v>
      </c>
      <c r="E1103" s="390" t="s">
        <v>163</v>
      </c>
      <c r="F1103" s="391">
        <v>85367.0</v>
      </c>
      <c r="G1103" s="391">
        <v>19.0</v>
      </c>
      <c r="H1103" s="391">
        <v>0.02</v>
      </c>
      <c r="I1103" s="391">
        <v>0.0</v>
      </c>
      <c r="J1103" s="391">
        <v>0.0</v>
      </c>
      <c r="K1103" s="391">
        <v>21.0</v>
      </c>
      <c r="L1103" s="391">
        <v>489160.0</v>
      </c>
      <c r="M1103" s="391">
        <v>2.0E-4</v>
      </c>
      <c r="N1103" s="38">
        <v>1.1053</v>
      </c>
    </row>
    <row r="1104">
      <c r="A1104" s="389" t="s">
        <v>1971</v>
      </c>
      <c r="B1104" s="389" t="s">
        <v>137</v>
      </c>
      <c r="C1104" s="389" t="s">
        <v>8</v>
      </c>
      <c r="D1104" s="389" t="s">
        <v>591</v>
      </c>
      <c r="E1104" s="390" t="s">
        <v>363</v>
      </c>
      <c r="F1104" s="391">
        <v>85367.0</v>
      </c>
      <c r="G1104" s="391">
        <v>2.0</v>
      </c>
      <c r="H1104" s="391">
        <v>0.0</v>
      </c>
      <c r="I1104" s="391">
        <v>0.0</v>
      </c>
      <c r="J1104" s="391">
        <v>0.0</v>
      </c>
      <c r="K1104" s="391">
        <v>4.0</v>
      </c>
      <c r="L1104" s="391">
        <v>489160.0</v>
      </c>
      <c r="M1104" s="391">
        <v>0.0</v>
      </c>
      <c r="N1104" s="38">
        <v>2.0</v>
      </c>
    </row>
    <row r="1105">
      <c r="A1105" s="389" t="s">
        <v>1971</v>
      </c>
      <c r="B1105" s="389" t="s">
        <v>137</v>
      </c>
      <c r="C1105" s="389" t="s">
        <v>8</v>
      </c>
      <c r="D1105" s="389" t="s">
        <v>591</v>
      </c>
      <c r="E1105" s="390" t="s">
        <v>367</v>
      </c>
      <c r="F1105" s="391">
        <v>85367.0</v>
      </c>
      <c r="G1105" s="391">
        <v>4.0</v>
      </c>
      <c r="H1105" s="391">
        <v>0.0</v>
      </c>
      <c r="I1105" s="391">
        <v>0.0</v>
      </c>
      <c r="J1105" s="391">
        <v>0.0</v>
      </c>
      <c r="K1105" s="391">
        <v>10.0</v>
      </c>
      <c r="L1105" s="391">
        <v>489160.0</v>
      </c>
      <c r="M1105" s="391">
        <v>1.0E-4</v>
      </c>
      <c r="N1105" s="38">
        <v>2.5</v>
      </c>
    </row>
    <row r="1106">
      <c r="A1106" s="389" t="s">
        <v>1971</v>
      </c>
      <c r="B1106" s="389" t="s">
        <v>137</v>
      </c>
      <c r="C1106" s="389" t="s">
        <v>8</v>
      </c>
      <c r="D1106" s="389" t="s">
        <v>591</v>
      </c>
      <c r="E1106" s="390" t="s">
        <v>284</v>
      </c>
      <c r="F1106" s="391">
        <v>85367.0</v>
      </c>
      <c r="G1106" s="391">
        <v>3.0</v>
      </c>
      <c r="H1106" s="391">
        <v>0.0</v>
      </c>
      <c r="I1106" s="391">
        <v>0.0</v>
      </c>
      <c r="J1106" s="391">
        <v>0.0</v>
      </c>
      <c r="K1106" s="391">
        <v>5.0</v>
      </c>
      <c r="L1106" s="391">
        <v>489160.0</v>
      </c>
      <c r="M1106" s="391">
        <v>1.0E-4</v>
      </c>
      <c r="N1106" s="38">
        <v>1.6667</v>
      </c>
    </row>
    <row r="1107">
      <c r="A1107" s="389" t="s">
        <v>1971</v>
      </c>
      <c r="B1107" s="389" t="s">
        <v>137</v>
      </c>
      <c r="C1107" s="389" t="s">
        <v>8</v>
      </c>
      <c r="D1107" s="389" t="s">
        <v>591</v>
      </c>
      <c r="E1107" s="390" t="s">
        <v>27</v>
      </c>
      <c r="F1107" s="391">
        <v>85367.0</v>
      </c>
      <c r="G1107" s="391">
        <v>8.0</v>
      </c>
      <c r="H1107" s="391">
        <v>0.01</v>
      </c>
      <c r="I1107" s="391">
        <v>0.0</v>
      </c>
      <c r="J1107" s="391">
        <v>0.0</v>
      </c>
      <c r="K1107" s="391">
        <v>9.0</v>
      </c>
      <c r="L1107" s="391">
        <v>489160.0</v>
      </c>
      <c r="M1107" s="391">
        <v>1.0E-4</v>
      </c>
      <c r="N1107" s="38">
        <v>1.125</v>
      </c>
    </row>
    <row r="1108">
      <c r="A1108" s="389" t="s">
        <v>1971</v>
      </c>
      <c r="B1108" s="389" t="s">
        <v>137</v>
      </c>
      <c r="C1108" s="389" t="s">
        <v>8</v>
      </c>
      <c r="D1108" s="389" t="s">
        <v>591</v>
      </c>
      <c r="E1108" s="390" t="s">
        <v>372</v>
      </c>
      <c r="F1108" s="391">
        <v>85367.0</v>
      </c>
      <c r="G1108" s="391">
        <v>8.0</v>
      </c>
      <c r="H1108" s="391">
        <v>0.01</v>
      </c>
      <c r="I1108" s="391">
        <v>0.0</v>
      </c>
      <c r="J1108" s="391">
        <v>0.01</v>
      </c>
      <c r="K1108" s="391">
        <v>20.0</v>
      </c>
      <c r="L1108" s="391">
        <v>489160.0</v>
      </c>
      <c r="M1108" s="391">
        <v>2.0E-4</v>
      </c>
      <c r="N1108" s="38">
        <v>2.5</v>
      </c>
    </row>
    <row r="1109">
      <c r="A1109" s="389" t="s">
        <v>1971</v>
      </c>
      <c r="B1109" s="389" t="s">
        <v>137</v>
      </c>
      <c r="C1109" s="389" t="s">
        <v>7</v>
      </c>
      <c r="D1109" s="389" t="s">
        <v>591</v>
      </c>
      <c r="E1109" s="390" t="s">
        <v>370</v>
      </c>
      <c r="F1109" s="391">
        <v>93913.0</v>
      </c>
      <c r="G1109" s="391">
        <v>82123.0</v>
      </c>
      <c r="H1109" s="391">
        <v>87.45</v>
      </c>
      <c r="I1109" s="391">
        <v>45.92</v>
      </c>
      <c r="J1109" s="391">
        <v>41.54</v>
      </c>
      <c r="K1109" s="391">
        <v>525349.0</v>
      </c>
      <c r="L1109" s="391">
        <v>1143992.0</v>
      </c>
      <c r="M1109" s="391">
        <v>5.594</v>
      </c>
      <c r="N1109" s="38">
        <v>6.3971</v>
      </c>
    </row>
    <row r="1110">
      <c r="A1110" s="389" t="s">
        <v>1971</v>
      </c>
      <c r="B1110" s="389" t="s">
        <v>137</v>
      </c>
      <c r="C1110" s="389" t="s">
        <v>7</v>
      </c>
      <c r="D1110" s="389" t="s">
        <v>591</v>
      </c>
      <c r="E1110" s="390" t="s">
        <v>371</v>
      </c>
      <c r="F1110" s="391">
        <v>93913.0</v>
      </c>
      <c r="G1110" s="391">
        <v>66673.0</v>
      </c>
      <c r="H1110" s="391">
        <v>70.99</v>
      </c>
      <c r="I1110" s="391">
        <v>17.0</v>
      </c>
      <c r="J1110" s="391">
        <v>20.68</v>
      </c>
      <c r="K1110" s="391">
        <v>194478.0</v>
      </c>
      <c r="L1110" s="391">
        <v>1143992.0</v>
      </c>
      <c r="M1110" s="391">
        <v>2.0708</v>
      </c>
      <c r="N1110" s="38">
        <v>2.9169</v>
      </c>
    </row>
    <row r="1111">
      <c r="A1111" s="389" t="s">
        <v>1971</v>
      </c>
      <c r="B1111" s="389" t="s">
        <v>137</v>
      </c>
      <c r="C1111" s="389" t="s">
        <v>7</v>
      </c>
      <c r="D1111" s="389" t="s">
        <v>591</v>
      </c>
      <c r="E1111" s="390" t="s">
        <v>369</v>
      </c>
      <c r="F1111" s="391">
        <v>93913.0</v>
      </c>
      <c r="G1111" s="391">
        <v>58842.0</v>
      </c>
      <c r="H1111" s="391">
        <v>62.66</v>
      </c>
      <c r="I1111" s="391">
        <v>8.73</v>
      </c>
      <c r="J1111" s="391">
        <v>10.91</v>
      </c>
      <c r="K1111" s="391">
        <v>99927.0</v>
      </c>
      <c r="L1111" s="391">
        <v>1143992.0</v>
      </c>
      <c r="M1111" s="391">
        <v>1.064</v>
      </c>
      <c r="N1111" s="38">
        <v>1.6982</v>
      </c>
    </row>
    <row r="1112">
      <c r="A1112" s="389" t="s">
        <v>1971</v>
      </c>
      <c r="B1112" s="389" t="s">
        <v>137</v>
      </c>
      <c r="C1112" s="389" t="s">
        <v>7</v>
      </c>
      <c r="D1112" s="389" t="s">
        <v>591</v>
      </c>
      <c r="E1112" s="390" t="s">
        <v>39</v>
      </c>
      <c r="F1112" s="391">
        <v>93913.0</v>
      </c>
      <c r="G1112" s="391">
        <v>43915.0</v>
      </c>
      <c r="H1112" s="391">
        <v>46.76</v>
      </c>
      <c r="I1112" s="391">
        <v>6.27</v>
      </c>
      <c r="J1112" s="391">
        <v>5.91</v>
      </c>
      <c r="K1112" s="391">
        <v>71723.0</v>
      </c>
      <c r="L1112" s="391">
        <v>1143992.0</v>
      </c>
      <c r="M1112" s="391">
        <v>0.7637</v>
      </c>
      <c r="N1112" s="38">
        <v>1.6332</v>
      </c>
    </row>
    <row r="1113">
      <c r="A1113" s="389" t="s">
        <v>1971</v>
      </c>
      <c r="B1113" s="389" t="s">
        <v>137</v>
      </c>
      <c r="C1113" s="389" t="s">
        <v>7</v>
      </c>
      <c r="D1113" s="389" t="s">
        <v>591</v>
      </c>
      <c r="E1113" s="390" t="s">
        <v>44</v>
      </c>
      <c r="F1113" s="391">
        <v>93913.0</v>
      </c>
      <c r="G1113" s="391">
        <v>32538.0</v>
      </c>
      <c r="H1113" s="391">
        <v>34.65</v>
      </c>
      <c r="I1113" s="391">
        <v>5.45</v>
      </c>
      <c r="J1113" s="391">
        <v>4.53</v>
      </c>
      <c r="K1113" s="391">
        <v>62350.0</v>
      </c>
      <c r="L1113" s="391">
        <v>1143992.0</v>
      </c>
      <c r="M1113" s="391">
        <v>0.6639</v>
      </c>
      <c r="N1113" s="38">
        <v>1.9162</v>
      </c>
    </row>
    <row r="1114">
      <c r="A1114" s="389" t="s">
        <v>1971</v>
      </c>
      <c r="B1114" s="389" t="s">
        <v>137</v>
      </c>
      <c r="C1114" s="389" t="s">
        <v>7</v>
      </c>
      <c r="D1114" s="389" t="s">
        <v>591</v>
      </c>
      <c r="E1114" s="390" t="s">
        <v>368</v>
      </c>
      <c r="F1114" s="391">
        <v>93913.0</v>
      </c>
      <c r="G1114" s="391">
        <v>41351.0</v>
      </c>
      <c r="H1114" s="391">
        <v>44.03</v>
      </c>
      <c r="I1114" s="391">
        <v>4.61</v>
      </c>
      <c r="J1114" s="391">
        <v>5.57</v>
      </c>
      <c r="K1114" s="391">
        <v>52769.0</v>
      </c>
      <c r="L1114" s="391">
        <v>1143992.0</v>
      </c>
      <c r="M1114" s="391">
        <v>0.5619</v>
      </c>
      <c r="N1114" s="38">
        <v>1.2761</v>
      </c>
    </row>
    <row r="1115">
      <c r="A1115" s="389" t="s">
        <v>1971</v>
      </c>
      <c r="B1115" s="389" t="s">
        <v>137</v>
      </c>
      <c r="C1115" s="389" t="s">
        <v>7</v>
      </c>
      <c r="D1115" s="389" t="s">
        <v>591</v>
      </c>
      <c r="E1115" s="390" t="s">
        <v>367</v>
      </c>
      <c r="F1115" s="391">
        <v>93913.0</v>
      </c>
      <c r="G1115" s="391">
        <v>19579.0</v>
      </c>
      <c r="H1115" s="391">
        <v>20.85</v>
      </c>
      <c r="I1115" s="391">
        <v>3.43</v>
      </c>
      <c r="J1115" s="391">
        <v>2.64</v>
      </c>
      <c r="K1115" s="391">
        <v>39241.0</v>
      </c>
      <c r="L1115" s="391">
        <v>1143992.0</v>
      </c>
      <c r="M1115" s="391">
        <v>0.4178</v>
      </c>
      <c r="N1115" s="38">
        <v>2.0042</v>
      </c>
    </row>
    <row r="1116">
      <c r="A1116" s="389" t="s">
        <v>1971</v>
      </c>
      <c r="B1116" s="389" t="s">
        <v>137</v>
      </c>
      <c r="C1116" s="389" t="s">
        <v>7</v>
      </c>
      <c r="D1116" s="389" t="s">
        <v>591</v>
      </c>
      <c r="E1116" s="390" t="s">
        <v>365</v>
      </c>
      <c r="F1116" s="391">
        <v>93913.0</v>
      </c>
      <c r="G1116" s="391">
        <v>23145.0</v>
      </c>
      <c r="H1116" s="391">
        <v>24.65</v>
      </c>
      <c r="I1116" s="391">
        <v>2.68</v>
      </c>
      <c r="J1116" s="391">
        <v>2.41</v>
      </c>
      <c r="K1116" s="391">
        <v>30656.0</v>
      </c>
      <c r="L1116" s="391">
        <v>1143992.0</v>
      </c>
      <c r="M1116" s="391">
        <v>0.3264</v>
      </c>
      <c r="N1116" s="38">
        <v>1.3245</v>
      </c>
    </row>
    <row r="1117">
      <c r="A1117" s="389" t="s">
        <v>1971</v>
      </c>
      <c r="B1117" s="389" t="s">
        <v>137</v>
      </c>
      <c r="C1117" s="389" t="s">
        <v>7</v>
      </c>
      <c r="D1117" s="389" t="s">
        <v>591</v>
      </c>
      <c r="E1117" s="390" t="s">
        <v>163</v>
      </c>
      <c r="F1117" s="391">
        <v>93913.0</v>
      </c>
      <c r="G1117" s="391">
        <v>20073.0</v>
      </c>
      <c r="H1117" s="391">
        <v>21.37</v>
      </c>
      <c r="I1117" s="391">
        <v>1.79</v>
      </c>
      <c r="J1117" s="391">
        <v>2.04</v>
      </c>
      <c r="K1117" s="391">
        <v>20490.0</v>
      </c>
      <c r="L1117" s="391">
        <v>1143992.0</v>
      </c>
      <c r="M1117" s="391">
        <v>0.2182</v>
      </c>
      <c r="N1117" s="38">
        <v>1.0208</v>
      </c>
    </row>
    <row r="1118">
      <c r="A1118" s="389" t="s">
        <v>1971</v>
      </c>
      <c r="B1118" s="389" t="s">
        <v>137</v>
      </c>
      <c r="C1118" s="389" t="s">
        <v>7</v>
      </c>
      <c r="D1118" s="389" t="s">
        <v>591</v>
      </c>
      <c r="E1118" s="390" t="s">
        <v>30</v>
      </c>
      <c r="F1118" s="391">
        <v>93913.0</v>
      </c>
      <c r="G1118" s="391">
        <v>15934.0</v>
      </c>
      <c r="H1118" s="391">
        <v>16.97</v>
      </c>
      <c r="I1118" s="391">
        <v>1.4</v>
      </c>
      <c r="J1118" s="391">
        <v>1.5</v>
      </c>
      <c r="K1118" s="391">
        <v>16051.0</v>
      </c>
      <c r="L1118" s="391">
        <v>1143992.0</v>
      </c>
      <c r="M1118" s="391">
        <v>0.1709</v>
      </c>
      <c r="N1118" s="38">
        <v>1.0073</v>
      </c>
    </row>
    <row r="1119">
      <c r="A1119" s="389" t="s">
        <v>1971</v>
      </c>
      <c r="B1119" s="389" t="s">
        <v>137</v>
      </c>
      <c r="C1119" s="389" t="s">
        <v>7</v>
      </c>
      <c r="D1119" s="389" t="s">
        <v>591</v>
      </c>
      <c r="E1119" s="390" t="s">
        <v>45</v>
      </c>
      <c r="F1119" s="391">
        <v>93913.0</v>
      </c>
      <c r="G1119" s="391">
        <v>8485.0</v>
      </c>
      <c r="H1119" s="391">
        <v>9.03</v>
      </c>
      <c r="I1119" s="391">
        <v>0.91</v>
      </c>
      <c r="J1119" s="391">
        <v>0.67</v>
      </c>
      <c r="K1119" s="391">
        <v>10387.0</v>
      </c>
      <c r="L1119" s="391">
        <v>1143992.0</v>
      </c>
      <c r="M1119" s="391">
        <v>0.1106</v>
      </c>
      <c r="N1119" s="38">
        <v>1.2242</v>
      </c>
    </row>
    <row r="1120">
      <c r="A1120" s="389" t="s">
        <v>1971</v>
      </c>
      <c r="B1120" s="389" t="s">
        <v>137</v>
      </c>
      <c r="C1120" s="389" t="s">
        <v>7</v>
      </c>
      <c r="D1120" s="389" t="s">
        <v>591</v>
      </c>
      <c r="E1120" s="390" t="s">
        <v>108</v>
      </c>
      <c r="F1120" s="391">
        <v>93913.0</v>
      </c>
      <c r="G1120" s="391">
        <v>7414.0</v>
      </c>
      <c r="H1120" s="391">
        <v>7.89</v>
      </c>
      <c r="I1120" s="391">
        <v>0.88</v>
      </c>
      <c r="J1120" s="391">
        <v>0.69</v>
      </c>
      <c r="K1120" s="391">
        <v>10077.0</v>
      </c>
      <c r="L1120" s="391">
        <v>1143992.0</v>
      </c>
      <c r="M1120" s="391">
        <v>0.1073</v>
      </c>
      <c r="N1120" s="38">
        <v>1.3592</v>
      </c>
    </row>
    <row r="1121">
      <c r="A1121" s="389" t="s">
        <v>1971</v>
      </c>
      <c r="B1121" s="389" t="s">
        <v>137</v>
      </c>
      <c r="C1121" s="389" t="s">
        <v>7</v>
      </c>
      <c r="D1121" s="389" t="s">
        <v>591</v>
      </c>
      <c r="E1121" s="390" t="s">
        <v>37</v>
      </c>
      <c r="F1121" s="391">
        <v>93913.0</v>
      </c>
      <c r="G1121" s="391">
        <v>7473.0</v>
      </c>
      <c r="H1121" s="391">
        <v>7.96</v>
      </c>
      <c r="I1121" s="391">
        <v>0.78</v>
      </c>
      <c r="J1121" s="391">
        <v>0.77</v>
      </c>
      <c r="K1121" s="391">
        <v>8921.0</v>
      </c>
      <c r="L1121" s="391">
        <v>1143992.0</v>
      </c>
      <c r="M1121" s="391">
        <v>0.095</v>
      </c>
      <c r="N1121" s="38">
        <v>1.1938</v>
      </c>
    </row>
    <row r="1122">
      <c r="A1122" s="389" t="s">
        <v>1971</v>
      </c>
      <c r="B1122" s="389" t="s">
        <v>137</v>
      </c>
      <c r="C1122" s="389" t="s">
        <v>7</v>
      </c>
      <c r="D1122" s="389" t="s">
        <v>591</v>
      </c>
      <c r="E1122" s="390" t="s">
        <v>38</v>
      </c>
      <c r="F1122" s="391">
        <v>93913.0</v>
      </c>
      <c r="G1122" s="391">
        <v>1497.0</v>
      </c>
      <c r="H1122" s="391">
        <v>1.59</v>
      </c>
      <c r="I1122" s="391">
        <v>0.13</v>
      </c>
      <c r="J1122" s="391">
        <v>0.13</v>
      </c>
      <c r="K1122" s="391">
        <v>1532.0</v>
      </c>
      <c r="L1122" s="391">
        <v>1143992.0</v>
      </c>
      <c r="M1122" s="391">
        <v>0.0163</v>
      </c>
      <c r="N1122" s="38">
        <v>1.0234</v>
      </c>
    </row>
    <row r="1123">
      <c r="A1123" s="389" t="s">
        <v>1971</v>
      </c>
      <c r="B1123" s="389" t="s">
        <v>137</v>
      </c>
      <c r="C1123" s="389" t="s">
        <v>7</v>
      </c>
      <c r="D1123" s="389" t="s">
        <v>591</v>
      </c>
      <c r="E1123" s="390" t="s">
        <v>372</v>
      </c>
      <c r="F1123" s="391">
        <v>93913.0</v>
      </c>
      <c r="G1123" s="391">
        <v>4.0</v>
      </c>
      <c r="H1123" s="391">
        <v>0.0</v>
      </c>
      <c r="I1123" s="391">
        <v>0.0</v>
      </c>
      <c r="J1123" s="391">
        <v>0.0</v>
      </c>
      <c r="K1123" s="391">
        <v>10.0</v>
      </c>
      <c r="L1123" s="391">
        <v>1143992.0</v>
      </c>
      <c r="M1123" s="391">
        <v>1.0E-4</v>
      </c>
      <c r="N1123" s="38">
        <v>2.5</v>
      </c>
    </row>
    <row r="1124">
      <c r="A1124" s="389" t="s">
        <v>1971</v>
      </c>
      <c r="B1124" s="389" t="s">
        <v>137</v>
      </c>
      <c r="C1124" s="389" t="s">
        <v>7</v>
      </c>
      <c r="D1124" s="389" t="s">
        <v>591</v>
      </c>
      <c r="E1124" s="390" t="s">
        <v>283</v>
      </c>
      <c r="F1124" s="391">
        <v>93913.0</v>
      </c>
      <c r="G1124" s="391">
        <v>1.0</v>
      </c>
      <c r="H1124" s="391">
        <v>0.0</v>
      </c>
      <c r="I1124" s="391">
        <v>0.0</v>
      </c>
      <c r="J1124" s="391">
        <v>0.0</v>
      </c>
      <c r="K1124" s="391">
        <v>1.0</v>
      </c>
      <c r="L1124" s="391">
        <v>1143992.0</v>
      </c>
      <c r="M1124" s="391">
        <v>0.0</v>
      </c>
      <c r="N1124" s="38">
        <v>1.0</v>
      </c>
    </row>
    <row r="1125">
      <c r="A1125" s="389" t="s">
        <v>1971</v>
      </c>
      <c r="B1125" s="389" t="s">
        <v>137</v>
      </c>
      <c r="C1125" s="389" t="s">
        <v>7</v>
      </c>
      <c r="D1125" s="389" t="s">
        <v>591</v>
      </c>
      <c r="E1125" s="390" t="s">
        <v>363</v>
      </c>
      <c r="F1125" s="391">
        <v>93913.0</v>
      </c>
      <c r="G1125" s="391">
        <v>1.0</v>
      </c>
      <c r="H1125" s="391">
        <v>0.0</v>
      </c>
      <c r="I1125" s="391">
        <v>0.0</v>
      </c>
      <c r="J1125" s="391">
        <v>0.0</v>
      </c>
      <c r="K1125" s="391">
        <v>2.0</v>
      </c>
      <c r="L1125" s="391">
        <v>1143992.0</v>
      </c>
      <c r="M1125" s="391">
        <v>0.0</v>
      </c>
      <c r="N1125" s="38">
        <v>2.0</v>
      </c>
    </row>
    <row r="1126">
      <c r="A1126" s="389" t="s">
        <v>1971</v>
      </c>
      <c r="B1126" s="389" t="s">
        <v>137</v>
      </c>
      <c r="C1126" s="389" t="s">
        <v>7</v>
      </c>
      <c r="D1126" s="389" t="s">
        <v>591</v>
      </c>
      <c r="E1126" s="390" t="s">
        <v>27</v>
      </c>
      <c r="F1126" s="391">
        <v>93913.0</v>
      </c>
      <c r="G1126" s="391">
        <v>25.0</v>
      </c>
      <c r="H1126" s="391">
        <v>0.03</v>
      </c>
      <c r="I1126" s="391">
        <v>0.0</v>
      </c>
      <c r="J1126" s="391">
        <v>0.01</v>
      </c>
      <c r="K1126" s="391">
        <v>27.0</v>
      </c>
      <c r="L1126" s="391">
        <v>1143992.0</v>
      </c>
      <c r="M1126" s="391">
        <v>3.0E-4</v>
      </c>
      <c r="N1126" s="38">
        <v>1.08</v>
      </c>
    </row>
    <row r="1127">
      <c r="A1127" s="389" t="s">
        <v>1971</v>
      </c>
      <c r="B1127" s="389" t="s">
        <v>137</v>
      </c>
      <c r="C1127" s="389" t="s">
        <v>7</v>
      </c>
      <c r="D1127" s="389" t="s">
        <v>591</v>
      </c>
      <c r="E1127" s="390" t="s">
        <v>41</v>
      </c>
      <c r="F1127" s="391">
        <v>93913.0</v>
      </c>
      <c r="G1127" s="391">
        <v>1.0</v>
      </c>
      <c r="H1127" s="391">
        <v>0.0</v>
      </c>
      <c r="I1127" s="391">
        <v>0.0</v>
      </c>
      <c r="J1127" s="391">
        <v>0.0</v>
      </c>
      <c r="K1127" s="391">
        <v>1.0</v>
      </c>
      <c r="L1127" s="391">
        <v>1143992.0</v>
      </c>
      <c r="M1127" s="391">
        <v>0.0</v>
      </c>
      <c r="N1127" s="38">
        <v>1.0</v>
      </c>
    </row>
    <row r="1128">
      <c r="A1128" s="389" t="s">
        <v>1971</v>
      </c>
      <c r="B1128" s="389" t="s">
        <v>137</v>
      </c>
      <c r="C1128" s="389" t="s">
        <v>11</v>
      </c>
      <c r="D1128" s="389" t="s">
        <v>591</v>
      </c>
      <c r="E1128" s="390" t="s">
        <v>370</v>
      </c>
      <c r="F1128" s="391">
        <v>77264.0</v>
      </c>
      <c r="G1128" s="391">
        <v>61106.0</v>
      </c>
      <c r="H1128" s="391">
        <v>79.09</v>
      </c>
      <c r="I1128" s="391">
        <v>35.35</v>
      </c>
      <c r="J1128" s="391">
        <v>40.62</v>
      </c>
      <c r="K1128" s="391">
        <v>132711.0</v>
      </c>
      <c r="L1128" s="391">
        <v>375413.0</v>
      </c>
      <c r="M1128" s="391">
        <v>1.7176</v>
      </c>
      <c r="N1128" s="38">
        <v>2.1718</v>
      </c>
    </row>
    <row r="1129">
      <c r="A1129" s="389" t="s">
        <v>1971</v>
      </c>
      <c r="B1129" s="389" t="s">
        <v>137</v>
      </c>
      <c r="C1129" s="389" t="s">
        <v>11</v>
      </c>
      <c r="D1129" s="389" t="s">
        <v>591</v>
      </c>
      <c r="E1129" s="390" t="s">
        <v>37</v>
      </c>
      <c r="F1129" s="391">
        <v>77264.0</v>
      </c>
      <c r="G1129" s="391">
        <v>30967.0</v>
      </c>
      <c r="H1129" s="391">
        <v>40.08</v>
      </c>
      <c r="I1129" s="391">
        <v>16.79</v>
      </c>
      <c r="J1129" s="391">
        <v>15.85</v>
      </c>
      <c r="K1129" s="391">
        <v>63044.0</v>
      </c>
      <c r="L1129" s="391">
        <v>375413.0</v>
      </c>
      <c r="M1129" s="391">
        <v>0.816</v>
      </c>
      <c r="N1129" s="38">
        <v>2.0358</v>
      </c>
    </row>
    <row r="1130">
      <c r="A1130" s="389" t="s">
        <v>1971</v>
      </c>
      <c r="B1130" s="389" t="s">
        <v>137</v>
      </c>
      <c r="C1130" s="389" t="s">
        <v>11</v>
      </c>
      <c r="D1130" s="389" t="s">
        <v>591</v>
      </c>
      <c r="E1130" s="390" t="s">
        <v>365</v>
      </c>
      <c r="F1130" s="391">
        <v>77264.0</v>
      </c>
      <c r="G1130" s="391">
        <v>27694.0</v>
      </c>
      <c r="H1130" s="391">
        <v>35.84</v>
      </c>
      <c r="I1130" s="391">
        <v>8.86</v>
      </c>
      <c r="J1130" s="391">
        <v>10.56</v>
      </c>
      <c r="K1130" s="391">
        <v>33260.0</v>
      </c>
      <c r="L1130" s="391">
        <v>375413.0</v>
      </c>
      <c r="M1130" s="391">
        <v>0.4305</v>
      </c>
      <c r="N1130" s="38">
        <v>1.201</v>
      </c>
    </row>
    <row r="1131">
      <c r="A1131" s="389" t="s">
        <v>1971</v>
      </c>
      <c r="B1131" s="389" t="s">
        <v>137</v>
      </c>
      <c r="C1131" s="389" t="s">
        <v>11</v>
      </c>
      <c r="D1131" s="389" t="s">
        <v>591</v>
      </c>
      <c r="E1131" s="390" t="s">
        <v>45</v>
      </c>
      <c r="F1131" s="391">
        <v>77264.0</v>
      </c>
      <c r="G1131" s="391">
        <v>22007.0</v>
      </c>
      <c r="H1131" s="391">
        <v>28.48</v>
      </c>
      <c r="I1131" s="391">
        <v>8.57</v>
      </c>
      <c r="J1131" s="391">
        <v>8.37</v>
      </c>
      <c r="K1131" s="391">
        <v>32156.0</v>
      </c>
      <c r="L1131" s="391">
        <v>375413.0</v>
      </c>
      <c r="M1131" s="391">
        <v>0.4162</v>
      </c>
      <c r="N1131" s="38">
        <v>1.4612</v>
      </c>
    </row>
    <row r="1132">
      <c r="A1132" s="389" t="s">
        <v>1971</v>
      </c>
      <c r="B1132" s="389" t="s">
        <v>137</v>
      </c>
      <c r="C1132" s="389" t="s">
        <v>11</v>
      </c>
      <c r="D1132" s="389" t="s">
        <v>591</v>
      </c>
      <c r="E1132" s="390" t="s">
        <v>108</v>
      </c>
      <c r="F1132" s="391">
        <v>77264.0</v>
      </c>
      <c r="G1132" s="391">
        <v>17188.0</v>
      </c>
      <c r="H1132" s="391">
        <v>22.25</v>
      </c>
      <c r="I1132" s="391">
        <v>6.92</v>
      </c>
      <c r="J1132" s="391">
        <v>7.03</v>
      </c>
      <c r="K1132" s="391">
        <v>25977.0</v>
      </c>
      <c r="L1132" s="391">
        <v>375413.0</v>
      </c>
      <c r="M1132" s="391">
        <v>0.3362</v>
      </c>
      <c r="N1132" s="38">
        <v>1.5113</v>
      </c>
    </row>
    <row r="1133">
      <c r="A1133" s="389" t="s">
        <v>1971</v>
      </c>
      <c r="B1133" s="389" t="s">
        <v>137</v>
      </c>
      <c r="C1133" s="389" t="s">
        <v>11</v>
      </c>
      <c r="D1133" s="389" t="s">
        <v>591</v>
      </c>
      <c r="E1133" s="390" t="s">
        <v>363</v>
      </c>
      <c r="F1133" s="391">
        <v>77264.0</v>
      </c>
      <c r="G1133" s="391">
        <v>11154.0</v>
      </c>
      <c r="H1133" s="391">
        <v>14.44</v>
      </c>
      <c r="I1133" s="391">
        <v>6.1</v>
      </c>
      <c r="J1133" s="391">
        <v>4.16</v>
      </c>
      <c r="K1133" s="391">
        <v>22886.0</v>
      </c>
      <c r="L1133" s="391">
        <v>375413.0</v>
      </c>
      <c r="M1133" s="391">
        <v>0.2962</v>
      </c>
      <c r="N1133" s="38">
        <v>2.0518</v>
      </c>
    </row>
    <row r="1134">
      <c r="A1134" s="389" t="s">
        <v>1971</v>
      </c>
      <c r="B1134" s="389" t="s">
        <v>137</v>
      </c>
      <c r="C1134" s="389" t="s">
        <v>11</v>
      </c>
      <c r="D1134" s="389" t="s">
        <v>591</v>
      </c>
      <c r="E1134" s="390" t="s">
        <v>369</v>
      </c>
      <c r="F1134" s="391">
        <v>77264.0</v>
      </c>
      <c r="G1134" s="391">
        <v>16092.0</v>
      </c>
      <c r="H1134" s="391">
        <v>20.83</v>
      </c>
      <c r="I1134" s="391">
        <v>5.04</v>
      </c>
      <c r="J1134" s="391">
        <v>4.04</v>
      </c>
      <c r="K1134" s="391">
        <v>18924.0</v>
      </c>
      <c r="L1134" s="391">
        <v>375413.0</v>
      </c>
      <c r="M1134" s="391">
        <v>0.2449</v>
      </c>
      <c r="N1134" s="38">
        <v>1.176</v>
      </c>
    </row>
    <row r="1135">
      <c r="A1135" s="389" t="s">
        <v>1971</v>
      </c>
      <c r="B1135" s="389" t="s">
        <v>137</v>
      </c>
      <c r="C1135" s="389" t="s">
        <v>11</v>
      </c>
      <c r="D1135" s="389" t="s">
        <v>591</v>
      </c>
      <c r="E1135" s="390" t="s">
        <v>39</v>
      </c>
      <c r="F1135" s="391">
        <v>77264.0</v>
      </c>
      <c r="G1135" s="391">
        <v>10796.0</v>
      </c>
      <c r="H1135" s="391">
        <v>13.97</v>
      </c>
      <c r="I1135" s="391">
        <v>3.71</v>
      </c>
      <c r="J1135" s="391">
        <v>2.23</v>
      </c>
      <c r="K1135" s="391">
        <v>13943.0</v>
      </c>
      <c r="L1135" s="391">
        <v>375413.0</v>
      </c>
      <c r="M1135" s="391">
        <v>0.1805</v>
      </c>
      <c r="N1135" s="38">
        <v>1.2915</v>
      </c>
    </row>
    <row r="1136">
      <c r="A1136" s="389" t="s">
        <v>1971</v>
      </c>
      <c r="B1136" s="389" t="s">
        <v>137</v>
      </c>
      <c r="C1136" s="389" t="s">
        <v>11</v>
      </c>
      <c r="D1136" s="389" t="s">
        <v>591</v>
      </c>
      <c r="E1136" s="390" t="s">
        <v>366</v>
      </c>
      <c r="F1136" s="391">
        <v>77264.0</v>
      </c>
      <c r="G1136" s="391">
        <v>8439.0</v>
      </c>
      <c r="H1136" s="391">
        <v>10.92</v>
      </c>
      <c r="I1136" s="391">
        <v>2.36</v>
      </c>
      <c r="J1136" s="391">
        <v>1.62</v>
      </c>
      <c r="K1136" s="391">
        <v>8863.0</v>
      </c>
      <c r="L1136" s="391">
        <v>375413.0</v>
      </c>
      <c r="M1136" s="391">
        <v>0.1147</v>
      </c>
      <c r="N1136" s="38">
        <v>1.0502</v>
      </c>
    </row>
    <row r="1137">
      <c r="A1137" s="389" t="s">
        <v>1971</v>
      </c>
      <c r="B1137" s="389" t="s">
        <v>137</v>
      </c>
      <c r="C1137" s="389" t="s">
        <v>11</v>
      </c>
      <c r="D1137" s="389" t="s">
        <v>591</v>
      </c>
      <c r="E1137" s="390" t="s">
        <v>35</v>
      </c>
      <c r="F1137" s="391">
        <v>77264.0</v>
      </c>
      <c r="G1137" s="391">
        <v>4034.0</v>
      </c>
      <c r="H1137" s="391">
        <v>5.22</v>
      </c>
      <c r="I1137" s="391">
        <v>1.65</v>
      </c>
      <c r="J1137" s="391">
        <v>1.42</v>
      </c>
      <c r="K1137" s="391">
        <v>6177.0</v>
      </c>
      <c r="L1137" s="391">
        <v>375413.0</v>
      </c>
      <c r="M1137" s="391">
        <v>0.0799</v>
      </c>
      <c r="N1137" s="38">
        <v>1.5312</v>
      </c>
    </row>
    <row r="1138">
      <c r="A1138" s="389" t="s">
        <v>1971</v>
      </c>
      <c r="B1138" s="389" t="s">
        <v>137</v>
      </c>
      <c r="C1138" s="389" t="s">
        <v>11</v>
      </c>
      <c r="D1138" s="389" t="s">
        <v>591</v>
      </c>
      <c r="E1138" s="390" t="s">
        <v>282</v>
      </c>
      <c r="F1138" s="391">
        <v>77264.0</v>
      </c>
      <c r="G1138" s="391">
        <v>5534.0</v>
      </c>
      <c r="H1138" s="391">
        <v>7.16</v>
      </c>
      <c r="I1138" s="391">
        <v>1.64</v>
      </c>
      <c r="J1138" s="391">
        <v>1.47</v>
      </c>
      <c r="K1138" s="391">
        <v>6151.0</v>
      </c>
      <c r="L1138" s="391">
        <v>375413.0</v>
      </c>
      <c r="M1138" s="391">
        <v>0.0796</v>
      </c>
      <c r="N1138" s="38">
        <v>1.1115</v>
      </c>
    </row>
    <row r="1139">
      <c r="A1139" s="389" t="s">
        <v>1971</v>
      </c>
      <c r="B1139" s="389" t="s">
        <v>137</v>
      </c>
      <c r="C1139" s="389" t="s">
        <v>11</v>
      </c>
      <c r="D1139" s="389" t="s">
        <v>591</v>
      </c>
      <c r="E1139" s="390" t="s">
        <v>283</v>
      </c>
      <c r="F1139" s="391">
        <v>77264.0</v>
      </c>
      <c r="G1139" s="391">
        <v>4634.0</v>
      </c>
      <c r="H1139" s="391">
        <v>6.0</v>
      </c>
      <c r="I1139" s="391">
        <v>1.34</v>
      </c>
      <c r="J1139" s="391">
        <v>1.22</v>
      </c>
      <c r="K1139" s="391">
        <v>5033.0</v>
      </c>
      <c r="L1139" s="391">
        <v>375413.0</v>
      </c>
      <c r="M1139" s="391">
        <v>0.0651</v>
      </c>
      <c r="N1139" s="38">
        <v>1.0861</v>
      </c>
    </row>
    <row r="1140">
      <c r="A1140" s="389" t="s">
        <v>1971</v>
      </c>
      <c r="B1140" s="389" t="s">
        <v>137</v>
      </c>
      <c r="C1140" s="389" t="s">
        <v>11</v>
      </c>
      <c r="D1140" s="389" t="s">
        <v>591</v>
      </c>
      <c r="E1140" s="390" t="s">
        <v>284</v>
      </c>
      <c r="F1140" s="391">
        <v>77264.0</v>
      </c>
      <c r="G1140" s="391">
        <v>4077.0</v>
      </c>
      <c r="H1140" s="391">
        <v>5.28</v>
      </c>
      <c r="I1140" s="391">
        <v>1.22</v>
      </c>
      <c r="J1140" s="391">
        <v>0.99</v>
      </c>
      <c r="K1140" s="391">
        <v>4570.0</v>
      </c>
      <c r="L1140" s="391">
        <v>375413.0</v>
      </c>
      <c r="M1140" s="391">
        <v>0.0591</v>
      </c>
      <c r="N1140" s="38">
        <v>1.1209</v>
      </c>
    </row>
    <row r="1141">
      <c r="A1141" s="389" t="s">
        <v>1971</v>
      </c>
      <c r="B1141" s="389" t="s">
        <v>137</v>
      </c>
      <c r="C1141" s="389" t="s">
        <v>11</v>
      </c>
      <c r="D1141" s="389" t="s">
        <v>591</v>
      </c>
      <c r="E1141" s="390" t="s">
        <v>27</v>
      </c>
      <c r="F1141" s="391">
        <v>77264.0</v>
      </c>
      <c r="G1141" s="391">
        <v>1017.0</v>
      </c>
      <c r="H1141" s="391">
        <v>1.32</v>
      </c>
      <c r="I1141" s="391">
        <v>0.28</v>
      </c>
      <c r="J1141" s="391">
        <v>0.26</v>
      </c>
      <c r="K1141" s="391">
        <v>1037.0</v>
      </c>
      <c r="L1141" s="391">
        <v>375413.0</v>
      </c>
      <c r="M1141" s="391">
        <v>0.0134</v>
      </c>
      <c r="N1141" s="38">
        <v>1.0197</v>
      </c>
    </row>
    <row r="1142">
      <c r="A1142" s="389" t="s">
        <v>1971</v>
      </c>
      <c r="B1142" s="389" t="s">
        <v>137</v>
      </c>
      <c r="C1142" s="389" t="s">
        <v>11</v>
      </c>
      <c r="D1142" s="389" t="s">
        <v>591</v>
      </c>
      <c r="E1142" s="390" t="s">
        <v>38</v>
      </c>
      <c r="F1142" s="391">
        <v>77264.0</v>
      </c>
      <c r="G1142" s="391">
        <v>347.0</v>
      </c>
      <c r="H1142" s="391">
        <v>0.45</v>
      </c>
      <c r="I1142" s="391">
        <v>0.09</v>
      </c>
      <c r="J1142" s="391">
        <v>0.11</v>
      </c>
      <c r="K1142" s="391">
        <v>355.0</v>
      </c>
      <c r="L1142" s="391">
        <v>375413.0</v>
      </c>
      <c r="M1142" s="391">
        <v>0.0046</v>
      </c>
      <c r="N1142" s="38">
        <v>1.0231</v>
      </c>
    </row>
    <row r="1143">
      <c r="A1143" s="389" t="s">
        <v>1971</v>
      </c>
      <c r="B1143" s="389" t="s">
        <v>137</v>
      </c>
      <c r="C1143" s="389" t="s">
        <v>11</v>
      </c>
      <c r="D1143" s="389" t="s">
        <v>591</v>
      </c>
      <c r="E1143" s="390" t="s">
        <v>368</v>
      </c>
      <c r="F1143" s="391">
        <v>77264.0</v>
      </c>
      <c r="G1143" s="391">
        <v>276.0</v>
      </c>
      <c r="H1143" s="391">
        <v>0.36</v>
      </c>
      <c r="I1143" s="391">
        <v>0.08</v>
      </c>
      <c r="J1143" s="391">
        <v>0.05</v>
      </c>
      <c r="K1143" s="391">
        <v>286.0</v>
      </c>
      <c r="L1143" s="391">
        <v>375413.0</v>
      </c>
      <c r="M1143" s="391">
        <v>0.0037</v>
      </c>
      <c r="N1143" s="38">
        <v>1.0362</v>
      </c>
    </row>
    <row r="1144">
      <c r="A1144" s="389" t="s">
        <v>1971</v>
      </c>
      <c r="B1144" s="389" t="s">
        <v>137</v>
      </c>
      <c r="C1144" s="389" t="s">
        <v>11</v>
      </c>
      <c r="D1144" s="389" t="s">
        <v>591</v>
      </c>
      <c r="E1144" s="390" t="s">
        <v>163</v>
      </c>
      <c r="F1144" s="391">
        <v>77264.0</v>
      </c>
      <c r="G1144" s="391">
        <v>19.0</v>
      </c>
      <c r="H1144" s="391">
        <v>0.02</v>
      </c>
      <c r="I1144" s="391">
        <v>0.01</v>
      </c>
      <c r="J1144" s="391">
        <v>0.0</v>
      </c>
      <c r="K1144" s="391">
        <v>21.0</v>
      </c>
      <c r="L1144" s="391">
        <v>375413.0</v>
      </c>
      <c r="M1144" s="391">
        <v>3.0E-4</v>
      </c>
      <c r="N1144" s="38">
        <v>1.1053</v>
      </c>
    </row>
    <row r="1145">
      <c r="A1145" s="389" t="s">
        <v>1971</v>
      </c>
      <c r="B1145" s="389" t="s">
        <v>137</v>
      </c>
      <c r="C1145" s="389" t="s">
        <v>11</v>
      </c>
      <c r="D1145" s="389" t="s">
        <v>591</v>
      </c>
      <c r="E1145" s="390" t="s">
        <v>367</v>
      </c>
      <c r="F1145" s="391">
        <v>77264.0</v>
      </c>
      <c r="G1145" s="391">
        <v>6.0</v>
      </c>
      <c r="H1145" s="391">
        <v>0.01</v>
      </c>
      <c r="I1145" s="391">
        <v>0.0</v>
      </c>
      <c r="J1145" s="391">
        <v>0.0</v>
      </c>
      <c r="K1145" s="391">
        <v>7.0</v>
      </c>
      <c r="L1145" s="391">
        <v>375413.0</v>
      </c>
      <c r="M1145" s="391">
        <v>1.0E-4</v>
      </c>
      <c r="N1145" s="38">
        <v>1.1667</v>
      </c>
    </row>
    <row r="1146">
      <c r="A1146" s="389" t="s">
        <v>1971</v>
      </c>
      <c r="B1146" s="389" t="s">
        <v>137</v>
      </c>
      <c r="C1146" s="389" t="s">
        <v>11</v>
      </c>
      <c r="D1146" s="389" t="s">
        <v>591</v>
      </c>
      <c r="E1146" s="390" t="s">
        <v>371</v>
      </c>
      <c r="F1146" s="391">
        <v>77264.0</v>
      </c>
      <c r="G1146" s="391">
        <v>2.0</v>
      </c>
      <c r="H1146" s="391">
        <v>0.0</v>
      </c>
      <c r="I1146" s="391">
        <v>0.0</v>
      </c>
      <c r="J1146" s="391">
        <v>0.0</v>
      </c>
      <c r="K1146" s="391">
        <v>2.0</v>
      </c>
      <c r="L1146" s="391">
        <v>375413.0</v>
      </c>
      <c r="M1146" s="391">
        <v>0.0</v>
      </c>
      <c r="N1146" s="38">
        <v>1.0</v>
      </c>
    </row>
    <row r="1147">
      <c r="A1147" s="389" t="s">
        <v>1971</v>
      </c>
      <c r="B1147" s="389" t="s">
        <v>137</v>
      </c>
      <c r="C1147" s="389" t="s">
        <v>11</v>
      </c>
      <c r="D1147" s="389" t="s">
        <v>591</v>
      </c>
      <c r="E1147" s="390" t="s">
        <v>372</v>
      </c>
      <c r="F1147" s="391">
        <v>77264.0</v>
      </c>
      <c r="G1147" s="391">
        <v>4.0</v>
      </c>
      <c r="H1147" s="391">
        <v>0.01</v>
      </c>
      <c r="I1147" s="391">
        <v>0.0</v>
      </c>
      <c r="J1147" s="391">
        <v>0.0</v>
      </c>
      <c r="K1147" s="391">
        <v>10.0</v>
      </c>
      <c r="L1147" s="391">
        <v>375413.0</v>
      </c>
      <c r="M1147" s="391">
        <v>1.0E-4</v>
      </c>
      <c r="N1147" s="38">
        <v>2.5</v>
      </c>
    </row>
    <row r="1148">
      <c r="A1148" s="389" t="s">
        <v>1971</v>
      </c>
      <c r="B1148" s="389" t="s">
        <v>137</v>
      </c>
      <c r="C1148" s="389" t="s">
        <v>357</v>
      </c>
      <c r="D1148" s="389" t="s">
        <v>357</v>
      </c>
      <c r="E1148" s="390" t="s">
        <v>370</v>
      </c>
      <c r="F1148" s="391">
        <v>97150.0</v>
      </c>
      <c r="G1148" s="391">
        <v>95876.0</v>
      </c>
      <c r="H1148" s="391">
        <v>98.69</v>
      </c>
      <c r="I1148" s="391">
        <v>28.84</v>
      </c>
      <c r="J1148" s="391">
        <v>32.33</v>
      </c>
      <c r="K1148" s="391">
        <v>2.394487E7</v>
      </c>
      <c r="L1148" s="391">
        <v>8.3034419E7</v>
      </c>
      <c r="M1148" s="391">
        <v>246.4732</v>
      </c>
      <c r="N1148" s="38">
        <v>249.7483</v>
      </c>
    </row>
    <row r="1149">
      <c r="A1149" s="389" t="s">
        <v>1971</v>
      </c>
      <c r="B1149" s="389" t="s">
        <v>137</v>
      </c>
      <c r="C1149" s="389" t="s">
        <v>357</v>
      </c>
      <c r="D1149" s="389" t="s">
        <v>357</v>
      </c>
      <c r="E1149" s="390" t="s">
        <v>366</v>
      </c>
      <c r="F1149" s="391">
        <v>97150.0</v>
      </c>
      <c r="G1149" s="391">
        <v>79795.0</v>
      </c>
      <c r="H1149" s="391">
        <v>82.14</v>
      </c>
      <c r="I1149" s="391">
        <v>12.42</v>
      </c>
      <c r="J1149" s="391">
        <v>12.8</v>
      </c>
      <c r="K1149" s="391">
        <v>1.031165E7</v>
      </c>
      <c r="L1149" s="391">
        <v>8.3034419E7</v>
      </c>
      <c r="M1149" s="391">
        <v>106.1415</v>
      </c>
      <c r="N1149" s="38">
        <v>129.2268</v>
      </c>
    </row>
    <row r="1150">
      <c r="A1150" s="389" t="s">
        <v>1971</v>
      </c>
      <c r="B1150" s="389" t="s">
        <v>137</v>
      </c>
      <c r="C1150" s="389" t="s">
        <v>357</v>
      </c>
      <c r="D1150" s="389" t="s">
        <v>357</v>
      </c>
      <c r="E1150" s="390" t="s">
        <v>365</v>
      </c>
      <c r="F1150" s="391">
        <v>97150.0</v>
      </c>
      <c r="G1150" s="391">
        <v>71868.0</v>
      </c>
      <c r="H1150" s="391">
        <v>73.98</v>
      </c>
      <c r="I1150" s="391">
        <v>8.97</v>
      </c>
      <c r="J1150" s="391">
        <v>10.79</v>
      </c>
      <c r="K1150" s="391">
        <v>7448970.0</v>
      </c>
      <c r="L1150" s="391">
        <v>8.3034419E7</v>
      </c>
      <c r="M1150" s="391">
        <v>76.6749</v>
      </c>
      <c r="N1150" s="38">
        <v>103.6479</v>
      </c>
    </row>
    <row r="1151">
      <c r="A1151" s="389" t="s">
        <v>1971</v>
      </c>
      <c r="B1151" s="389" t="s">
        <v>137</v>
      </c>
      <c r="C1151" s="389" t="s">
        <v>357</v>
      </c>
      <c r="D1151" s="389" t="s">
        <v>357</v>
      </c>
      <c r="E1151" s="390" t="s">
        <v>45</v>
      </c>
      <c r="F1151" s="391">
        <v>97150.0</v>
      </c>
      <c r="G1151" s="391">
        <v>45638.0</v>
      </c>
      <c r="H1151" s="391">
        <v>46.98</v>
      </c>
      <c r="I1151" s="391">
        <v>6.87</v>
      </c>
      <c r="J1151" s="391">
        <v>6.12</v>
      </c>
      <c r="K1151" s="391">
        <v>5703405.0</v>
      </c>
      <c r="L1151" s="391">
        <v>8.3034419E7</v>
      </c>
      <c r="M1151" s="391">
        <v>58.7072</v>
      </c>
      <c r="N1151" s="38">
        <v>124.9705</v>
      </c>
    </row>
    <row r="1152">
      <c r="A1152" s="389" t="s">
        <v>1971</v>
      </c>
      <c r="B1152" s="389" t="s">
        <v>137</v>
      </c>
      <c r="C1152" s="389" t="s">
        <v>357</v>
      </c>
      <c r="D1152" s="389" t="s">
        <v>357</v>
      </c>
      <c r="E1152" s="390" t="s">
        <v>369</v>
      </c>
      <c r="F1152" s="391">
        <v>97150.0</v>
      </c>
      <c r="G1152" s="391">
        <v>37578.0</v>
      </c>
      <c r="H1152" s="391">
        <v>38.68</v>
      </c>
      <c r="I1152" s="391">
        <v>6.21</v>
      </c>
      <c r="J1152" s="391">
        <v>4.5</v>
      </c>
      <c r="K1152" s="391">
        <v>5153029.0</v>
      </c>
      <c r="L1152" s="391">
        <v>8.3034419E7</v>
      </c>
      <c r="M1152" s="391">
        <v>53.042</v>
      </c>
      <c r="N1152" s="38">
        <v>137.1289</v>
      </c>
    </row>
    <row r="1153">
      <c r="A1153" s="389" t="s">
        <v>1971</v>
      </c>
      <c r="B1153" s="389" t="s">
        <v>137</v>
      </c>
      <c r="C1153" s="389" t="s">
        <v>357</v>
      </c>
      <c r="D1153" s="389" t="s">
        <v>357</v>
      </c>
      <c r="E1153" s="390" t="s">
        <v>37</v>
      </c>
      <c r="F1153" s="391">
        <v>97150.0</v>
      </c>
      <c r="G1153" s="391">
        <v>31811.0</v>
      </c>
      <c r="H1153" s="391">
        <v>32.74</v>
      </c>
      <c r="I1153" s="391">
        <v>5.37</v>
      </c>
      <c r="J1153" s="391">
        <v>4.97</v>
      </c>
      <c r="K1153" s="391">
        <v>4456800.0</v>
      </c>
      <c r="L1153" s="391">
        <v>8.3034419E7</v>
      </c>
      <c r="M1153" s="391">
        <v>45.8755</v>
      </c>
      <c r="N1153" s="38">
        <v>140.1025</v>
      </c>
    </row>
    <row r="1154">
      <c r="A1154" s="389" t="s">
        <v>1971</v>
      </c>
      <c r="B1154" s="389" t="s">
        <v>137</v>
      </c>
      <c r="C1154" s="389" t="s">
        <v>357</v>
      </c>
      <c r="D1154" s="389" t="s">
        <v>357</v>
      </c>
      <c r="E1154" s="390" t="s">
        <v>371</v>
      </c>
      <c r="F1154" s="391">
        <v>97150.0</v>
      </c>
      <c r="G1154" s="391">
        <v>71764.0</v>
      </c>
      <c r="H1154" s="391">
        <v>73.87</v>
      </c>
      <c r="I1154" s="391">
        <v>4.94</v>
      </c>
      <c r="J1154" s="391">
        <v>7.43</v>
      </c>
      <c r="K1154" s="391">
        <v>4104465.0</v>
      </c>
      <c r="L1154" s="391">
        <v>8.3034419E7</v>
      </c>
      <c r="M1154" s="391">
        <v>42.2487</v>
      </c>
      <c r="N1154" s="38">
        <v>57.1939</v>
      </c>
    </row>
    <row r="1155">
      <c r="A1155" s="389" t="s">
        <v>1971</v>
      </c>
      <c r="B1155" s="389" t="s">
        <v>137</v>
      </c>
      <c r="C1155" s="389" t="s">
        <v>357</v>
      </c>
      <c r="D1155" s="389" t="s">
        <v>357</v>
      </c>
      <c r="E1155" s="390" t="s">
        <v>367</v>
      </c>
      <c r="F1155" s="391">
        <v>97150.0</v>
      </c>
      <c r="G1155" s="391">
        <v>35283.0</v>
      </c>
      <c r="H1155" s="391">
        <v>36.32</v>
      </c>
      <c r="I1155" s="391">
        <v>4.7</v>
      </c>
      <c r="J1155" s="391">
        <v>4.28</v>
      </c>
      <c r="K1155" s="391">
        <v>3904455.0</v>
      </c>
      <c r="L1155" s="391">
        <v>8.3034419E7</v>
      </c>
      <c r="M1155" s="391">
        <v>40.19</v>
      </c>
      <c r="N1155" s="38">
        <v>110.6611</v>
      </c>
    </row>
    <row r="1156">
      <c r="A1156" s="389" t="s">
        <v>1971</v>
      </c>
      <c r="B1156" s="389" t="s">
        <v>137</v>
      </c>
      <c r="C1156" s="389" t="s">
        <v>357</v>
      </c>
      <c r="D1156" s="389" t="s">
        <v>357</v>
      </c>
      <c r="E1156" s="390" t="s">
        <v>35</v>
      </c>
      <c r="F1156" s="391">
        <v>97150.0</v>
      </c>
      <c r="G1156" s="391">
        <v>27236.0</v>
      </c>
      <c r="H1156" s="391">
        <v>28.03</v>
      </c>
      <c r="I1156" s="391">
        <v>3.56</v>
      </c>
      <c r="J1156" s="391">
        <v>2.88</v>
      </c>
      <c r="K1156" s="391">
        <v>2953130.0</v>
      </c>
      <c r="L1156" s="391">
        <v>8.3034419E7</v>
      </c>
      <c r="M1156" s="391">
        <v>30.3976</v>
      </c>
      <c r="N1156" s="38">
        <v>108.4274</v>
      </c>
    </row>
    <row r="1157">
      <c r="A1157" s="389" t="s">
        <v>1971</v>
      </c>
      <c r="B1157" s="389" t="s">
        <v>137</v>
      </c>
      <c r="C1157" s="389" t="s">
        <v>357</v>
      </c>
      <c r="D1157" s="389" t="s">
        <v>357</v>
      </c>
      <c r="E1157" s="390" t="s">
        <v>282</v>
      </c>
      <c r="F1157" s="391">
        <v>97150.0</v>
      </c>
      <c r="G1157" s="391">
        <v>17208.0</v>
      </c>
      <c r="H1157" s="391">
        <v>17.71</v>
      </c>
      <c r="I1157" s="391">
        <v>2.89</v>
      </c>
      <c r="J1157" s="391">
        <v>2.13</v>
      </c>
      <c r="K1157" s="391">
        <v>2396150.0</v>
      </c>
      <c r="L1157" s="391">
        <v>8.3034419E7</v>
      </c>
      <c r="M1157" s="391">
        <v>24.6644</v>
      </c>
      <c r="N1157" s="38">
        <v>139.2463</v>
      </c>
    </row>
    <row r="1158">
      <c r="A1158" s="389" t="s">
        <v>1971</v>
      </c>
      <c r="B1158" s="389" t="s">
        <v>137</v>
      </c>
      <c r="C1158" s="389" t="s">
        <v>357</v>
      </c>
      <c r="D1158" s="389" t="s">
        <v>357</v>
      </c>
      <c r="E1158" s="390" t="s">
        <v>363</v>
      </c>
      <c r="F1158" s="391">
        <v>97150.0</v>
      </c>
      <c r="G1158" s="391">
        <v>26428.0</v>
      </c>
      <c r="H1158" s="391">
        <v>27.2</v>
      </c>
      <c r="I1158" s="391">
        <v>2.64</v>
      </c>
      <c r="J1158" s="391">
        <v>1.95</v>
      </c>
      <c r="K1158" s="391">
        <v>2194890.0</v>
      </c>
      <c r="L1158" s="391">
        <v>8.3034419E7</v>
      </c>
      <c r="M1158" s="391">
        <v>22.5928</v>
      </c>
      <c r="N1158" s="38">
        <v>83.0517</v>
      </c>
    </row>
    <row r="1159">
      <c r="A1159" s="389" t="s">
        <v>1971</v>
      </c>
      <c r="B1159" s="389" t="s">
        <v>137</v>
      </c>
      <c r="C1159" s="389" t="s">
        <v>357</v>
      </c>
      <c r="D1159" s="389" t="s">
        <v>357</v>
      </c>
      <c r="E1159" s="390" t="s">
        <v>283</v>
      </c>
      <c r="F1159" s="391">
        <v>97150.0</v>
      </c>
      <c r="G1159" s="391">
        <v>14965.0</v>
      </c>
      <c r="H1159" s="391">
        <v>15.4</v>
      </c>
      <c r="I1159" s="391">
        <v>2.39</v>
      </c>
      <c r="J1159" s="391">
        <v>1.78</v>
      </c>
      <c r="K1159" s="391">
        <v>1988450.0</v>
      </c>
      <c r="L1159" s="391">
        <v>8.3034419E7</v>
      </c>
      <c r="M1159" s="391">
        <v>20.4678</v>
      </c>
      <c r="N1159" s="38">
        <v>132.8734</v>
      </c>
    </row>
    <row r="1160">
      <c r="A1160" s="389" t="s">
        <v>1971</v>
      </c>
      <c r="B1160" s="389" t="s">
        <v>137</v>
      </c>
      <c r="C1160" s="389" t="s">
        <v>357</v>
      </c>
      <c r="D1160" s="389" t="s">
        <v>357</v>
      </c>
      <c r="E1160" s="390" t="s">
        <v>284</v>
      </c>
      <c r="F1160" s="391">
        <v>97150.0</v>
      </c>
      <c r="G1160" s="391">
        <v>13290.0</v>
      </c>
      <c r="H1160" s="391">
        <v>13.68</v>
      </c>
      <c r="I1160" s="391">
        <v>2.2</v>
      </c>
      <c r="J1160" s="391">
        <v>1.57</v>
      </c>
      <c r="K1160" s="391">
        <v>1828500.0</v>
      </c>
      <c r="L1160" s="391">
        <v>8.3034419E7</v>
      </c>
      <c r="M1160" s="391">
        <v>18.8214</v>
      </c>
      <c r="N1160" s="38">
        <v>137.5847</v>
      </c>
    </row>
    <row r="1161">
      <c r="A1161" s="389" t="s">
        <v>1971</v>
      </c>
      <c r="B1161" s="389" t="s">
        <v>137</v>
      </c>
      <c r="C1161" s="389" t="s">
        <v>357</v>
      </c>
      <c r="D1161" s="389" t="s">
        <v>357</v>
      </c>
      <c r="E1161" s="390" t="s">
        <v>39</v>
      </c>
      <c r="F1161" s="391">
        <v>97150.0</v>
      </c>
      <c r="G1161" s="391">
        <v>46067.0</v>
      </c>
      <c r="H1161" s="391">
        <v>47.42</v>
      </c>
      <c r="I1161" s="391">
        <v>2.15</v>
      </c>
      <c r="J1161" s="391">
        <v>1.73</v>
      </c>
      <c r="K1161" s="391">
        <v>1786585.0</v>
      </c>
      <c r="L1161" s="391">
        <v>8.3034419E7</v>
      </c>
      <c r="M1161" s="391">
        <v>18.39</v>
      </c>
      <c r="N1161" s="38">
        <v>38.7823</v>
      </c>
    </row>
    <row r="1162">
      <c r="A1162" s="389" t="s">
        <v>1971</v>
      </c>
      <c r="B1162" s="389" t="s">
        <v>137</v>
      </c>
      <c r="C1162" s="389" t="s">
        <v>357</v>
      </c>
      <c r="D1162" s="389" t="s">
        <v>357</v>
      </c>
      <c r="E1162" s="390" t="s">
        <v>108</v>
      </c>
      <c r="F1162" s="391">
        <v>97150.0</v>
      </c>
      <c r="G1162" s="391">
        <v>19845.0</v>
      </c>
      <c r="H1162" s="391">
        <v>20.43</v>
      </c>
      <c r="I1162" s="391">
        <v>2.14</v>
      </c>
      <c r="J1162" s="391">
        <v>1.76</v>
      </c>
      <c r="K1162" s="391">
        <v>1779435.0</v>
      </c>
      <c r="L1162" s="391">
        <v>8.3034419E7</v>
      </c>
      <c r="M1162" s="391">
        <v>18.3164</v>
      </c>
      <c r="N1162" s="38">
        <v>89.6667</v>
      </c>
    </row>
    <row r="1163">
      <c r="A1163" s="389" t="s">
        <v>1971</v>
      </c>
      <c r="B1163" s="389" t="s">
        <v>137</v>
      </c>
      <c r="C1163" s="389" t="s">
        <v>357</v>
      </c>
      <c r="D1163" s="389" t="s">
        <v>357</v>
      </c>
      <c r="E1163" s="390" t="s">
        <v>368</v>
      </c>
      <c r="F1163" s="391">
        <v>97150.0</v>
      </c>
      <c r="G1163" s="391">
        <v>33436.0</v>
      </c>
      <c r="H1163" s="391">
        <v>34.42</v>
      </c>
      <c r="I1163" s="391">
        <v>1.64</v>
      </c>
      <c r="J1163" s="391">
        <v>1.46</v>
      </c>
      <c r="K1163" s="391">
        <v>1362250.0</v>
      </c>
      <c r="L1163" s="391">
        <v>8.3034419E7</v>
      </c>
      <c r="M1163" s="391">
        <v>14.0221</v>
      </c>
      <c r="N1163" s="38">
        <v>40.742</v>
      </c>
    </row>
    <row r="1164">
      <c r="A1164" s="389" t="s">
        <v>1971</v>
      </c>
      <c r="B1164" s="389" t="s">
        <v>137</v>
      </c>
      <c r="C1164" s="389" t="s">
        <v>357</v>
      </c>
      <c r="D1164" s="389" t="s">
        <v>357</v>
      </c>
      <c r="E1164" s="390" t="s">
        <v>38</v>
      </c>
      <c r="F1164" s="391">
        <v>97150.0</v>
      </c>
      <c r="G1164" s="391">
        <v>3184.0</v>
      </c>
      <c r="H1164" s="391">
        <v>3.28</v>
      </c>
      <c r="I1164" s="391">
        <v>0.64</v>
      </c>
      <c r="J1164" s="391">
        <v>0.42</v>
      </c>
      <c r="K1164" s="391">
        <v>528925.0</v>
      </c>
      <c r="L1164" s="391">
        <v>8.3034419E7</v>
      </c>
      <c r="M1164" s="391">
        <v>5.4444</v>
      </c>
      <c r="N1164" s="38">
        <v>166.1197</v>
      </c>
    </row>
    <row r="1165">
      <c r="A1165" s="389" t="s">
        <v>1971</v>
      </c>
      <c r="B1165" s="389" t="s">
        <v>137</v>
      </c>
      <c r="C1165" s="389" t="s">
        <v>357</v>
      </c>
      <c r="D1165" s="389" t="s">
        <v>357</v>
      </c>
      <c r="E1165" s="390" t="s">
        <v>163</v>
      </c>
      <c r="F1165" s="391">
        <v>97150.0</v>
      </c>
      <c r="G1165" s="391">
        <v>14629.0</v>
      </c>
      <c r="H1165" s="391">
        <v>15.06</v>
      </c>
      <c r="I1165" s="391">
        <v>0.51</v>
      </c>
      <c r="J1165" s="391">
        <v>0.39</v>
      </c>
      <c r="K1165" s="391">
        <v>419325.0</v>
      </c>
      <c r="L1165" s="391">
        <v>8.3034419E7</v>
      </c>
      <c r="M1165" s="391">
        <v>4.3163</v>
      </c>
      <c r="N1165" s="38">
        <v>28.664</v>
      </c>
    </row>
    <row r="1166">
      <c r="A1166" s="389" t="s">
        <v>1971</v>
      </c>
      <c r="B1166" s="389" t="s">
        <v>137</v>
      </c>
      <c r="C1166" s="389" t="s">
        <v>357</v>
      </c>
      <c r="D1166" s="389" t="s">
        <v>357</v>
      </c>
      <c r="E1166" s="390" t="s">
        <v>27</v>
      </c>
      <c r="F1166" s="391">
        <v>97150.0</v>
      </c>
      <c r="G1166" s="391">
        <v>3679.0</v>
      </c>
      <c r="H1166" s="391">
        <v>3.79</v>
      </c>
      <c r="I1166" s="391">
        <v>0.5</v>
      </c>
      <c r="J1166" s="391">
        <v>0.38</v>
      </c>
      <c r="K1166" s="391">
        <v>411865.0</v>
      </c>
      <c r="L1166" s="391">
        <v>8.3034419E7</v>
      </c>
      <c r="M1166" s="391">
        <v>4.2395</v>
      </c>
      <c r="N1166" s="38">
        <v>111.9503</v>
      </c>
    </row>
    <row r="1167">
      <c r="A1167" s="389" t="s">
        <v>1971</v>
      </c>
      <c r="B1167" s="389" t="s">
        <v>137</v>
      </c>
      <c r="C1167" s="389" t="s">
        <v>357</v>
      </c>
      <c r="D1167" s="389" t="s">
        <v>357</v>
      </c>
      <c r="E1167" s="390" t="s">
        <v>30</v>
      </c>
      <c r="F1167" s="391">
        <v>97150.0</v>
      </c>
      <c r="G1167" s="391">
        <v>11844.0</v>
      </c>
      <c r="H1167" s="391">
        <v>12.19</v>
      </c>
      <c r="I1167" s="391">
        <v>0.43</v>
      </c>
      <c r="J1167" s="391">
        <v>0.33</v>
      </c>
      <c r="K1167" s="391">
        <v>357225.0</v>
      </c>
      <c r="L1167" s="391">
        <v>8.3034419E7</v>
      </c>
      <c r="M1167" s="391">
        <v>3.677</v>
      </c>
      <c r="N1167" s="38">
        <v>30.1608</v>
      </c>
    </row>
    <row r="1168">
      <c r="A1168" s="389" t="s">
        <v>1971</v>
      </c>
      <c r="B1168" s="389" t="s">
        <v>137</v>
      </c>
      <c r="C1168" s="389" t="s">
        <v>357</v>
      </c>
      <c r="D1168" s="389" t="s">
        <v>357</v>
      </c>
      <c r="E1168" s="390" t="s">
        <v>49</v>
      </c>
      <c r="F1168" s="391">
        <v>97150.0</v>
      </c>
      <c r="G1168" s="391">
        <v>1.0</v>
      </c>
      <c r="H1168" s="391">
        <v>0.0</v>
      </c>
      <c r="I1168" s="391">
        <v>0.0</v>
      </c>
      <c r="J1168" s="391">
        <v>0.0</v>
      </c>
      <c r="K1168" s="391">
        <v>45.0</v>
      </c>
      <c r="L1168" s="391">
        <v>8.3034419E7</v>
      </c>
      <c r="M1168" s="391">
        <v>5.0E-4</v>
      </c>
      <c r="N1168" s="38">
        <v>45.0</v>
      </c>
    </row>
    <row r="1169">
      <c r="A1169" s="389" t="s">
        <v>1971</v>
      </c>
      <c r="B1169" s="389" t="s">
        <v>137</v>
      </c>
      <c r="C1169" s="389" t="s">
        <v>6</v>
      </c>
      <c r="D1169" s="389" t="s">
        <v>591</v>
      </c>
      <c r="E1169" s="390" t="s">
        <v>370</v>
      </c>
      <c r="F1169" s="391">
        <v>93656.0</v>
      </c>
      <c r="G1169" s="391">
        <v>82783.0</v>
      </c>
      <c r="H1169" s="391">
        <v>88.39</v>
      </c>
      <c r="I1169" s="391">
        <v>45.82</v>
      </c>
      <c r="J1169" s="391">
        <v>42.24</v>
      </c>
      <c r="K1169" s="391">
        <v>525854.0</v>
      </c>
      <c r="L1169" s="391">
        <v>1147536.0</v>
      </c>
      <c r="M1169" s="391">
        <v>5.6147</v>
      </c>
      <c r="N1169" s="38">
        <v>6.3522</v>
      </c>
    </row>
    <row r="1170">
      <c r="A1170" s="389" t="s">
        <v>1971</v>
      </c>
      <c r="B1170" s="389" t="s">
        <v>137</v>
      </c>
      <c r="C1170" s="389" t="s">
        <v>6</v>
      </c>
      <c r="D1170" s="389" t="s">
        <v>591</v>
      </c>
      <c r="E1170" s="390" t="s">
        <v>371</v>
      </c>
      <c r="F1170" s="391">
        <v>93656.0</v>
      </c>
      <c r="G1170" s="391">
        <v>61767.0</v>
      </c>
      <c r="H1170" s="391">
        <v>65.95</v>
      </c>
      <c r="I1170" s="391">
        <v>15.42</v>
      </c>
      <c r="J1170" s="391">
        <v>18.36</v>
      </c>
      <c r="K1170" s="391">
        <v>176933.0</v>
      </c>
      <c r="L1170" s="391">
        <v>1147536.0</v>
      </c>
      <c r="M1170" s="391">
        <v>1.8892</v>
      </c>
      <c r="N1170" s="38">
        <v>2.8645</v>
      </c>
    </row>
    <row r="1171">
      <c r="A1171" s="389" t="s">
        <v>1971</v>
      </c>
      <c r="B1171" s="389" t="s">
        <v>137</v>
      </c>
      <c r="C1171" s="389" t="s">
        <v>6</v>
      </c>
      <c r="D1171" s="389" t="s">
        <v>591</v>
      </c>
      <c r="E1171" s="390" t="s">
        <v>369</v>
      </c>
      <c r="F1171" s="391">
        <v>93656.0</v>
      </c>
      <c r="G1171" s="391">
        <v>59227.0</v>
      </c>
      <c r="H1171" s="391">
        <v>63.24</v>
      </c>
      <c r="I1171" s="391">
        <v>8.81</v>
      </c>
      <c r="J1171" s="391">
        <v>11.45</v>
      </c>
      <c r="K1171" s="391">
        <v>101082.0</v>
      </c>
      <c r="L1171" s="391">
        <v>1147536.0</v>
      </c>
      <c r="M1171" s="391">
        <v>1.0793</v>
      </c>
      <c r="N1171" s="38">
        <v>1.7067</v>
      </c>
    </row>
    <row r="1172">
      <c r="A1172" s="389" t="s">
        <v>1971</v>
      </c>
      <c r="B1172" s="389" t="s">
        <v>137</v>
      </c>
      <c r="C1172" s="389" t="s">
        <v>6</v>
      </c>
      <c r="D1172" s="389" t="s">
        <v>591</v>
      </c>
      <c r="E1172" s="390" t="s">
        <v>39</v>
      </c>
      <c r="F1172" s="391">
        <v>93656.0</v>
      </c>
      <c r="G1172" s="391">
        <v>53975.0</v>
      </c>
      <c r="H1172" s="391">
        <v>57.63</v>
      </c>
      <c r="I1172" s="391">
        <v>7.72</v>
      </c>
      <c r="J1172" s="391">
        <v>9.07</v>
      </c>
      <c r="K1172" s="391">
        <v>88611.0</v>
      </c>
      <c r="L1172" s="391">
        <v>1147536.0</v>
      </c>
      <c r="M1172" s="391">
        <v>0.9461</v>
      </c>
      <c r="N1172" s="38">
        <v>1.6417</v>
      </c>
    </row>
    <row r="1173">
      <c r="A1173" s="389" t="s">
        <v>1971</v>
      </c>
      <c r="B1173" s="389" t="s">
        <v>137</v>
      </c>
      <c r="C1173" s="389" t="s">
        <v>6</v>
      </c>
      <c r="D1173" s="389" t="s">
        <v>591</v>
      </c>
      <c r="E1173" s="390" t="s">
        <v>367</v>
      </c>
      <c r="F1173" s="391">
        <v>93656.0</v>
      </c>
      <c r="G1173" s="391">
        <v>30133.0</v>
      </c>
      <c r="H1173" s="391">
        <v>32.17</v>
      </c>
      <c r="I1173" s="391">
        <v>7.35</v>
      </c>
      <c r="J1173" s="391">
        <v>6.09</v>
      </c>
      <c r="K1173" s="391">
        <v>84362.0</v>
      </c>
      <c r="L1173" s="391">
        <v>1147536.0</v>
      </c>
      <c r="M1173" s="391">
        <v>0.9008</v>
      </c>
      <c r="N1173" s="38">
        <v>2.7997</v>
      </c>
    </row>
    <row r="1174">
      <c r="A1174" s="389" t="s">
        <v>1971</v>
      </c>
      <c r="B1174" s="389" t="s">
        <v>137</v>
      </c>
      <c r="C1174" s="389" t="s">
        <v>6</v>
      </c>
      <c r="D1174" s="389" t="s">
        <v>591</v>
      </c>
      <c r="E1174" s="390" t="s">
        <v>44</v>
      </c>
      <c r="F1174" s="391">
        <v>93656.0</v>
      </c>
      <c r="G1174" s="391">
        <v>32538.0</v>
      </c>
      <c r="H1174" s="391">
        <v>34.74</v>
      </c>
      <c r="I1174" s="391">
        <v>5.43</v>
      </c>
      <c r="J1174" s="391">
        <v>4.56</v>
      </c>
      <c r="K1174" s="391">
        <v>62350.0</v>
      </c>
      <c r="L1174" s="391">
        <v>1147536.0</v>
      </c>
      <c r="M1174" s="391">
        <v>0.6657</v>
      </c>
      <c r="N1174" s="38">
        <v>1.9162</v>
      </c>
    </row>
    <row r="1175">
      <c r="A1175" s="389" t="s">
        <v>1971</v>
      </c>
      <c r="B1175" s="389" t="s">
        <v>137</v>
      </c>
      <c r="C1175" s="389" t="s">
        <v>6</v>
      </c>
      <c r="D1175" s="389" t="s">
        <v>591</v>
      </c>
      <c r="E1175" s="390" t="s">
        <v>368</v>
      </c>
      <c r="F1175" s="391">
        <v>93656.0</v>
      </c>
      <c r="G1175" s="391">
        <v>27676.0</v>
      </c>
      <c r="H1175" s="391">
        <v>29.55</v>
      </c>
      <c r="I1175" s="391">
        <v>3.28</v>
      </c>
      <c r="J1175" s="391">
        <v>2.71</v>
      </c>
      <c r="K1175" s="391">
        <v>37610.0</v>
      </c>
      <c r="L1175" s="391">
        <v>1147536.0</v>
      </c>
      <c r="M1175" s="391">
        <v>0.4016</v>
      </c>
      <c r="N1175" s="38">
        <v>1.3589</v>
      </c>
    </row>
    <row r="1176">
      <c r="A1176" s="389" t="s">
        <v>1971</v>
      </c>
      <c r="B1176" s="389" t="s">
        <v>137</v>
      </c>
      <c r="C1176" s="389" t="s">
        <v>6</v>
      </c>
      <c r="D1176" s="389" t="s">
        <v>591</v>
      </c>
      <c r="E1176" s="390" t="s">
        <v>365</v>
      </c>
      <c r="F1176" s="391">
        <v>93656.0</v>
      </c>
      <c r="G1176" s="391">
        <v>22794.0</v>
      </c>
      <c r="H1176" s="391">
        <v>24.34</v>
      </c>
      <c r="I1176" s="391">
        <v>2.38</v>
      </c>
      <c r="J1176" s="391">
        <v>2.61</v>
      </c>
      <c r="K1176" s="391">
        <v>27258.0</v>
      </c>
      <c r="L1176" s="391">
        <v>1147536.0</v>
      </c>
      <c r="M1176" s="391">
        <v>0.291</v>
      </c>
      <c r="N1176" s="38">
        <v>1.1958</v>
      </c>
    </row>
    <row r="1177">
      <c r="A1177" s="389" t="s">
        <v>1971</v>
      </c>
      <c r="B1177" s="389" t="s">
        <v>137</v>
      </c>
      <c r="C1177" s="389" t="s">
        <v>6</v>
      </c>
      <c r="D1177" s="389" t="s">
        <v>591</v>
      </c>
      <c r="E1177" s="390" t="s">
        <v>108</v>
      </c>
      <c r="F1177" s="391">
        <v>93656.0</v>
      </c>
      <c r="G1177" s="391">
        <v>11370.0</v>
      </c>
      <c r="H1177" s="391">
        <v>12.14</v>
      </c>
      <c r="I1177" s="391">
        <v>1.47</v>
      </c>
      <c r="J1177" s="391">
        <v>1.08</v>
      </c>
      <c r="K1177" s="391">
        <v>16829.0</v>
      </c>
      <c r="L1177" s="391">
        <v>1147536.0</v>
      </c>
      <c r="M1177" s="391">
        <v>0.1797</v>
      </c>
      <c r="N1177" s="38">
        <v>1.4801</v>
      </c>
    </row>
    <row r="1178">
      <c r="A1178" s="389" t="s">
        <v>1971</v>
      </c>
      <c r="B1178" s="389" t="s">
        <v>137</v>
      </c>
      <c r="C1178" s="389" t="s">
        <v>6</v>
      </c>
      <c r="D1178" s="389" t="s">
        <v>591</v>
      </c>
      <c r="E1178" s="390" t="s">
        <v>163</v>
      </c>
      <c r="F1178" s="391">
        <v>93656.0</v>
      </c>
      <c r="G1178" s="391">
        <v>9488.0</v>
      </c>
      <c r="H1178" s="391">
        <v>10.13</v>
      </c>
      <c r="I1178" s="391">
        <v>0.85</v>
      </c>
      <c r="J1178" s="391">
        <v>0.62</v>
      </c>
      <c r="K1178" s="391">
        <v>9698.0</v>
      </c>
      <c r="L1178" s="391">
        <v>1147536.0</v>
      </c>
      <c r="M1178" s="391">
        <v>0.1035</v>
      </c>
      <c r="N1178" s="38">
        <v>1.0221</v>
      </c>
    </row>
    <row r="1179">
      <c r="A1179" s="389" t="s">
        <v>1971</v>
      </c>
      <c r="B1179" s="389" t="s">
        <v>137</v>
      </c>
      <c r="C1179" s="389" t="s">
        <v>6</v>
      </c>
      <c r="D1179" s="389" t="s">
        <v>591</v>
      </c>
      <c r="E1179" s="390" t="s">
        <v>30</v>
      </c>
      <c r="F1179" s="391">
        <v>93656.0</v>
      </c>
      <c r="G1179" s="391">
        <v>6567.0</v>
      </c>
      <c r="H1179" s="391">
        <v>7.01</v>
      </c>
      <c r="I1179" s="391">
        <v>0.58</v>
      </c>
      <c r="J1179" s="391">
        <v>0.4</v>
      </c>
      <c r="K1179" s="391">
        <v>6667.0</v>
      </c>
      <c r="L1179" s="391">
        <v>1147536.0</v>
      </c>
      <c r="M1179" s="391">
        <v>0.0712</v>
      </c>
      <c r="N1179" s="38">
        <v>1.0152</v>
      </c>
    </row>
    <row r="1180">
      <c r="A1180" s="389" t="s">
        <v>1971</v>
      </c>
      <c r="B1180" s="389" t="s">
        <v>137</v>
      </c>
      <c r="C1180" s="389" t="s">
        <v>6</v>
      </c>
      <c r="D1180" s="389" t="s">
        <v>591</v>
      </c>
      <c r="E1180" s="390" t="s">
        <v>37</v>
      </c>
      <c r="F1180" s="391">
        <v>93656.0</v>
      </c>
      <c r="G1180" s="391">
        <v>3991.0</v>
      </c>
      <c r="H1180" s="391">
        <v>4.26</v>
      </c>
      <c r="I1180" s="391">
        <v>0.39</v>
      </c>
      <c r="J1180" s="391">
        <v>0.39</v>
      </c>
      <c r="K1180" s="391">
        <v>4452.0</v>
      </c>
      <c r="L1180" s="391">
        <v>1147536.0</v>
      </c>
      <c r="M1180" s="391">
        <v>0.0475</v>
      </c>
      <c r="N1180" s="38">
        <v>1.1155</v>
      </c>
    </row>
    <row r="1181">
      <c r="A1181" s="389" t="s">
        <v>1971</v>
      </c>
      <c r="B1181" s="389" t="s">
        <v>137</v>
      </c>
      <c r="C1181" s="389" t="s">
        <v>6</v>
      </c>
      <c r="D1181" s="389" t="s">
        <v>591</v>
      </c>
      <c r="E1181" s="390" t="s">
        <v>45</v>
      </c>
      <c r="F1181" s="391">
        <v>93656.0</v>
      </c>
      <c r="G1181" s="391">
        <v>3852.0</v>
      </c>
      <c r="H1181" s="391">
        <v>4.11</v>
      </c>
      <c r="I1181" s="391">
        <v>0.38</v>
      </c>
      <c r="J1181" s="391">
        <v>0.27</v>
      </c>
      <c r="K1181" s="391">
        <v>4346.0</v>
      </c>
      <c r="L1181" s="391">
        <v>1147536.0</v>
      </c>
      <c r="M1181" s="391">
        <v>0.0464</v>
      </c>
      <c r="N1181" s="38">
        <v>1.1282</v>
      </c>
    </row>
    <row r="1182">
      <c r="A1182" s="389" t="s">
        <v>1971</v>
      </c>
      <c r="B1182" s="389" t="s">
        <v>137</v>
      </c>
      <c r="C1182" s="389" t="s">
        <v>6</v>
      </c>
      <c r="D1182" s="389" t="s">
        <v>591</v>
      </c>
      <c r="E1182" s="390" t="s">
        <v>38</v>
      </c>
      <c r="F1182" s="391">
        <v>93656.0</v>
      </c>
      <c r="G1182" s="391">
        <v>1394.0</v>
      </c>
      <c r="H1182" s="391">
        <v>1.49</v>
      </c>
      <c r="I1182" s="391">
        <v>0.12</v>
      </c>
      <c r="J1182" s="391">
        <v>0.13</v>
      </c>
      <c r="K1182" s="391">
        <v>1425.0</v>
      </c>
      <c r="L1182" s="391">
        <v>1147536.0</v>
      </c>
      <c r="M1182" s="391">
        <v>0.0152</v>
      </c>
      <c r="N1182" s="38">
        <v>1.0222</v>
      </c>
    </row>
    <row r="1183">
      <c r="A1183" s="389" t="s">
        <v>1971</v>
      </c>
      <c r="B1183" s="389" t="s">
        <v>137</v>
      </c>
      <c r="C1183" s="389" t="s">
        <v>6</v>
      </c>
      <c r="D1183" s="389" t="s">
        <v>591</v>
      </c>
      <c r="E1183" s="390" t="s">
        <v>284</v>
      </c>
      <c r="F1183" s="391">
        <v>93656.0</v>
      </c>
      <c r="G1183" s="391">
        <v>2.0</v>
      </c>
      <c r="H1183" s="391">
        <v>0.0</v>
      </c>
      <c r="I1183" s="391">
        <v>0.0</v>
      </c>
      <c r="J1183" s="391">
        <v>0.0</v>
      </c>
      <c r="K1183" s="391">
        <v>2.0</v>
      </c>
      <c r="L1183" s="391">
        <v>1147536.0</v>
      </c>
      <c r="M1183" s="391">
        <v>0.0</v>
      </c>
      <c r="N1183" s="38">
        <v>1.0</v>
      </c>
    </row>
    <row r="1184">
      <c r="A1184" s="389" t="s">
        <v>1971</v>
      </c>
      <c r="B1184" s="389" t="s">
        <v>137</v>
      </c>
      <c r="C1184" s="389" t="s">
        <v>6</v>
      </c>
      <c r="D1184" s="389" t="s">
        <v>591</v>
      </c>
      <c r="E1184" s="390" t="s">
        <v>282</v>
      </c>
      <c r="F1184" s="391">
        <v>93656.0</v>
      </c>
      <c r="G1184" s="391">
        <v>3.0</v>
      </c>
      <c r="H1184" s="391">
        <v>0.0</v>
      </c>
      <c r="I1184" s="391">
        <v>0.0</v>
      </c>
      <c r="J1184" s="391">
        <v>0.0</v>
      </c>
      <c r="K1184" s="391">
        <v>3.0</v>
      </c>
      <c r="L1184" s="391">
        <v>1147536.0</v>
      </c>
      <c r="M1184" s="391">
        <v>0.0</v>
      </c>
      <c r="N1184" s="38">
        <v>1.0</v>
      </c>
    </row>
    <row r="1185">
      <c r="A1185" s="389" t="s">
        <v>1971</v>
      </c>
      <c r="B1185" s="389" t="s">
        <v>137</v>
      </c>
      <c r="C1185" s="389" t="s">
        <v>6</v>
      </c>
      <c r="D1185" s="389" t="s">
        <v>591</v>
      </c>
      <c r="E1185" s="390" t="s">
        <v>27</v>
      </c>
      <c r="F1185" s="391">
        <v>93656.0</v>
      </c>
      <c r="G1185" s="391">
        <v>44.0</v>
      </c>
      <c r="H1185" s="391">
        <v>0.05</v>
      </c>
      <c r="I1185" s="391">
        <v>0.0</v>
      </c>
      <c r="J1185" s="391">
        <v>0.01</v>
      </c>
      <c r="K1185" s="391">
        <v>53.0</v>
      </c>
      <c r="L1185" s="391">
        <v>1147536.0</v>
      </c>
      <c r="M1185" s="391">
        <v>6.0E-4</v>
      </c>
      <c r="N1185" s="38">
        <v>1.2045</v>
      </c>
    </row>
    <row r="1186">
      <c r="A1186" s="389" t="s">
        <v>1971</v>
      </c>
      <c r="B1186" s="389" t="s">
        <v>137</v>
      </c>
      <c r="C1186" s="389" t="s">
        <v>6</v>
      </c>
      <c r="D1186" s="389" t="s">
        <v>591</v>
      </c>
      <c r="E1186" s="390" t="s">
        <v>283</v>
      </c>
      <c r="F1186" s="391">
        <v>93656.0</v>
      </c>
      <c r="G1186" s="391">
        <v>1.0</v>
      </c>
      <c r="H1186" s="391">
        <v>0.0</v>
      </c>
      <c r="I1186" s="391">
        <v>0.0</v>
      </c>
      <c r="J1186" s="391">
        <v>0.0</v>
      </c>
      <c r="K1186" s="391">
        <v>1.0</v>
      </c>
      <c r="L1186" s="391">
        <v>1147536.0</v>
      </c>
      <c r="M1186" s="391">
        <v>0.0</v>
      </c>
      <c r="N1186" s="38">
        <v>1.0</v>
      </c>
    </row>
    <row r="1187">
      <c r="A1187" s="389" t="s">
        <v>1971</v>
      </c>
      <c r="B1187" s="389" t="s">
        <v>137</v>
      </c>
      <c r="C1187" s="389" t="s">
        <v>10</v>
      </c>
      <c r="D1187" s="389" t="s">
        <v>591</v>
      </c>
      <c r="E1187" s="390" t="s">
        <v>370</v>
      </c>
      <c r="F1187" s="391">
        <v>88238.0</v>
      </c>
      <c r="G1187" s="391">
        <v>70516.0</v>
      </c>
      <c r="H1187" s="391">
        <v>79.92</v>
      </c>
      <c r="I1187" s="391">
        <v>31.58</v>
      </c>
      <c r="J1187" s="391">
        <v>33.34</v>
      </c>
      <c r="K1187" s="391">
        <v>258814.0</v>
      </c>
      <c r="L1187" s="391">
        <v>819602.0</v>
      </c>
      <c r="M1187" s="391">
        <v>2.9331</v>
      </c>
      <c r="N1187" s="38">
        <v>3.6703</v>
      </c>
    </row>
    <row r="1188">
      <c r="A1188" s="389" t="s">
        <v>1971</v>
      </c>
      <c r="B1188" s="389" t="s">
        <v>137</v>
      </c>
      <c r="C1188" s="389" t="s">
        <v>10</v>
      </c>
      <c r="D1188" s="389" t="s">
        <v>591</v>
      </c>
      <c r="E1188" s="390" t="s">
        <v>365</v>
      </c>
      <c r="F1188" s="391">
        <v>88238.0</v>
      </c>
      <c r="G1188" s="391">
        <v>48720.0</v>
      </c>
      <c r="H1188" s="391">
        <v>55.21</v>
      </c>
      <c r="I1188" s="391">
        <v>10.02</v>
      </c>
      <c r="J1188" s="391">
        <v>12.96</v>
      </c>
      <c r="K1188" s="391">
        <v>82121.0</v>
      </c>
      <c r="L1188" s="391">
        <v>819602.0</v>
      </c>
      <c r="M1188" s="391">
        <v>0.9307</v>
      </c>
      <c r="N1188" s="38">
        <v>1.6856</v>
      </c>
    </row>
    <row r="1189">
      <c r="A1189" s="389" t="s">
        <v>1971</v>
      </c>
      <c r="B1189" s="389" t="s">
        <v>137</v>
      </c>
      <c r="C1189" s="389" t="s">
        <v>10</v>
      </c>
      <c r="D1189" s="389" t="s">
        <v>591</v>
      </c>
      <c r="E1189" s="390" t="s">
        <v>371</v>
      </c>
      <c r="F1189" s="391">
        <v>88238.0</v>
      </c>
      <c r="G1189" s="391">
        <v>41913.0</v>
      </c>
      <c r="H1189" s="391">
        <v>47.5</v>
      </c>
      <c r="I1189" s="391">
        <v>7.48</v>
      </c>
      <c r="J1189" s="391">
        <v>8.72</v>
      </c>
      <c r="K1189" s="391">
        <v>61280.0</v>
      </c>
      <c r="L1189" s="391">
        <v>819602.0</v>
      </c>
      <c r="M1189" s="391">
        <v>0.6945</v>
      </c>
      <c r="N1189" s="38">
        <v>1.4621</v>
      </c>
    </row>
    <row r="1190">
      <c r="A1190" s="389" t="s">
        <v>1971</v>
      </c>
      <c r="B1190" s="389" t="s">
        <v>137</v>
      </c>
      <c r="C1190" s="389" t="s">
        <v>10</v>
      </c>
      <c r="D1190" s="389" t="s">
        <v>591</v>
      </c>
      <c r="E1190" s="390" t="s">
        <v>366</v>
      </c>
      <c r="F1190" s="391">
        <v>88238.0</v>
      </c>
      <c r="G1190" s="391">
        <v>34462.0</v>
      </c>
      <c r="H1190" s="391">
        <v>39.06</v>
      </c>
      <c r="I1190" s="391">
        <v>7.31</v>
      </c>
      <c r="J1190" s="391">
        <v>5.68</v>
      </c>
      <c r="K1190" s="391">
        <v>59908.0</v>
      </c>
      <c r="L1190" s="391">
        <v>819602.0</v>
      </c>
      <c r="M1190" s="391">
        <v>0.6789</v>
      </c>
      <c r="N1190" s="38">
        <v>1.7384</v>
      </c>
    </row>
    <row r="1191">
      <c r="A1191" s="389" t="s">
        <v>1971</v>
      </c>
      <c r="B1191" s="389" t="s">
        <v>137</v>
      </c>
      <c r="C1191" s="389" t="s">
        <v>10</v>
      </c>
      <c r="D1191" s="389" t="s">
        <v>591</v>
      </c>
      <c r="E1191" s="390" t="s">
        <v>39</v>
      </c>
      <c r="F1191" s="391">
        <v>88238.0</v>
      </c>
      <c r="G1191" s="391">
        <v>33841.0</v>
      </c>
      <c r="H1191" s="391">
        <v>38.35</v>
      </c>
      <c r="I1191" s="391">
        <v>6.67</v>
      </c>
      <c r="J1191" s="391">
        <v>5.4</v>
      </c>
      <c r="K1191" s="391">
        <v>54672.0</v>
      </c>
      <c r="L1191" s="391">
        <v>819602.0</v>
      </c>
      <c r="M1191" s="391">
        <v>0.6196</v>
      </c>
      <c r="N1191" s="38">
        <v>1.6156</v>
      </c>
    </row>
    <row r="1192">
      <c r="A1192" s="389" t="s">
        <v>1971</v>
      </c>
      <c r="B1192" s="389" t="s">
        <v>137</v>
      </c>
      <c r="C1192" s="389" t="s">
        <v>10</v>
      </c>
      <c r="D1192" s="389" t="s">
        <v>591</v>
      </c>
      <c r="E1192" s="390" t="s">
        <v>363</v>
      </c>
      <c r="F1192" s="391">
        <v>88238.0</v>
      </c>
      <c r="G1192" s="391">
        <v>16622.0</v>
      </c>
      <c r="H1192" s="391">
        <v>18.84</v>
      </c>
      <c r="I1192" s="391">
        <v>5.93</v>
      </c>
      <c r="J1192" s="391">
        <v>3.92</v>
      </c>
      <c r="K1192" s="391">
        <v>48599.0</v>
      </c>
      <c r="L1192" s="391">
        <v>819602.0</v>
      </c>
      <c r="M1192" s="391">
        <v>0.5508</v>
      </c>
      <c r="N1192" s="38">
        <v>2.9238</v>
      </c>
    </row>
    <row r="1193">
      <c r="A1193" s="389" t="s">
        <v>1971</v>
      </c>
      <c r="B1193" s="389" t="s">
        <v>137</v>
      </c>
      <c r="C1193" s="389" t="s">
        <v>10</v>
      </c>
      <c r="D1193" s="389" t="s">
        <v>591</v>
      </c>
      <c r="E1193" s="390" t="s">
        <v>369</v>
      </c>
      <c r="F1193" s="391">
        <v>88238.0</v>
      </c>
      <c r="G1193" s="391">
        <v>31006.0</v>
      </c>
      <c r="H1193" s="391">
        <v>35.14</v>
      </c>
      <c r="I1193" s="391">
        <v>5.93</v>
      </c>
      <c r="J1193" s="391">
        <v>5.78</v>
      </c>
      <c r="K1193" s="391">
        <v>48628.0</v>
      </c>
      <c r="L1193" s="391">
        <v>819602.0</v>
      </c>
      <c r="M1193" s="391">
        <v>0.5511</v>
      </c>
      <c r="N1193" s="38">
        <v>1.5683</v>
      </c>
    </row>
    <row r="1194">
      <c r="A1194" s="389" t="s">
        <v>1971</v>
      </c>
      <c r="B1194" s="389" t="s">
        <v>137</v>
      </c>
      <c r="C1194" s="389" t="s">
        <v>10</v>
      </c>
      <c r="D1194" s="389" t="s">
        <v>591</v>
      </c>
      <c r="E1194" s="390" t="s">
        <v>37</v>
      </c>
      <c r="F1194" s="391">
        <v>88238.0</v>
      </c>
      <c r="G1194" s="391">
        <v>23890.0</v>
      </c>
      <c r="H1194" s="391">
        <v>27.07</v>
      </c>
      <c r="I1194" s="391">
        <v>4.67</v>
      </c>
      <c r="J1194" s="391">
        <v>4.76</v>
      </c>
      <c r="K1194" s="391">
        <v>38312.0</v>
      </c>
      <c r="L1194" s="391">
        <v>819602.0</v>
      </c>
      <c r="M1194" s="391">
        <v>0.4342</v>
      </c>
      <c r="N1194" s="38">
        <v>1.6037</v>
      </c>
    </row>
    <row r="1195">
      <c r="A1195" s="389" t="s">
        <v>1971</v>
      </c>
      <c r="B1195" s="389" t="s">
        <v>137</v>
      </c>
      <c r="C1195" s="389" t="s">
        <v>10</v>
      </c>
      <c r="D1195" s="389" t="s">
        <v>591</v>
      </c>
      <c r="E1195" s="390" t="s">
        <v>45</v>
      </c>
      <c r="F1195" s="391">
        <v>88238.0</v>
      </c>
      <c r="G1195" s="391">
        <v>24097.0</v>
      </c>
      <c r="H1195" s="391">
        <v>27.31</v>
      </c>
      <c r="I1195" s="391">
        <v>4.26</v>
      </c>
      <c r="J1195" s="391">
        <v>4.07</v>
      </c>
      <c r="K1195" s="391">
        <v>34916.0</v>
      </c>
      <c r="L1195" s="391">
        <v>819602.0</v>
      </c>
      <c r="M1195" s="391">
        <v>0.3957</v>
      </c>
      <c r="N1195" s="38">
        <v>1.449</v>
      </c>
    </row>
    <row r="1196">
      <c r="A1196" s="389" t="s">
        <v>1971</v>
      </c>
      <c r="B1196" s="389" t="s">
        <v>137</v>
      </c>
      <c r="C1196" s="389" t="s">
        <v>10</v>
      </c>
      <c r="D1196" s="389" t="s">
        <v>591</v>
      </c>
      <c r="E1196" s="390" t="s">
        <v>282</v>
      </c>
      <c r="F1196" s="391">
        <v>88238.0</v>
      </c>
      <c r="G1196" s="391">
        <v>21815.0</v>
      </c>
      <c r="H1196" s="391">
        <v>24.72</v>
      </c>
      <c r="I1196" s="391">
        <v>3.46</v>
      </c>
      <c r="J1196" s="391">
        <v>3.33</v>
      </c>
      <c r="K1196" s="391">
        <v>28371.0</v>
      </c>
      <c r="L1196" s="391">
        <v>819602.0</v>
      </c>
      <c r="M1196" s="391">
        <v>0.3215</v>
      </c>
      <c r="N1196" s="38">
        <v>1.3005</v>
      </c>
    </row>
    <row r="1197">
      <c r="A1197" s="389" t="s">
        <v>1971</v>
      </c>
      <c r="B1197" s="389" t="s">
        <v>137</v>
      </c>
      <c r="C1197" s="389" t="s">
        <v>10</v>
      </c>
      <c r="D1197" s="389" t="s">
        <v>591</v>
      </c>
      <c r="E1197" s="390" t="s">
        <v>108</v>
      </c>
      <c r="F1197" s="391">
        <v>88238.0</v>
      </c>
      <c r="G1197" s="391">
        <v>15925.0</v>
      </c>
      <c r="H1197" s="391">
        <v>18.05</v>
      </c>
      <c r="I1197" s="391">
        <v>3.36</v>
      </c>
      <c r="J1197" s="391">
        <v>3.76</v>
      </c>
      <c r="K1197" s="391">
        <v>27572.0</v>
      </c>
      <c r="L1197" s="391">
        <v>819602.0</v>
      </c>
      <c r="M1197" s="391">
        <v>0.3125</v>
      </c>
      <c r="N1197" s="38">
        <v>1.7314</v>
      </c>
    </row>
    <row r="1198">
      <c r="A1198" s="389" t="s">
        <v>1971</v>
      </c>
      <c r="B1198" s="389" t="s">
        <v>137</v>
      </c>
      <c r="C1198" s="389" t="s">
        <v>10</v>
      </c>
      <c r="D1198" s="389" t="s">
        <v>591</v>
      </c>
      <c r="E1198" s="390" t="s">
        <v>283</v>
      </c>
      <c r="F1198" s="391">
        <v>88238.0</v>
      </c>
      <c r="G1198" s="391">
        <v>19228.0</v>
      </c>
      <c r="H1198" s="391">
        <v>21.79</v>
      </c>
      <c r="I1198" s="391">
        <v>2.98</v>
      </c>
      <c r="J1198" s="391">
        <v>2.89</v>
      </c>
      <c r="K1198" s="391">
        <v>24388.0</v>
      </c>
      <c r="L1198" s="391">
        <v>819602.0</v>
      </c>
      <c r="M1198" s="391">
        <v>0.2764</v>
      </c>
      <c r="N1198" s="38">
        <v>1.2684</v>
      </c>
    </row>
    <row r="1199">
      <c r="A1199" s="389" t="s">
        <v>1971</v>
      </c>
      <c r="B1199" s="389" t="s">
        <v>137</v>
      </c>
      <c r="C1199" s="389" t="s">
        <v>10</v>
      </c>
      <c r="D1199" s="389" t="s">
        <v>591</v>
      </c>
      <c r="E1199" s="390" t="s">
        <v>284</v>
      </c>
      <c r="F1199" s="391">
        <v>88238.0</v>
      </c>
      <c r="G1199" s="391">
        <v>18209.0</v>
      </c>
      <c r="H1199" s="391">
        <v>20.64</v>
      </c>
      <c r="I1199" s="391">
        <v>2.89</v>
      </c>
      <c r="J1199" s="391">
        <v>2.66</v>
      </c>
      <c r="K1199" s="391">
        <v>23697.0</v>
      </c>
      <c r="L1199" s="391">
        <v>819602.0</v>
      </c>
      <c r="M1199" s="391">
        <v>0.2686</v>
      </c>
      <c r="N1199" s="38">
        <v>1.3014</v>
      </c>
    </row>
    <row r="1200">
      <c r="A1200" s="389" t="s">
        <v>1971</v>
      </c>
      <c r="B1200" s="389" t="s">
        <v>137</v>
      </c>
      <c r="C1200" s="389" t="s">
        <v>10</v>
      </c>
      <c r="D1200" s="389" t="s">
        <v>591</v>
      </c>
      <c r="E1200" s="390" t="s">
        <v>35</v>
      </c>
      <c r="F1200" s="391">
        <v>88238.0</v>
      </c>
      <c r="G1200" s="391">
        <v>6559.0</v>
      </c>
      <c r="H1200" s="391">
        <v>7.43</v>
      </c>
      <c r="I1200" s="391">
        <v>2.39</v>
      </c>
      <c r="J1200" s="391">
        <v>1.75</v>
      </c>
      <c r="K1200" s="391">
        <v>19574.0</v>
      </c>
      <c r="L1200" s="391">
        <v>819602.0</v>
      </c>
      <c r="M1200" s="391">
        <v>0.2218</v>
      </c>
      <c r="N1200" s="38">
        <v>2.9843</v>
      </c>
    </row>
    <row r="1201">
      <c r="A1201" s="389" t="s">
        <v>1971</v>
      </c>
      <c r="B1201" s="389" t="s">
        <v>137</v>
      </c>
      <c r="C1201" s="389" t="s">
        <v>10</v>
      </c>
      <c r="D1201" s="389" t="s">
        <v>591</v>
      </c>
      <c r="E1201" s="390" t="s">
        <v>27</v>
      </c>
      <c r="F1201" s="391">
        <v>88238.0</v>
      </c>
      <c r="G1201" s="391">
        <v>4915.0</v>
      </c>
      <c r="H1201" s="391">
        <v>5.57</v>
      </c>
      <c r="I1201" s="391">
        <v>0.61</v>
      </c>
      <c r="J1201" s="391">
        <v>0.58</v>
      </c>
      <c r="K1201" s="391">
        <v>5033.0</v>
      </c>
      <c r="L1201" s="391">
        <v>819602.0</v>
      </c>
      <c r="M1201" s="391">
        <v>0.057</v>
      </c>
      <c r="N1201" s="38">
        <v>1.024</v>
      </c>
    </row>
    <row r="1202">
      <c r="A1202" s="389" t="s">
        <v>1971</v>
      </c>
      <c r="B1202" s="389" t="s">
        <v>137</v>
      </c>
      <c r="C1202" s="389" t="s">
        <v>10</v>
      </c>
      <c r="D1202" s="389" t="s">
        <v>591</v>
      </c>
      <c r="E1202" s="390" t="s">
        <v>38</v>
      </c>
      <c r="F1202" s="391">
        <v>88238.0</v>
      </c>
      <c r="G1202" s="391">
        <v>3042.0</v>
      </c>
      <c r="H1202" s="391">
        <v>3.45</v>
      </c>
      <c r="I1202" s="391">
        <v>0.4</v>
      </c>
      <c r="J1202" s="391">
        <v>0.38</v>
      </c>
      <c r="K1202" s="391">
        <v>3248.0</v>
      </c>
      <c r="L1202" s="391">
        <v>819602.0</v>
      </c>
      <c r="M1202" s="391">
        <v>0.0368</v>
      </c>
      <c r="N1202" s="38">
        <v>1.0677</v>
      </c>
    </row>
    <row r="1203">
      <c r="A1203" s="389" t="s">
        <v>1971</v>
      </c>
      <c r="B1203" s="389" t="s">
        <v>137</v>
      </c>
      <c r="C1203" s="389" t="s">
        <v>10</v>
      </c>
      <c r="D1203" s="389" t="s">
        <v>591</v>
      </c>
      <c r="E1203" s="390" t="s">
        <v>30</v>
      </c>
      <c r="F1203" s="391">
        <v>88238.0</v>
      </c>
      <c r="G1203" s="391">
        <v>419.0</v>
      </c>
      <c r="H1203" s="391">
        <v>0.47</v>
      </c>
      <c r="I1203" s="391">
        <v>0.05</v>
      </c>
      <c r="J1203" s="391">
        <v>0.03</v>
      </c>
      <c r="K1203" s="391">
        <v>432.0</v>
      </c>
      <c r="L1203" s="391">
        <v>819602.0</v>
      </c>
      <c r="M1203" s="391">
        <v>0.0049</v>
      </c>
      <c r="N1203" s="38">
        <v>1.031</v>
      </c>
    </row>
    <row r="1204">
      <c r="A1204" s="389" t="s">
        <v>1971</v>
      </c>
      <c r="B1204" s="389" t="s">
        <v>137</v>
      </c>
      <c r="C1204" s="389" t="s">
        <v>10</v>
      </c>
      <c r="D1204" s="389" t="s">
        <v>591</v>
      </c>
      <c r="E1204" s="390" t="s">
        <v>163</v>
      </c>
      <c r="F1204" s="391">
        <v>88238.0</v>
      </c>
      <c r="G1204" s="391">
        <v>18.0</v>
      </c>
      <c r="H1204" s="391">
        <v>0.02</v>
      </c>
      <c r="I1204" s="391">
        <v>0.0</v>
      </c>
      <c r="J1204" s="391">
        <v>0.0</v>
      </c>
      <c r="K1204" s="391">
        <v>19.0</v>
      </c>
      <c r="L1204" s="391">
        <v>819602.0</v>
      </c>
      <c r="M1204" s="391">
        <v>2.0E-4</v>
      </c>
      <c r="N1204" s="38">
        <v>1.0556</v>
      </c>
    </row>
    <row r="1205">
      <c r="A1205" s="389" t="s">
        <v>1971</v>
      </c>
      <c r="B1205" s="389" t="s">
        <v>137</v>
      </c>
      <c r="C1205" s="389" t="s">
        <v>10</v>
      </c>
      <c r="D1205" s="389" t="s">
        <v>591</v>
      </c>
      <c r="E1205" s="390" t="s">
        <v>367</v>
      </c>
      <c r="F1205" s="391">
        <v>88238.0</v>
      </c>
      <c r="G1205" s="391">
        <v>9.0</v>
      </c>
      <c r="H1205" s="391">
        <v>0.01</v>
      </c>
      <c r="I1205" s="391">
        <v>0.0</v>
      </c>
      <c r="J1205" s="391">
        <v>0.0</v>
      </c>
      <c r="K1205" s="391">
        <v>18.0</v>
      </c>
      <c r="L1205" s="391">
        <v>819602.0</v>
      </c>
      <c r="M1205" s="391">
        <v>2.0E-4</v>
      </c>
      <c r="N1205" s="38">
        <v>2.0</v>
      </c>
    </row>
    <row r="1206">
      <c r="A1206" s="389" t="s">
        <v>1971</v>
      </c>
      <c r="B1206" s="389" t="s">
        <v>137</v>
      </c>
      <c r="C1206" s="389" t="s">
        <v>9</v>
      </c>
      <c r="D1206" s="389" t="s">
        <v>591</v>
      </c>
      <c r="E1206" s="390" t="s">
        <v>370</v>
      </c>
      <c r="F1206" s="391">
        <v>86742.0</v>
      </c>
      <c r="G1206" s="391">
        <v>70403.0</v>
      </c>
      <c r="H1206" s="391">
        <v>81.16</v>
      </c>
      <c r="I1206" s="391">
        <v>31.44</v>
      </c>
      <c r="J1206" s="391">
        <v>34.74</v>
      </c>
      <c r="K1206" s="391">
        <v>258948.0</v>
      </c>
      <c r="L1206" s="391">
        <v>823738.0</v>
      </c>
      <c r="M1206" s="391">
        <v>2.9853</v>
      </c>
      <c r="N1206" s="38">
        <v>3.6781</v>
      </c>
    </row>
    <row r="1207">
      <c r="A1207" s="389" t="s">
        <v>1971</v>
      </c>
      <c r="B1207" s="389" t="s">
        <v>137</v>
      </c>
      <c r="C1207" s="389" t="s">
        <v>9</v>
      </c>
      <c r="D1207" s="389" t="s">
        <v>591</v>
      </c>
      <c r="E1207" s="390" t="s">
        <v>366</v>
      </c>
      <c r="F1207" s="391">
        <v>86742.0</v>
      </c>
      <c r="G1207" s="391">
        <v>42935.0</v>
      </c>
      <c r="H1207" s="391">
        <v>49.5</v>
      </c>
      <c r="I1207" s="391">
        <v>10.9</v>
      </c>
      <c r="J1207" s="391">
        <v>9.56</v>
      </c>
      <c r="K1207" s="391">
        <v>89761.0</v>
      </c>
      <c r="L1207" s="391">
        <v>823738.0</v>
      </c>
      <c r="M1207" s="391">
        <v>1.0348</v>
      </c>
      <c r="N1207" s="38">
        <v>2.0906</v>
      </c>
    </row>
    <row r="1208">
      <c r="A1208" s="389" t="s">
        <v>1971</v>
      </c>
      <c r="B1208" s="389" t="s">
        <v>137</v>
      </c>
      <c r="C1208" s="389" t="s">
        <v>9</v>
      </c>
      <c r="D1208" s="389" t="s">
        <v>591</v>
      </c>
      <c r="E1208" s="390" t="s">
        <v>44</v>
      </c>
      <c r="F1208" s="391">
        <v>86742.0</v>
      </c>
      <c r="G1208" s="391">
        <v>32538.0</v>
      </c>
      <c r="H1208" s="391">
        <v>37.51</v>
      </c>
      <c r="I1208" s="391">
        <v>7.57</v>
      </c>
      <c r="J1208" s="391">
        <v>7.43</v>
      </c>
      <c r="K1208" s="391">
        <v>62350.0</v>
      </c>
      <c r="L1208" s="391">
        <v>823738.0</v>
      </c>
      <c r="M1208" s="391">
        <v>0.7188</v>
      </c>
      <c r="N1208" s="38">
        <v>1.9162</v>
      </c>
    </row>
    <row r="1209">
      <c r="A1209" s="389" t="s">
        <v>1971</v>
      </c>
      <c r="B1209" s="389" t="s">
        <v>137</v>
      </c>
      <c r="C1209" s="389" t="s">
        <v>9</v>
      </c>
      <c r="D1209" s="389" t="s">
        <v>591</v>
      </c>
      <c r="E1209" s="390" t="s">
        <v>365</v>
      </c>
      <c r="F1209" s="391">
        <v>86742.0</v>
      </c>
      <c r="G1209" s="391">
        <v>37707.0</v>
      </c>
      <c r="H1209" s="391">
        <v>43.47</v>
      </c>
      <c r="I1209" s="391">
        <v>6.69</v>
      </c>
      <c r="J1209" s="391">
        <v>8.37</v>
      </c>
      <c r="K1209" s="391">
        <v>55069.0</v>
      </c>
      <c r="L1209" s="391">
        <v>823738.0</v>
      </c>
      <c r="M1209" s="391">
        <v>0.6349</v>
      </c>
      <c r="N1209" s="38">
        <v>1.4604</v>
      </c>
    </row>
    <row r="1210">
      <c r="A1210" s="389" t="s">
        <v>1971</v>
      </c>
      <c r="B1210" s="389" t="s">
        <v>137</v>
      </c>
      <c r="C1210" s="389" t="s">
        <v>9</v>
      </c>
      <c r="D1210" s="389" t="s">
        <v>591</v>
      </c>
      <c r="E1210" s="390" t="s">
        <v>363</v>
      </c>
      <c r="F1210" s="391">
        <v>86742.0</v>
      </c>
      <c r="G1210" s="391">
        <v>16775.0</v>
      </c>
      <c r="H1210" s="391">
        <v>19.34</v>
      </c>
      <c r="I1210" s="391">
        <v>5.95</v>
      </c>
      <c r="J1210" s="391">
        <v>4.06</v>
      </c>
      <c r="K1210" s="391">
        <v>49033.0</v>
      </c>
      <c r="L1210" s="391">
        <v>823738.0</v>
      </c>
      <c r="M1210" s="391">
        <v>0.5653</v>
      </c>
      <c r="N1210" s="38">
        <v>2.923</v>
      </c>
    </row>
    <row r="1211">
      <c r="A1211" s="389" t="s">
        <v>1971</v>
      </c>
      <c r="B1211" s="389" t="s">
        <v>137</v>
      </c>
      <c r="C1211" s="389" t="s">
        <v>9</v>
      </c>
      <c r="D1211" s="389" t="s">
        <v>591</v>
      </c>
      <c r="E1211" s="390" t="s">
        <v>35</v>
      </c>
      <c r="F1211" s="391">
        <v>86742.0</v>
      </c>
      <c r="G1211" s="391">
        <v>23029.0</v>
      </c>
      <c r="H1211" s="391">
        <v>26.55</v>
      </c>
      <c r="I1211" s="391">
        <v>5.28</v>
      </c>
      <c r="J1211" s="391">
        <v>4.98</v>
      </c>
      <c r="K1211" s="391">
        <v>43511.0</v>
      </c>
      <c r="L1211" s="391">
        <v>823738.0</v>
      </c>
      <c r="M1211" s="391">
        <v>0.5016</v>
      </c>
      <c r="N1211" s="38">
        <v>1.8894</v>
      </c>
    </row>
    <row r="1212">
      <c r="A1212" s="389" t="s">
        <v>1971</v>
      </c>
      <c r="B1212" s="389" t="s">
        <v>137</v>
      </c>
      <c r="C1212" s="389" t="s">
        <v>9</v>
      </c>
      <c r="D1212" s="389" t="s">
        <v>591</v>
      </c>
      <c r="E1212" s="390" t="s">
        <v>367</v>
      </c>
      <c r="F1212" s="391">
        <v>86742.0</v>
      </c>
      <c r="G1212" s="391">
        <v>19583.0</v>
      </c>
      <c r="H1212" s="391">
        <v>22.58</v>
      </c>
      <c r="I1212" s="391">
        <v>4.76</v>
      </c>
      <c r="J1212" s="391">
        <v>4.27</v>
      </c>
      <c r="K1212" s="391">
        <v>39249.0</v>
      </c>
      <c r="L1212" s="391">
        <v>823738.0</v>
      </c>
      <c r="M1212" s="391">
        <v>0.4525</v>
      </c>
      <c r="N1212" s="38">
        <v>2.0042</v>
      </c>
    </row>
    <row r="1213">
      <c r="A1213" s="389" t="s">
        <v>1971</v>
      </c>
      <c r="B1213" s="389" t="s">
        <v>137</v>
      </c>
      <c r="C1213" s="389" t="s">
        <v>9</v>
      </c>
      <c r="D1213" s="389" t="s">
        <v>591</v>
      </c>
      <c r="E1213" s="390" t="s">
        <v>369</v>
      </c>
      <c r="F1213" s="391">
        <v>86742.0</v>
      </c>
      <c r="G1213" s="391">
        <v>25263.0</v>
      </c>
      <c r="H1213" s="391">
        <v>29.12</v>
      </c>
      <c r="I1213" s="391">
        <v>4.22</v>
      </c>
      <c r="J1213" s="391">
        <v>4.47</v>
      </c>
      <c r="K1213" s="391">
        <v>34783.0</v>
      </c>
      <c r="L1213" s="391">
        <v>823738.0</v>
      </c>
      <c r="M1213" s="391">
        <v>0.401</v>
      </c>
      <c r="N1213" s="38">
        <v>1.3768</v>
      </c>
    </row>
    <row r="1214">
      <c r="A1214" s="389" t="s">
        <v>1971</v>
      </c>
      <c r="B1214" s="389" t="s">
        <v>137</v>
      </c>
      <c r="C1214" s="389" t="s">
        <v>9</v>
      </c>
      <c r="D1214" s="389" t="s">
        <v>591</v>
      </c>
      <c r="E1214" s="390" t="s">
        <v>39</v>
      </c>
      <c r="F1214" s="391">
        <v>86742.0</v>
      </c>
      <c r="G1214" s="391">
        <v>22815.0</v>
      </c>
      <c r="H1214" s="391">
        <v>26.3</v>
      </c>
      <c r="I1214" s="391">
        <v>4.14</v>
      </c>
      <c r="J1214" s="391">
        <v>2.85</v>
      </c>
      <c r="K1214" s="391">
        <v>34109.0</v>
      </c>
      <c r="L1214" s="391">
        <v>823738.0</v>
      </c>
      <c r="M1214" s="391">
        <v>0.3932</v>
      </c>
      <c r="N1214" s="38">
        <v>1.495</v>
      </c>
    </row>
    <row r="1215">
      <c r="A1215" s="389" t="s">
        <v>1971</v>
      </c>
      <c r="B1215" s="389" t="s">
        <v>137</v>
      </c>
      <c r="C1215" s="389" t="s">
        <v>9</v>
      </c>
      <c r="D1215" s="389" t="s">
        <v>591</v>
      </c>
      <c r="E1215" s="390" t="s">
        <v>45</v>
      </c>
      <c r="F1215" s="391">
        <v>86742.0</v>
      </c>
      <c r="G1215" s="391">
        <v>20636.0</v>
      </c>
      <c r="H1215" s="391">
        <v>23.79</v>
      </c>
      <c r="I1215" s="391">
        <v>3.6</v>
      </c>
      <c r="J1215" s="391">
        <v>3.28</v>
      </c>
      <c r="K1215" s="391">
        <v>29679.0</v>
      </c>
      <c r="L1215" s="391">
        <v>823738.0</v>
      </c>
      <c r="M1215" s="391">
        <v>0.3422</v>
      </c>
      <c r="N1215" s="38">
        <v>1.4382</v>
      </c>
    </row>
    <row r="1216">
      <c r="A1216" s="389" t="s">
        <v>1971</v>
      </c>
      <c r="B1216" s="389" t="s">
        <v>137</v>
      </c>
      <c r="C1216" s="389" t="s">
        <v>9</v>
      </c>
      <c r="D1216" s="389" t="s">
        <v>591</v>
      </c>
      <c r="E1216" s="390" t="s">
        <v>37</v>
      </c>
      <c r="F1216" s="391">
        <v>86742.0</v>
      </c>
      <c r="G1216" s="391">
        <v>18651.0</v>
      </c>
      <c r="H1216" s="391">
        <v>21.5</v>
      </c>
      <c r="I1216" s="391">
        <v>3.11</v>
      </c>
      <c r="J1216" s="391">
        <v>3.48</v>
      </c>
      <c r="K1216" s="391">
        <v>25650.0</v>
      </c>
      <c r="L1216" s="391">
        <v>823738.0</v>
      </c>
      <c r="M1216" s="391">
        <v>0.2957</v>
      </c>
      <c r="N1216" s="38">
        <v>1.3753</v>
      </c>
    </row>
    <row r="1217">
      <c r="A1217" s="389" t="s">
        <v>1971</v>
      </c>
      <c r="B1217" s="389" t="s">
        <v>137</v>
      </c>
      <c r="C1217" s="389" t="s">
        <v>9</v>
      </c>
      <c r="D1217" s="389" t="s">
        <v>591</v>
      </c>
      <c r="E1217" s="390" t="s">
        <v>371</v>
      </c>
      <c r="F1217" s="391">
        <v>86742.0</v>
      </c>
      <c r="G1217" s="391">
        <v>21082.0</v>
      </c>
      <c r="H1217" s="391">
        <v>24.3</v>
      </c>
      <c r="I1217" s="391">
        <v>2.81</v>
      </c>
      <c r="J1217" s="391">
        <v>2.84</v>
      </c>
      <c r="K1217" s="391">
        <v>23163.0</v>
      </c>
      <c r="L1217" s="391">
        <v>823738.0</v>
      </c>
      <c r="M1217" s="391">
        <v>0.267</v>
      </c>
      <c r="N1217" s="38">
        <v>1.0987</v>
      </c>
    </row>
    <row r="1218">
      <c r="A1218" s="389" t="s">
        <v>1971</v>
      </c>
      <c r="B1218" s="389" t="s">
        <v>137</v>
      </c>
      <c r="C1218" s="389" t="s">
        <v>9</v>
      </c>
      <c r="D1218" s="389" t="s">
        <v>591</v>
      </c>
      <c r="E1218" s="390" t="s">
        <v>284</v>
      </c>
      <c r="F1218" s="391">
        <v>86742.0</v>
      </c>
      <c r="G1218" s="391">
        <v>17148.0</v>
      </c>
      <c r="H1218" s="391">
        <v>19.77</v>
      </c>
      <c r="I1218" s="391">
        <v>2.58</v>
      </c>
      <c r="J1218" s="391">
        <v>2.83</v>
      </c>
      <c r="K1218" s="391">
        <v>21244.0</v>
      </c>
      <c r="L1218" s="391">
        <v>823738.0</v>
      </c>
      <c r="M1218" s="391">
        <v>0.2449</v>
      </c>
      <c r="N1218" s="38">
        <v>1.2389</v>
      </c>
    </row>
    <row r="1219">
      <c r="A1219" s="389" t="s">
        <v>1971</v>
      </c>
      <c r="B1219" s="389" t="s">
        <v>137</v>
      </c>
      <c r="C1219" s="389" t="s">
        <v>9</v>
      </c>
      <c r="D1219" s="389" t="s">
        <v>591</v>
      </c>
      <c r="E1219" s="390" t="s">
        <v>282</v>
      </c>
      <c r="F1219" s="391">
        <v>86742.0</v>
      </c>
      <c r="G1219" s="391">
        <v>15363.0</v>
      </c>
      <c r="H1219" s="391">
        <v>17.71</v>
      </c>
      <c r="I1219" s="391">
        <v>2.2</v>
      </c>
      <c r="J1219" s="391">
        <v>2.49</v>
      </c>
      <c r="K1219" s="391">
        <v>18086.0</v>
      </c>
      <c r="L1219" s="391">
        <v>823738.0</v>
      </c>
      <c r="M1219" s="391">
        <v>0.2085</v>
      </c>
      <c r="N1219" s="38">
        <v>1.1772</v>
      </c>
    </row>
    <row r="1220">
      <c r="A1220" s="389" t="s">
        <v>1971</v>
      </c>
      <c r="B1220" s="389" t="s">
        <v>137</v>
      </c>
      <c r="C1220" s="389" t="s">
        <v>9</v>
      </c>
      <c r="D1220" s="389" t="s">
        <v>591</v>
      </c>
      <c r="E1220" s="390" t="s">
        <v>283</v>
      </c>
      <c r="F1220" s="391">
        <v>86742.0</v>
      </c>
      <c r="G1220" s="391">
        <v>14237.0</v>
      </c>
      <c r="H1220" s="391">
        <v>16.41</v>
      </c>
      <c r="I1220" s="391">
        <v>2.03</v>
      </c>
      <c r="J1220" s="391">
        <v>2.29</v>
      </c>
      <c r="K1220" s="391">
        <v>16740.0</v>
      </c>
      <c r="L1220" s="391">
        <v>823738.0</v>
      </c>
      <c r="M1220" s="391">
        <v>0.193</v>
      </c>
      <c r="N1220" s="38">
        <v>1.1758</v>
      </c>
    </row>
    <row r="1221">
      <c r="A1221" s="389" t="s">
        <v>1971</v>
      </c>
      <c r="B1221" s="389" t="s">
        <v>137</v>
      </c>
      <c r="C1221" s="389" t="s">
        <v>9</v>
      </c>
      <c r="D1221" s="389" t="s">
        <v>591</v>
      </c>
      <c r="E1221" s="390" t="s">
        <v>108</v>
      </c>
      <c r="F1221" s="391">
        <v>86742.0</v>
      </c>
      <c r="G1221" s="391">
        <v>7187.0</v>
      </c>
      <c r="H1221" s="391">
        <v>8.29</v>
      </c>
      <c r="I1221" s="391">
        <v>1.57</v>
      </c>
      <c r="J1221" s="391">
        <v>0.96</v>
      </c>
      <c r="K1221" s="391">
        <v>12908.0</v>
      </c>
      <c r="L1221" s="391">
        <v>823738.0</v>
      </c>
      <c r="M1221" s="391">
        <v>0.1488</v>
      </c>
      <c r="N1221" s="38">
        <v>1.796</v>
      </c>
    </row>
    <row r="1222">
      <c r="A1222" s="389" t="s">
        <v>1971</v>
      </c>
      <c r="B1222" s="389" t="s">
        <v>137</v>
      </c>
      <c r="C1222" s="389" t="s">
        <v>9</v>
      </c>
      <c r="D1222" s="389" t="s">
        <v>591</v>
      </c>
      <c r="E1222" s="390" t="s">
        <v>38</v>
      </c>
      <c r="F1222" s="391">
        <v>86742.0</v>
      </c>
      <c r="G1222" s="391">
        <v>4494.0</v>
      </c>
      <c r="H1222" s="391">
        <v>5.18</v>
      </c>
      <c r="I1222" s="391">
        <v>0.58</v>
      </c>
      <c r="J1222" s="391">
        <v>0.62</v>
      </c>
      <c r="K1222" s="391">
        <v>4756.0</v>
      </c>
      <c r="L1222" s="391">
        <v>823738.0</v>
      </c>
      <c r="M1222" s="391">
        <v>0.0548</v>
      </c>
      <c r="N1222" s="38">
        <v>1.0583</v>
      </c>
    </row>
    <row r="1223">
      <c r="A1223" s="389" t="s">
        <v>1971</v>
      </c>
      <c r="B1223" s="389" t="s">
        <v>137</v>
      </c>
      <c r="C1223" s="389" t="s">
        <v>9</v>
      </c>
      <c r="D1223" s="389" t="s">
        <v>591</v>
      </c>
      <c r="E1223" s="390" t="s">
        <v>27</v>
      </c>
      <c r="F1223" s="391">
        <v>86742.0</v>
      </c>
      <c r="G1223" s="391">
        <v>3128.0</v>
      </c>
      <c r="H1223" s="391">
        <v>3.61</v>
      </c>
      <c r="I1223" s="391">
        <v>0.39</v>
      </c>
      <c r="J1223" s="391">
        <v>0.36</v>
      </c>
      <c r="K1223" s="391">
        <v>3210.0</v>
      </c>
      <c r="L1223" s="391">
        <v>823738.0</v>
      </c>
      <c r="M1223" s="391">
        <v>0.037</v>
      </c>
      <c r="N1223" s="38">
        <v>1.0262</v>
      </c>
    </row>
    <row r="1224">
      <c r="A1224" s="389" t="s">
        <v>1971</v>
      </c>
      <c r="B1224" s="389" t="s">
        <v>137</v>
      </c>
      <c r="C1224" s="389" t="s">
        <v>9</v>
      </c>
      <c r="D1224" s="389" t="s">
        <v>591</v>
      </c>
      <c r="E1224" s="390" t="s">
        <v>368</v>
      </c>
      <c r="F1224" s="391">
        <v>86742.0</v>
      </c>
      <c r="G1224" s="391">
        <v>1246.0</v>
      </c>
      <c r="H1224" s="391">
        <v>1.44</v>
      </c>
      <c r="I1224" s="391">
        <v>0.17</v>
      </c>
      <c r="J1224" s="391">
        <v>0.11</v>
      </c>
      <c r="K1224" s="391">
        <v>1366.0</v>
      </c>
      <c r="L1224" s="391">
        <v>823738.0</v>
      </c>
      <c r="M1224" s="391">
        <v>0.0157</v>
      </c>
      <c r="N1224" s="38">
        <v>1.0963</v>
      </c>
    </row>
    <row r="1225">
      <c r="A1225" s="389" t="s">
        <v>1971</v>
      </c>
      <c r="B1225" s="389" t="s">
        <v>137</v>
      </c>
      <c r="C1225" s="389" t="s">
        <v>9</v>
      </c>
      <c r="D1225" s="389" t="s">
        <v>591</v>
      </c>
      <c r="E1225" s="390" t="s">
        <v>163</v>
      </c>
      <c r="F1225" s="391">
        <v>86742.0</v>
      </c>
      <c r="G1225" s="391">
        <v>119.0</v>
      </c>
      <c r="H1225" s="391">
        <v>0.14</v>
      </c>
      <c r="I1225" s="391">
        <v>0.01</v>
      </c>
      <c r="J1225" s="391">
        <v>0.01</v>
      </c>
      <c r="K1225" s="391">
        <v>123.0</v>
      </c>
      <c r="L1225" s="391">
        <v>823738.0</v>
      </c>
      <c r="M1225" s="391">
        <v>0.0014</v>
      </c>
      <c r="N1225" s="38">
        <v>1.0336</v>
      </c>
    </row>
    <row r="1226">
      <c r="A1226" s="389" t="s">
        <v>1971</v>
      </c>
      <c r="B1226" s="389" t="s">
        <v>137</v>
      </c>
      <c r="C1226" s="389" t="s">
        <v>358</v>
      </c>
      <c r="D1226" s="389" t="s">
        <v>1968</v>
      </c>
      <c r="E1226" s="390" t="s">
        <v>368</v>
      </c>
      <c r="F1226" s="391">
        <v>39371.0</v>
      </c>
      <c r="G1226" s="391">
        <v>27716.0</v>
      </c>
      <c r="H1226" s="391">
        <v>70.4</v>
      </c>
      <c r="I1226" s="391">
        <v>35.58</v>
      </c>
      <c r="J1226" s="391">
        <v>48.34</v>
      </c>
      <c r="K1226" s="391">
        <v>377655.0</v>
      </c>
      <c r="L1226" s="391">
        <v>1061420.0</v>
      </c>
      <c r="M1226" s="391">
        <v>9.5922</v>
      </c>
      <c r="N1226" s="38">
        <v>13.6259</v>
      </c>
    </row>
    <row r="1227">
      <c r="A1227" s="389" t="s">
        <v>1971</v>
      </c>
      <c r="B1227" s="389" t="s">
        <v>137</v>
      </c>
      <c r="C1227" s="389" t="s">
        <v>358</v>
      </c>
      <c r="D1227" s="389" t="s">
        <v>1968</v>
      </c>
      <c r="E1227" s="390" t="s">
        <v>366</v>
      </c>
      <c r="F1227" s="391">
        <v>39371.0</v>
      </c>
      <c r="G1227" s="391">
        <v>9442.0</v>
      </c>
      <c r="H1227" s="391">
        <v>23.98</v>
      </c>
      <c r="I1227" s="391">
        <v>27.25</v>
      </c>
      <c r="J1227" s="391">
        <v>15.77</v>
      </c>
      <c r="K1227" s="391">
        <v>289290.0</v>
      </c>
      <c r="L1227" s="391">
        <v>1061420.0</v>
      </c>
      <c r="M1227" s="391">
        <v>7.3478</v>
      </c>
      <c r="N1227" s="38">
        <v>30.6386</v>
      </c>
    </row>
    <row r="1228">
      <c r="A1228" s="389" t="s">
        <v>1971</v>
      </c>
      <c r="B1228" s="389" t="s">
        <v>137</v>
      </c>
      <c r="C1228" s="389" t="s">
        <v>358</v>
      </c>
      <c r="D1228" s="389" t="s">
        <v>1968</v>
      </c>
      <c r="E1228" s="390" t="s">
        <v>108</v>
      </c>
      <c r="F1228" s="391">
        <v>39371.0</v>
      </c>
      <c r="G1228" s="391">
        <v>9607.0</v>
      </c>
      <c r="H1228" s="391">
        <v>24.4</v>
      </c>
      <c r="I1228" s="391">
        <v>20.11</v>
      </c>
      <c r="J1228" s="391">
        <v>16.52</v>
      </c>
      <c r="K1228" s="391">
        <v>213420.0</v>
      </c>
      <c r="L1228" s="391">
        <v>1061420.0</v>
      </c>
      <c r="M1228" s="391">
        <v>5.4207</v>
      </c>
      <c r="N1228" s="38">
        <v>22.2151</v>
      </c>
    </row>
    <row r="1229">
      <c r="A1229" s="389" t="s">
        <v>1971</v>
      </c>
      <c r="B1229" s="389" t="s">
        <v>137</v>
      </c>
      <c r="C1229" s="389" t="s">
        <v>358</v>
      </c>
      <c r="D1229" s="389" t="s">
        <v>1968</v>
      </c>
      <c r="E1229" s="390" t="s">
        <v>163</v>
      </c>
      <c r="F1229" s="391">
        <v>39371.0</v>
      </c>
      <c r="G1229" s="391">
        <v>11886.0</v>
      </c>
      <c r="H1229" s="391">
        <v>30.19</v>
      </c>
      <c r="I1229" s="391">
        <v>11.72</v>
      </c>
      <c r="J1229" s="391">
        <v>14.93</v>
      </c>
      <c r="K1229" s="391">
        <v>124440.0</v>
      </c>
      <c r="L1229" s="391">
        <v>1061420.0</v>
      </c>
      <c r="M1229" s="391">
        <v>3.1607</v>
      </c>
      <c r="N1229" s="38">
        <v>10.4695</v>
      </c>
    </row>
    <row r="1230">
      <c r="A1230" s="389" t="s">
        <v>1971</v>
      </c>
      <c r="B1230" s="389" t="s">
        <v>137</v>
      </c>
      <c r="C1230" s="389" t="s">
        <v>358</v>
      </c>
      <c r="D1230" s="389" t="s">
        <v>1968</v>
      </c>
      <c r="E1230" s="390" t="s">
        <v>369</v>
      </c>
      <c r="F1230" s="391">
        <v>39371.0</v>
      </c>
      <c r="G1230" s="391">
        <v>1235.0</v>
      </c>
      <c r="H1230" s="391">
        <v>3.14</v>
      </c>
      <c r="I1230" s="391">
        <v>3.68</v>
      </c>
      <c r="J1230" s="391">
        <v>2.95</v>
      </c>
      <c r="K1230" s="391">
        <v>39030.0</v>
      </c>
      <c r="L1230" s="391">
        <v>1061420.0</v>
      </c>
      <c r="M1230" s="391">
        <v>0.9913</v>
      </c>
      <c r="N1230" s="38">
        <v>31.6032</v>
      </c>
    </row>
    <row r="1231">
      <c r="A1231" s="389" t="s">
        <v>1971</v>
      </c>
      <c r="B1231" s="389" t="s">
        <v>137</v>
      </c>
      <c r="C1231" s="389" t="s">
        <v>358</v>
      </c>
      <c r="D1231" s="389" t="s">
        <v>1968</v>
      </c>
      <c r="E1231" s="390" t="s">
        <v>30</v>
      </c>
      <c r="F1231" s="391">
        <v>39371.0</v>
      </c>
      <c r="G1231" s="391">
        <v>1067.0</v>
      </c>
      <c r="H1231" s="391">
        <v>2.71</v>
      </c>
      <c r="I1231" s="391">
        <v>1.52</v>
      </c>
      <c r="J1231" s="391">
        <v>1.18</v>
      </c>
      <c r="K1231" s="391">
        <v>16110.0</v>
      </c>
      <c r="L1231" s="391">
        <v>1061420.0</v>
      </c>
      <c r="M1231" s="391">
        <v>0.4092</v>
      </c>
      <c r="N1231" s="38">
        <v>15.0984</v>
      </c>
    </row>
    <row r="1232">
      <c r="A1232" s="389" t="s">
        <v>1971</v>
      </c>
      <c r="B1232" s="389" t="s">
        <v>137</v>
      </c>
      <c r="C1232" s="389" t="s">
        <v>358</v>
      </c>
      <c r="D1232" s="389" t="s">
        <v>1968</v>
      </c>
      <c r="E1232" s="390" t="s">
        <v>371</v>
      </c>
      <c r="F1232" s="391">
        <v>39371.0</v>
      </c>
      <c r="G1232" s="391">
        <v>129.0</v>
      </c>
      <c r="H1232" s="391">
        <v>0.33</v>
      </c>
      <c r="I1232" s="391">
        <v>0.13</v>
      </c>
      <c r="J1232" s="391">
        <v>0.3</v>
      </c>
      <c r="K1232" s="391">
        <v>1420.0</v>
      </c>
      <c r="L1232" s="391">
        <v>1061420.0</v>
      </c>
      <c r="M1232" s="391">
        <v>0.0361</v>
      </c>
      <c r="N1232" s="38">
        <v>11.0078</v>
      </c>
    </row>
    <row r="1233">
      <c r="A1233" s="389" t="s">
        <v>1971</v>
      </c>
      <c r="B1233" s="389" t="s">
        <v>137</v>
      </c>
      <c r="C1233" s="389" t="s">
        <v>358</v>
      </c>
      <c r="D1233" s="389" t="s">
        <v>1968</v>
      </c>
      <c r="E1233" s="390" t="s">
        <v>49</v>
      </c>
      <c r="F1233" s="391">
        <v>39371.0</v>
      </c>
      <c r="G1233" s="391">
        <v>1.0</v>
      </c>
      <c r="H1233" s="391">
        <v>0.0</v>
      </c>
      <c r="I1233" s="391">
        <v>0.0</v>
      </c>
      <c r="J1233" s="391">
        <v>0.0</v>
      </c>
      <c r="K1233" s="391">
        <v>30.0</v>
      </c>
      <c r="L1233" s="391">
        <v>1061420.0</v>
      </c>
      <c r="M1233" s="391">
        <v>8.0E-4</v>
      </c>
      <c r="N1233" s="38">
        <v>30.0</v>
      </c>
    </row>
    <row r="1234">
      <c r="A1234" s="389" t="s">
        <v>1971</v>
      </c>
      <c r="B1234" s="389" t="s">
        <v>137</v>
      </c>
      <c r="C1234" s="389" t="s">
        <v>358</v>
      </c>
      <c r="D1234" s="389" t="s">
        <v>1968</v>
      </c>
      <c r="E1234" s="390" t="s">
        <v>41</v>
      </c>
      <c r="F1234" s="391">
        <v>39371.0</v>
      </c>
      <c r="G1234" s="391">
        <v>1.0</v>
      </c>
      <c r="H1234" s="391">
        <v>0.0</v>
      </c>
      <c r="I1234" s="391">
        <v>0.0</v>
      </c>
      <c r="J1234" s="391">
        <v>0.0</v>
      </c>
      <c r="K1234" s="391">
        <v>15.0</v>
      </c>
      <c r="L1234" s="391">
        <v>1061420.0</v>
      </c>
      <c r="M1234" s="391">
        <v>4.0E-4</v>
      </c>
      <c r="N1234" s="38">
        <v>15.0</v>
      </c>
    </row>
    <row r="1235">
      <c r="A1235" s="389" t="s">
        <v>1971</v>
      </c>
      <c r="B1235" s="389" t="s">
        <v>137</v>
      </c>
      <c r="C1235" s="389" t="s">
        <v>358</v>
      </c>
      <c r="D1235" s="389" t="s">
        <v>1968</v>
      </c>
      <c r="E1235" s="390" t="s">
        <v>367</v>
      </c>
      <c r="F1235" s="391">
        <v>39371.0</v>
      </c>
      <c r="G1235" s="391">
        <v>1.0</v>
      </c>
      <c r="H1235" s="391">
        <v>0.0</v>
      </c>
      <c r="I1235" s="391">
        <v>0.0</v>
      </c>
      <c r="J1235" s="391">
        <v>0.0</v>
      </c>
      <c r="K1235" s="391">
        <v>10.0</v>
      </c>
      <c r="L1235" s="391">
        <v>1061420.0</v>
      </c>
      <c r="M1235" s="391">
        <v>3.0E-4</v>
      </c>
      <c r="N1235" s="38">
        <v>10.0</v>
      </c>
    </row>
    <row r="1236">
      <c r="A1236" s="389" t="s">
        <v>1971</v>
      </c>
      <c r="B1236" s="389" t="s">
        <v>137</v>
      </c>
      <c r="C1236" s="389" t="s">
        <v>359</v>
      </c>
      <c r="D1236" s="389" t="s">
        <v>1968</v>
      </c>
      <c r="E1236" s="390" t="s">
        <v>371</v>
      </c>
      <c r="F1236" s="391">
        <v>70046.0</v>
      </c>
      <c r="G1236" s="391">
        <v>42758.0</v>
      </c>
      <c r="H1236" s="391">
        <v>61.04</v>
      </c>
      <c r="I1236" s="391">
        <v>28.9</v>
      </c>
      <c r="J1236" s="391">
        <v>38.66</v>
      </c>
      <c r="K1236" s="391">
        <v>739585.0</v>
      </c>
      <c r="L1236" s="391">
        <v>2559445.0</v>
      </c>
      <c r="M1236" s="391">
        <v>10.5586</v>
      </c>
      <c r="N1236" s="38">
        <v>17.297</v>
      </c>
    </row>
    <row r="1237">
      <c r="A1237" s="389" t="s">
        <v>1971</v>
      </c>
      <c r="B1237" s="389" t="s">
        <v>137</v>
      </c>
      <c r="C1237" s="389" t="s">
        <v>359</v>
      </c>
      <c r="D1237" s="389" t="s">
        <v>1968</v>
      </c>
      <c r="E1237" s="390" t="s">
        <v>366</v>
      </c>
      <c r="F1237" s="391">
        <v>70046.0</v>
      </c>
      <c r="G1237" s="391">
        <v>9579.0</v>
      </c>
      <c r="H1237" s="391">
        <v>13.68</v>
      </c>
      <c r="I1237" s="391">
        <v>22.92</v>
      </c>
      <c r="J1237" s="391">
        <v>8.9</v>
      </c>
      <c r="K1237" s="391">
        <v>586620.0</v>
      </c>
      <c r="L1237" s="391">
        <v>2559445.0</v>
      </c>
      <c r="M1237" s="391">
        <v>8.3748</v>
      </c>
      <c r="N1237" s="38">
        <v>61.2402</v>
      </c>
    </row>
    <row r="1238">
      <c r="A1238" s="389" t="s">
        <v>1971</v>
      </c>
      <c r="B1238" s="389" t="s">
        <v>137</v>
      </c>
      <c r="C1238" s="389" t="s">
        <v>359</v>
      </c>
      <c r="D1238" s="389" t="s">
        <v>1968</v>
      </c>
      <c r="E1238" s="390" t="s">
        <v>368</v>
      </c>
      <c r="F1238" s="391">
        <v>70046.0</v>
      </c>
      <c r="G1238" s="391">
        <v>39543.0</v>
      </c>
      <c r="H1238" s="391">
        <v>56.45</v>
      </c>
      <c r="I1238" s="391">
        <v>22.01</v>
      </c>
      <c r="J1238" s="391">
        <v>26.93</v>
      </c>
      <c r="K1238" s="391">
        <v>563250.0</v>
      </c>
      <c r="L1238" s="391">
        <v>2559445.0</v>
      </c>
      <c r="M1238" s="391">
        <v>8.0411</v>
      </c>
      <c r="N1238" s="38">
        <v>14.244</v>
      </c>
    </row>
    <row r="1239">
      <c r="A1239" s="389" t="s">
        <v>1971</v>
      </c>
      <c r="B1239" s="389" t="s">
        <v>137</v>
      </c>
      <c r="C1239" s="389" t="s">
        <v>359</v>
      </c>
      <c r="D1239" s="389" t="s">
        <v>1968</v>
      </c>
      <c r="E1239" s="390" t="s">
        <v>108</v>
      </c>
      <c r="F1239" s="391">
        <v>70046.0</v>
      </c>
      <c r="G1239" s="391">
        <v>12500.0</v>
      </c>
      <c r="H1239" s="391">
        <v>17.85</v>
      </c>
      <c r="I1239" s="391">
        <v>8.99</v>
      </c>
      <c r="J1239" s="391">
        <v>7.45</v>
      </c>
      <c r="K1239" s="391">
        <v>229995.0</v>
      </c>
      <c r="L1239" s="391">
        <v>2559445.0</v>
      </c>
      <c r="M1239" s="391">
        <v>3.2835</v>
      </c>
      <c r="N1239" s="38">
        <v>18.3996</v>
      </c>
    </row>
    <row r="1240">
      <c r="A1240" s="389" t="s">
        <v>1971</v>
      </c>
      <c r="B1240" s="389" t="s">
        <v>137</v>
      </c>
      <c r="C1240" s="389" t="s">
        <v>359</v>
      </c>
      <c r="D1240" s="389" t="s">
        <v>1968</v>
      </c>
      <c r="E1240" s="390" t="s">
        <v>163</v>
      </c>
      <c r="F1240" s="391">
        <v>70046.0</v>
      </c>
      <c r="G1240" s="391">
        <v>18271.0</v>
      </c>
      <c r="H1240" s="391">
        <v>26.08</v>
      </c>
      <c r="I1240" s="391">
        <v>7.68</v>
      </c>
      <c r="J1240" s="391">
        <v>9.81</v>
      </c>
      <c r="K1240" s="391">
        <v>196495.0</v>
      </c>
      <c r="L1240" s="391">
        <v>2559445.0</v>
      </c>
      <c r="M1240" s="391">
        <v>2.8052</v>
      </c>
      <c r="N1240" s="38">
        <v>10.7545</v>
      </c>
    </row>
    <row r="1241">
      <c r="A1241" s="389" t="s">
        <v>1971</v>
      </c>
      <c r="B1241" s="389" t="s">
        <v>137</v>
      </c>
      <c r="C1241" s="389" t="s">
        <v>359</v>
      </c>
      <c r="D1241" s="389" t="s">
        <v>1968</v>
      </c>
      <c r="E1241" s="390" t="s">
        <v>39</v>
      </c>
      <c r="F1241" s="391">
        <v>70046.0</v>
      </c>
      <c r="G1241" s="391">
        <v>10796.0</v>
      </c>
      <c r="H1241" s="391">
        <v>15.41</v>
      </c>
      <c r="I1241" s="391">
        <v>5.41</v>
      </c>
      <c r="J1241" s="391">
        <v>4.93</v>
      </c>
      <c r="K1241" s="391">
        <v>138470.0</v>
      </c>
      <c r="L1241" s="391">
        <v>2559445.0</v>
      </c>
      <c r="M1241" s="391">
        <v>1.9768</v>
      </c>
      <c r="N1241" s="38">
        <v>12.826</v>
      </c>
    </row>
    <row r="1242">
      <c r="A1242" s="389" t="s">
        <v>1971</v>
      </c>
      <c r="B1242" s="389" t="s">
        <v>137</v>
      </c>
      <c r="C1242" s="389" t="s">
        <v>359</v>
      </c>
      <c r="D1242" s="389" t="s">
        <v>1968</v>
      </c>
      <c r="E1242" s="390" t="s">
        <v>30</v>
      </c>
      <c r="F1242" s="391">
        <v>70046.0</v>
      </c>
      <c r="G1242" s="391">
        <v>4352.0</v>
      </c>
      <c r="H1242" s="391">
        <v>6.21</v>
      </c>
      <c r="I1242" s="391">
        <v>2.57</v>
      </c>
      <c r="J1242" s="391">
        <v>2.06</v>
      </c>
      <c r="K1242" s="391">
        <v>65775.0</v>
      </c>
      <c r="L1242" s="391">
        <v>2559445.0</v>
      </c>
      <c r="M1242" s="391">
        <v>0.939</v>
      </c>
      <c r="N1242" s="38">
        <v>15.1137</v>
      </c>
    </row>
    <row r="1243">
      <c r="A1243" s="389" t="s">
        <v>1971</v>
      </c>
      <c r="B1243" s="389" t="s">
        <v>137</v>
      </c>
      <c r="C1243" s="389" t="s">
        <v>359</v>
      </c>
      <c r="D1243" s="389" t="s">
        <v>1968</v>
      </c>
      <c r="E1243" s="390" t="s">
        <v>369</v>
      </c>
      <c r="F1243" s="391">
        <v>70046.0</v>
      </c>
      <c r="G1243" s="391">
        <v>1236.0</v>
      </c>
      <c r="H1243" s="391">
        <v>1.76</v>
      </c>
      <c r="I1243" s="391">
        <v>1.53</v>
      </c>
      <c r="J1243" s="391">
        <v>1.25</v>
      </c>
      <c r="K1243" s="391">
        <v>39100.0</v>
      </c>
      <c r="L1243" s="391">
        <v>2559445.0</v>
      </c>
      <c r="M1243" s="391">
        <v>0.5582</v>
      </c>
      <c r="N1243" s="38">
        <v>31.6343</v>
      </c>
    </row>
    <row r="1244">
      <c r="A1244" s="389" t="s">
        <v>1971</v>
      </c>
      <c r="B1244" s="389" t="s">
        <v>137</v>
      </c>
      <c r="C1244" s="389" t="s">
        <v>359</v>
      </c>
      <c r="D1244" s="389" t="s">
        <v>1968</v>
      </c>
      <c r="E1244" s="390" t="s">
        <v>41</v>
      </c>
      <c r="F1244" s="391">
        <v>70046.0</v>
      </c>
      <c r="G1244" s="391">
        <v>2.0</v>
      </c>
      <c r="H1244" s="391">
        <v>0.0</v>
      </c>
      <c r="I1244" s="391">
        <v>0.0</v>
      </c>
      <c r="J1244" s="391">
        <v>0.0</v>
      </c>
      <c r="K1244" s="391">
        <v>30.0</v>
      </c>
      <c r="L1244" s="391">
        <v>2559445.0</v>
      </c>
      <c r="M1244" s="391">
        <v>4.0E-4</v>
      </c>
      <c r="N1244" s="38">
        <v>15.0</v>
      </c>
    </row>
    <row r="1245">
      <c r="A1245" s="389" t="s">
        <v>1971</v>
      </c>
      <c r="B1245" s="389" t="s">
        <v>137</v>
      </c>
      <c r="C1245" s="389" t="s">
        <v>359</v>
      </c>
      <c r="D1245" s="389" t="s">
        <v>1968</v>
      </c>
      <c r="E1245" s="390" t="s">
        <v>367</v>
      </c>
      <c r="F1245" s="391">
        <v>70046.0</v>
      </c>
      <c r="G1245" s="391">
        <v>7.0</v>
      </c>
      <c r="H1245" s="391">
        <v>0.01</v>
      </c>
      <c r="I1245" s="391">
        <v>0.0</v>
      </c>
      <c r="J1245" s="391">
        <v>0.01</v>
      </c>
      <c r="K1245" s="391">
        <v>80.0</v>
      </c>
      <c r="L1245" s="391">
        <v>2559445.0</v>
      </c>
      <c r="M1245" s="391">
        <v>0.0011</v>
      </c>
      <c r="N1245" s="38">
        <v>11.4286</v>
      </c>
    </row>
    <row r="1246">
      <c r="A1246" s="389" t="s">
        <v>1971</v>
      </c>
      <c r="B1246" s="389" t="s">
        <v>137</v>
      </c>
      <c r="C1246" s="389" t="s">
        <v>359</v>
      </c>
      <c r="D1246" s="389" t="s">
        <v>1968</v>
      </c>
      <c r="E1246" s="390" t="s">
        <v>35</v>
      </c>
      <c r="F1246" s="391">
        <v>70046.0</v>
      </c>
      <c r="G1246" s="391">
        <v>1.0</v>
      </c>
      <c r="H1246" s="391">
        <v>0.0</v>
      </c>
      <c r="I1246" s="391">
        <v>0.0</v>
      </c>
      <c r="J1246" s="391">
        <v>0.0</v>
      </c>
      <c r="K1246" s="391">
        <v>15.0</v>
      </c>
      <c r="L1246" s="391">
        <v>2559445.0</v>
      </c>
      <c r="M1246" s="391">
        <v>2.0E-4</v>
      </c>
      <c r="N1246" s="38">
        <v>15.0</v>
      </c>
    </row>
    <row r="1247">
      <c r="A1247" s="389" t="s">
        <v>1971</v>
      </c>
      <c r="B1247" s="389" t="s">
        <v>137</v>
      </c>
      <c r="C1247" s="389" t="s">
        <v>359</v>
      </c>
      <c r="D1247" s="389" t="s">
        <v>1968</v>
      </c>
      <c r="E1247" s="390" t="s">
        <v>370</v>
      </c>
      <c r="F1247" s="391">
        <v>70046.0</v>
      </c>
      <c r="G1247" s="391">
        <v>1.0</v>
      </c>
      <c r="H1247" s="391">
        <v>0.0</v>
      </c>
      <c r="I1247" s="391">
        <v>0.0</v>
      </c>
      <c r="J1247" s="391">
        <v>0.0</v>
      </c>
      <c r="K1247" s="391">
        <v>30.0</v>
      </c>
      <c r="L1247" s="391">
        <v>2559445.0</v>
      </c>
      <c r="M1247" s="391">
        <v>4.0E-4</v>
      </c>
      <c r="N1247" s="38">
        <v>30.0</v>
      </c>
    </row>
    <row r="1248">
      <c r="A1248" s="389" t="s">
        <v>1971</v>
      </c>
      <c r="B1248" s="389" t="s">
        <v>137</v>
      </c>
      <c r="C1248" s="389" t="s">
        <v>360</v>
      </c>
      <c r="D1248" s="389" t="s">
        <v>1968</v>
      </c>
      <c r="E1248" s="390" t="s">
        <v>371</v>
      </c>
      <c r="F1248" s="391">
        <v>79090.0</v>
      </c>
      <c r="G1248" s="391">
        <v>60857.0</v>
      </c>
      <c r="H1248" s="391">
        <v>76.95</v>
      </c>
      <c r="I1248" s="391">
        <v>35.21</v>
      </c>
      <c r="J1248" s="391">
        <v>46.75</v>
      </c>
      <c r="K1248" s="391">
        <v>1301240.0</v>
      </c>
      <c r="L1248" s="391">
        <v>3695680.0</v>
      </c>
      <c r="M1248" s="391">
        <v>16.4526</v>
      </c>
      <c r="N1248" s="38">
        <v>21.3819</v>
      </c>
    </row>
    <row r="1249">
      <c r="A1249" s="389" t="s">
        <v>1971</v>
      </c>
      <c r="B1249" s="389" t="s">
        <v>137</v>
      </c>
      <c r="C1249" s="389" t="s">
        <v>360</v>
      </c>
      <c r="D1249" s="389" t="s">
        <v>1968</v>
      </c>
      <c r="E1249" s="390" t="s">
        <v>368</v>
      </c>
      <c r="F1249" s="391">
        <v>79090.0</v>
      </c>
      <c r="G1249" s="391">
        <v>43766.0</v>
      </c>
      <c r="H1249" s="391">
        <v>55.34</v>
      </c>
      <c r="I1249" s="391">
        <v>21.92</v>
      </c>
      <c r="J1249" s="391">
        <v>22.91</v>
      </c>
      <c r="K1249" s="391">
        <v>810130.0</v>
      </c>
      <c r="L1249" s="391">
        <v>3695680.0</v>
      </c>
      <c r="M1249" s="391">
        <v>10.2431</v>
      </c>
      <c r="N1249" s="38">
        <v>18.5105</v>
      </c>
    </row>
    <row r="1250">
      <c r="A1250" s="389" t="s">
        <v>1971</v>
      </c>
      <c r="B1250" s="389" t="s">
        <v>137</v>
      </c>
      <c r="C1250" s="389" t="s">
        <v>360</v>
      </c>
      <c r="D1250" s="389" t="s">
        <v>1968</v>
      </c>
      <c r="E1250" s="390" t="s">
        <v>366</v>
      </c>
      <c r="F1250" s="391">
        <v>79090.0</v>
      </c>
      <c r="G1250" s="391">
        <v>9316.0</v>
      </c>
      <c r="H1250" s="391">
        <v>11.78</v>
      </c>
      <c r="I1250" s="391">
        <v>15.52</v>
      </c>
      <c r="J1250" s="391">
        <v>6.17</v>
      </c>
      <c r="K1250" s="391">
        <v>573510.0</v>
      </c>
      <c r="L1250" s="391">
        <v>3695680.0</v>
      </c>
      <c r="M1250" s="391">
        <v>7.2514</v>
      </c>
      <c r="N1250" s="38">
        <v>61.5618</v>
      </c>
    </row>
    <row r="1251">
      <c r="A1251" s="389" t="s">
        <v>1971</v>
      </c>
      <c r="B1251" s="389" t="s">
        <v>137</v>
      </c>
      <c r="C1251" s="389" t="s">
        <v>360</v>
      </c>
      <c r="D1251" s="389" t="s">
        <v>1968</v>
      </c>
      <c r="E1251" s="390" t="s">
        <v>39</v>
      </c>
      <c r="F1251" s="391">
        <v>79090.0</v>
      </c>
      <c r="G1251" s="391">
        <v>22815.0</v>
      </c>
      <c r="H1251" s="391">
        <v>28.85</v>
      </c>
      <c r="I1251" s="391">
        <v>9.17</v>
      </c>
      <c r="J1251" s="391">
        <v>8.05</v>
      </c>
      <c r="K1251" s="391">
        <v>338980.0</v>
      </c>
      <c r="L1251" s="391">
        <v>3695680.0</v>
      </c>
      <c r="M1251" s="391">
        <v>4.286</v>
      </c>
      <c r="N1251" s="38">
        <v>14.8578</v>
      </c>
    </row>
    <row r="1252">
      <c r="A1252" s="389" t="s">
        <v>1971</v>
      </c>
      <c r="B1252" s="389" t="s">
        <v>137</v>
      </c>
      <c r="C1252" s="389" t="s">
        <v>360</v>
      </c>
      <c r="D1252" s="389" t="s">
        <v>1968</v>
      </c>
      <c r="E1252" s="390" t="s">
        <v>163</v>
      </c>
      <c r="F1252" s="391">
        <v>79090.0</v>
      </c>
      <c r="G1252" s="391">
        <v>20051.0</v>
      </c>
      <c r="H1252" s="391">
        <v>25.35</v>
      </c>
      <c r="I1252" s="391">
        <v>6.91</v>
      </c>
      <c r="J1252" s="391">
        <v>7.79</v>
      </c>
      <c r="K1252" s="391">
        <v>255350.0</v>
      </c>
      <c r="L1252" s="391">
        <v>3695680.0</v>
      </c>
      <c r="M1252" s="391">
        <v>3.2286</v>
      </c>
      <c r="N1252" s="38">
        <v>12.735</v>
      </c>
    </row>
    <row r="1253">
      <c r="A1253" s="389" t="s">
        <v>1971</v>
      </c>
      <c r="B1253" s="389" t="s">
        <v>137</v>
      </c>
      <c r="C1253" s="389" t="s">
        <v>360</v>
      </c>
      <c r="D1253" s="389" t="s">
        <v>1968</v>
      </c>
      <c r="E1253" s="390" t="s">
        <v>108</v>
      </c>
      <c r="F1253" s="391">
        <v>79090.0</v>
      </c>
      <c r="G1253" s="391">
        <v>9843.0</v>
      </c>
      <c r="H1253" s="391">
        <v>12.45</v>
      </c>
      <c r="I1253" s="391">
        <v>6.6</v>
      </c>
      <c r="J1253" s="391">
        <v>4.23</v>
      </c>
      <c r="K1253" s="391">
        <v>243925.0</v>
      </c>
      <c r="L1253" s="391">
        <v>3695680.0</v>
      </c>
      <c r="M1253" s="391">
        <v>3.0841</v>
      </c>
      <c r="N1253" s="38">
        <v>24.7816</v>
      </c>
    </row>
    <row r="1254">
      <c r="A1254" s="389" t="s">
        <v>1971</v>
      </c>
      <c r="B1254" s="389" t="s">
        <v>137</v>
      </c>
      <c r="C1254" s="389" t="s">
        <v>360</v>
      </c>
      <c r="D1254" s="389" t="s">
        <v>1968</v>
      </c>
      <c r="E1254" s="390" t="s">
        <v>30</v>
      </c>
      <c r="F1254" s="391">
        <v>79090.0</v>
      </c>
      <c r="G1254" s="391">
        <v>8806.0</v>
      </c>
      <c r="H1254" s="391">
        <v>11.13</v>
      </c>
      <c r="I1254" s="391">
        <v>3.6</v>
      </c>
      <c r="J1254" s="391">
        <v>3.05</v>
      </c>
      <c r="K1254" s="391">
        <v>133050.0</v>
      </c>
      <c r="L1254" s="391">
        <v>3695680.0</v>
      </c>
      <c r="M1254" s="391">
        <v>1.6823</v>
      </c>
      <c r="N1254" s="38">
        <v>15.109</v>
      </c>
    </row>
    <row r="1255">
      <c r="A1255" s="389" t="s">
        <v>1971</v>
      </c>
      <c r="B1255" s="389" t="s">
        <v>137</v>
      </c>
      <c r="C1255" s="389" t="s">
        <v>360</v>
      </c>
      <c r="D1255" s="389" t="s">
        <v>1968</v>
      </c>
      <c r="E1255" s="390" t="s">
        <v>369</v>
      </c>
      <c r="F1255" s="391">
        <v>79090.0</v>
      </c>
      <c r="G1255" s="391">
        <v>1248.0</v>
      </c>
      <c r="H1255" s="391">
        <v>1.58</v>
      </c>
      <c r="I1255" s="391">
        <v>1.06</v>
      </c>
      <c r="J1255" s="391">
        <v>1.04</v>
      </c>
      <c r="K1255" s="391">
        <v>39285.0</v>
      </c>
      <c r="L1255" s="391">
        <v>3695680.0</v>
      </c>
      <c r="M1255" s="391">
        <v>0.4967</v>
      </c>
      <c r="N1255" s="38">
        <v>31.4784</v>
      </c>
    </row>
    <row r="1256">
      <c r="A1256" s="389" t="s">
        <v>1971</v>
      </c>
      <c r="B1256" s="389" t="s">
        <v>137</v>
      </c>
      <c r="C1256" s="389" t="s">
        <v>360</v>
      </c>
      <c r="D1256" s="389" t="s">
        <v>1968</v>
      </c>
      <c r="E1256" s="390" t="s">
        <v>372</v>
      </c>
      <c r="F1256" s="391">
        <v>79090.0</v>
      </c>
      <c r="G1256" s="391">
        <v>5.0</v>
      </c>
      <c r="H1256" s="391">
        <v>0.01</v>
      </c>
      <c r="I1256" s="391">
        <v>0.0</v>
      </c>
      <c r="J1256" s="391">
        <v>0.0</v>
      </c>
      <c r="K1256" s="391">
        <v>80.0</v>
      </c>
      <c r="L1256" s="391">
        <v>3695680.0</v>
      </c>
      <c r="M1256" s="391">
        <v>0.001</v>
      </c>
      <c r="N1256" s="38">
        <v>16.0</v>
      </c>
    </row>
    <row r="1257">
      <c r="A1257" s="389" t="s">
        <v>1971</v>
      </c>
      <c r="B1257" s="389" t="s">
        <v>137</v>
      </c>
      <c r="C1257" s="389" t="s">
        <v>360</v>
      </c>
      <c r="D1257" s="389" t="s">
        <v>1968</v>
      </c>
      <c r="E1257" s="390" t="s">
        <v>367</v>
      </c>
      <c r="F1257" s="391">
        <v>79090.0</v>
      </c>
      <c r="G1257" s="391">
        <v>1.0</v>
      </c>
      <c r="H1257" s="391">
        <v>0.0</v>
      </c>
      <c r="I1257" s="391">
        <v>0.0</v>
      </c>
      <c r="J1257" s="391">
        <v>0.0</v>
      </c>
      <c r="K1257" s="391">
        <v>10.0</v>
      </c>
      <c r="L1257" s="391">
        <v>3695680.0</v>
      </c>
      <c r="M1257" s="391">
        <v>1.0E-4</v>
      </c>
      <c r="N1257" s="38">
        <v>10.0</v>
      </c>
    </row>
    <row r="1258">
      <c r="A1258" s="389" t="s">
        <v>1971</v>
      </c>
      <c r="B1258" s="389" t="s">
        <v>137</v>
      </c>
      <c r="C1258" s="389" t="s">
        <v>360</v>
      </c>
      <c r="D1258" s="389" t="s">
        <v>1968</v>
      </c>
      <c r="E1258" s="390" t="s">
        <v>35</v>
      </c>
      <c r="F1258" s="391">
        <v>79090.0</v>
      </c>
      <c r="G1258" s="391">
        <v>2.0</v>
      </c>
      <c r="H1258" s="391">
        <v>0.0</v>
      </c>
      <c r="I1258" s="391">
        <v>0.0</v>
      </c>
      <c r="J1258" s="391">
        <v>0.0</v>
      </c>
      <c r="K1258" s="391">
        <v>30.0</v>
      </c>
      <c r="L1258" s="391">
        <v>3695680.0</v>
      </c>
      <c r="M1258" s="391">
        <v>4.0E-4</v>
      </c>
      <c r="N1258" s="38">
        <v>15.0</v>
      </c>
    </row>
    <row r="1259">
      <c r="A1259" s="389" t="s">
        <v>1971</v>
      </c>
      <c r="B1259" s="389" t="s">
        <v>137</v>
      </c>
      <c r="C1259" s="389" t="s">
        <v>360</v>
      </c>
      <c r="D1259" s="389" t="s">
        <v>1968</v>
      </c>
      <c r="E1259" s="390" t="s">
        <v>370</v>
      </c>
      <c r="F1259" s="391">
        <v>79090.0</v>
      </c>
      <c r="G1259" s="391">
        <v>3.0</v>
      </c>
      <c r="H1259" s="391">
        <v>0.0</v>
      </c>
      <c r="I1259" s="391">
        <v>0.0</v>
      </c>
      <c r="J1259" s="391">
        <v>0.0</v>
      </c>
      <c r="K1259" s="391">
        <v>90.0</v>
      </c>
      <c r="L1259" s="391">
        <v>3695680.0</v>
      </c>
      <c r="M1259" s="391">
        <v>0.0011</v>
      </c>
      <c r="N1259" s="38">
        <v>30.0</v>
      </c>
    </row>
    <row r="1260">
      <c r="A1260" s="389" t="s">
        <v>1971</v>
      </c>
      <c r="B1260" s="389" t="s">
        <v>137</v>
      </c>
      <c r="C1260" s="389" t="s">
        <v>12</v>
      </c>
      <c r="D1260" s="389" t="s">
        <v>1968</v>
      </c>
      <c r="E1260" s="390" t="s">
        <v>370</v>
      </c>
      <c r="F1260" s="391">
        <v>96581.0</v>
      </c>
      <c r="G1260" s="391">
        <v>92625.0</v>
      </c>
      <c r="H1260" s="391">
        <v>95.9</v>
      </c>
      <c r="I1260" s="391">
        <v>28.58</v>
      </c>
      <c r="J1260" s="391">
        <v>28.25</v>
      </c>
      <c r="K1260" s="391">
        <v>1.961183E7</v>
      </c>
      <c r="L1260" s="391">
        <v>6.8625132E7</v>
      </c>
      <c r="M1260" s="391">
        <v>203.061</v>
      </c>
      <c r="N1260" s="38">
        <v>211.7337</v>
      </c>
    </row>
    <row r="1261">
      <c r="A1261" s="389" t="s">
        <v>1971</v>
      </c>
      <c r="B1261" s="389" t="s">
        <v>137</v>
      </c>
      <c r="C1261" s="389" t="s">
        <v>12</v>
      </c>
      <c r="D1261" s="389" t="s">
        <v>1968</v>
      </c>
      <c r="E1261" s="390" t="s">
        <v>44</v>
      </c>
      <c r="F1261" s="391">
        <v>96581.0</v>
      </c>
      <c r="G1261" s="391">
        <v>62033.0</v>
      </c>
      <c r="H1261" s="391">
        <v>64.23</v>
      </c>
      <c r="I1261" s="391">
        <v>17.27</v>
      </c>
      <c r="J1261" s="391">
        <v>15.67</v>
      </c>
      <c r="K1261" s="391">
        <v>1.185272E7</v>
      </c>
      <c r="L1261" s="391">
        <v>6.8625132E7</v>
      </c>
      <c r="M1261" s="391">
        <v>122.7231</v>
      </c>
      <c r="N1261" s="38">
        <v>191.0712</v>
      </c>
    </row>
    <row r="1262">
      <c r="A1262" s="389" t="s">
        <v>1971</v>
      </c>
      <c r="B1262" s="389" t="s">
        <v>137</v>
      </c>
      <c r="C1262" s="389" t="s">
        <v>12</v>
      </c>
      <c r="D1262" s="389" t="s">
        <v>1968</v>
      </c>
      <c r="E1262" s="390" t="s">
        <v>366</v>
      </c>
      <c r="F1262" s="391">
        <v>96581.0</v>
      </c>
      <c r="G1262" s="391">
        <v>70367.0</v>
      </c>
      <c r="H1262" s="391">
        <v>72.86</v>
      </c>
      <c r="I1262" s="391">
        <v>12.5</v>
      </c>
      <c r="J1262" s="391">
        <v>10.69</v>
      </c>
      <c r="K1262" s="391">
        <v>8575950.0</v>
      </c>
      <c r="L1262" s="391">
        <v>6.8625132E7</v>
      </c>
      <c r="M1262" s="391">
        <v>88.7954</v>
      </c>
      <c r="N1262" s="38">
        <v>121.8746</v>
      </c>
    </row>
    <row r="1263">
      <c r="A1263" s="389" t="s">
        <v>1971</v>
      </c>
      <c r="B1263" s="389" t="s">
        <v>137</v>
      </c>
      <c r="C1263" s="389" t="s">
        <v>12</v>
      </c>
      <c r="D1263" s="389" t="s">
        <v>1968</v>
      </c>
      <c r="E1263" s="390" t="s">
        <v>39</v>
      </c>
      <c r="F1263" s="391">
        <v>96581.0</v>
      </c>
      <c r="G1263" s="391">
        <v>56565.0</v>
      </c>
      <c r="H1263" s="391">
        <v>58.57</v>
      </c>
      <c r="I1263" s="391">
        <v>10.14</v>
      </c>
      <c r="J1263" s="391">
        <v>10.7</v>
      </c>
      <c r="K1263" s="391">
        <v>6956820.0</v>
      </c>
      <c r="L1263" s="391">
        <v>6.8625132E7</v>
      </c>
      <c r="M1263" s="391">
        <v>72.0309</v>
      </c>
      <c r="N1263" s="38">
        <v>122.9881</v>
      </c>
    </row>
    <row r="1264">
      <c r="A1264" s="389" t="s">
        <v>1971</v>
      </c>
      <c r="B1264" s="389" t="s">
        <v>137</v>
      </c>
      <c r="C1264" s="389" t="s">
        <v>12</v>
      </c>
      <c r="D1264" s="389" t="s">
        <v>1968</v>
      </c>
      <c r="E1264" s="390" t="s">
        <v>371</v>
      </c>
      <c r="F1264" s="391">
        <v>96581.0</v>
      </c>
      <c r="G1264" s="391">
        <v>64568.0</v>
      </c>
      <c r="H1264" s="391">
        <v>66.85</v>
      </c>
      <c r="I1264" s="391">
        <v>9.37</v>
      </c>
      <c r="J1264" s="391">
        <v>13.43</v>
      </c>
      <c r="K1264" s="391">
        <v>6429050.0</v>
      </c>
      <c r="L1264" s="391">
        <v>6.8625132E7</v>
      </c>
      <c r="M1264" s="391">
        <v>66.5664</v>
      </c>
      <c r="N1264" s="38">
        <v>99.5702</v>
      </c>
    </row>
    <row r="1265">
      <c r="A1265" s="389" t="s">
        <v>1971</v>
      </c>
      <c r="B1265" s="389" t="s">
        <v>137</v>
      </c>
      <c r="C1265" s="389" t="s">
        <v>12</v>
      </c>
      <c r="D1265" s="389" t="s">
        <v>1968</v>
      </c>
      <c r="E1265" s="390" t="s">
        <v>365</v>
      </c>
      <c r="F1265" s="391">
        <v>96581.0</v>
      </c>
      <c r="G1265" s="391">
        <v>54428.0</v>
      </c>
      <c r="H1265" s="391">
        <v>56.35</v>
      </c>
      <c r="I1265" s="391">
        <v>6.75</v>
      </c>
      <c r="J1265" s="391">
        <v>7.01</v>
      </c>
      <c r="K1265" s="391">
        <v>4635600.0</v>
      </c>
      <c r="L1265" s="391">
        <v>6.8625132E7</v>
      </c>
      <c r="M1265" s="391">
        <v>47.997</v>
      </c>
      <c r="N1265" s="38">
        <v>85.1694</v>
      </c>
    </row>
    <row r="1266">
      <c r="A1266" s="389" t="s">
        <v>1971</v>
      </c>
      <c r="B1266" s="389" t="s">
        <v>137</v>
      </c>
      <c r="C1266" s="389" t="s">
        <v>12</v>
      </c>
      <c r="D1266" s="389" t="s">
        <v>1968</v>
      </c>
      <c r="E1266" s="390" t="s">
        <v>368</v>
      </c>
      <c r="F1266" s="391">
        <v>96581.0</v>
      </c>
      <c r="G1266" s="391">
        <v>39459.0</v>
      </c>
      <c r="H1266" s="391">
        <v>40.86</v>
      </c>
      <c r="I1266" s="391">
        <v>4.73</v>
      </c>
      <c r="J1266" s="391">
        <v>4.0</v>
      </c>
      <c r="K1266" s="391">
        <v>3244005.0</v>
      </c>
      <c r="L1266" s="391">
        <v>6.8625132E7</v>
      </c>
      <c r="M1266" s="391">
        <v>33.5884</v>
      </c>
      <c r="N1266" s="38">
        <v>82.212</v>
      </c>
    </row>
    <row r="1267">
      <c r="A1267" s="389" t="s">
        <v>1971</v>
      </c>
      <c r="B1267" s="389" t="s">
        <v>137</v>
      </c>
      <c r="C1267" s="389" t="s">
        <v>12</v>
      </c>
      <c r="D1267" s="389" t="s">
        <v>1968</v>
      </c>
      <c r="E1267" s="390" t="s">
        <v>367</v>
      </c>
      <c r="F1267" s="391">
        <v>96581.0</v>
      </c>
      <c r="G1267" s="391">
        <v>35158.0</v>
      </c>
      <c r="H1267" s="391">
        <v>36.4</v>
      </c>
      <c r="I1267" s="391">
        <v>3.82</v>
      </c>
      <c r="J1267" s="391">
        <v>3.53</v>
      </c>
      <c r="K1267" s="391">
        <v>2621370.0</v>
      </c>
      <c r="L1267" s="391">
        <v>6.8625132E7</v>
      </c>
      <c r="M1267" s="391">
        <v>27.1417</v>
      </c>
      <c r="N1267" s="38">
        <v>74.5597</v>
      </c>
    </row>
    <row r="1268">
      <c r="A1268" s="389" t="s">
        <v>1971</v>
      </c>
      <c r="B1268" s="389" t="s">
        <v>137</v>
      </c>
      <c r="C1268" s="389" t="s">
        <v>12</v>
      </c>
      <c r="D1268" s="389" t="s">
        <v>1968</v>
      </c>
      <c r="E1268" s="390" t="s">
        <v>38</v>
      </c>
      <c r="F1268" s="391">
        <v>96581.0</v>
      </c>
      <c r="G1268" s="391">
        <v>34356.0</v>
      </c>
      <c r="H1268" s="391">
        <v>35.57</v>
      </c>
      <c r="I1268" s="391">
        <v>1.96</v>
      </c>
      <c r="J1268" s="391">
        <v>2.44</v>
      </c>
      <c r="K1268" s="391">
        <v>1342280.0</v>
      </c>
      <c r="L1268" s="391">
        <v>6.8625132E7</v>
      </c>
      <c r="M1268" s="391">
        <v>13.898</v>
      </c>
      <c r="N1268" s="38">
        <v>39.0697</v>
      </c>
    </row>
    <row r="1269">
      <c r="A1269" s="389" t="s">
        <v>1971</v>
      </c>
      <c r="B1269" s="389" t="s">
        <v>137</v>
      </c>
      <c r="C1269" s="389" t="s">
        <v>12</v>
      </c>
      <c r="D1269" s="389" t="s">
        <v>1968</v>
      </c>
      <c r="E1269" s="390" t="s">
        <v>163</v>
      </c>
      <c r="F1269" s="391">
        <v>96581.0</v>
      </c>
      <c r="G1269" s="391">
        <v>17634.0</v>
      </c>
      <c r="H1269" s="391">
        <v>18.26</v>
      </c>
      <c r="I1269" s="391">
        <v>1.32</v>
      </c>
      <c r="J1269" s="391">
        <v>1.12</v>
      </c>
      <c r="K1269" s="391">
        <v>906570.0</v>
      </c>
      <c r="L1269" s="391">
        <v>6.8625132E7</v>
      </c>
      <c r="M1269" s="391">
        <v>9.3866</v>
      </c>
      <c r="N1269" s="38">
        <v>51.4103</v>
      </c>
    </row>
    <row r="1270">
      <c r="A1270" s="389" t="s">
        <v>1971</v>
      </c>
      <c r="B1270" s="389" t="s">
        <v>137</v>
      </c>
      <c r="C1270" s="389" t="s">
        <v>12</v>
      </c>
      <c r="D1270" s="389" t="s">
        <v>1968</v>
      </c>
      <c r="E1270" s="390" t="s">
        <v>30</v>
      </c>
      <c r="F1270" s="391">
        <v>96581.0</v>
      </c>
      <c r="G1270" s="391">
        <v>15595.0</v>
      </c>
      <c r="H1270" s="391">
        <v>16.15</v>
      </c>
      <c r="I1270" s="391">
        <v>1.31</v>
      </c>
      <c r="J1270" s="391">
        <v>1.1</v>
      </c>
      <c r="K1270" s="391">
        <v>897180.0</v>
      </c>
      <c r="L1270" s="391">
        <v>6.8625132E7</v>
      </c>
      <c r="M1270" s="391">
        <v>9.2894</v>
      </c>
      <c r="N1270" s="38">
        <v>57.53</v>
      </c>
    </row>
    <row r="1271">
      <c r="A1271" s="389" t="s">
        <v>1971</v>
      </c>
      <c r="B1271" s="389" t="s">
        <v>137</v>
      </c>
      <c r="C1271" s="389" t="s">
        <v>12</v>
      </c>
      <c r="D1271" s="389" t="s">
        <v>1968</v>
      </c>
      <c r="E1271" s="390" t="s">
        <v>363</v>
      </c>
      <c r="F1271" s="391">
        <v>96581.0</v>
      </c>
      <c r="G1271" s="391">
        <v>18709.0</v>
      </c>
      <c r="H1271" s="391">
        <v>19.37</v>
      </c>
      <c r="I1271" s="391">
        <v>1.06</v>
      </c>
      <c r="J1271" s="391">
        <v>0.81</v>
      </c>
      <c r="K1271" s="391">
        <v>730665.0</v>
      </c>
      <c r="L1271" s="391">
        <v>6.8625132E7</v>
      </c>
      <c r="M1271" s="391">
        <v>7.5653</v>
      </c>
      <c r="N1271" s="38">
        <v>39.0542</v>
      </c>
    </row>
    <row r="1272">
      <c r="A1272" s="389" t="s">
        <v>1971</v>
      </c>
      <c r="B1272" s="389" t="s">
        <v>137</v>
      </c>
      <c r="C1272" s="389" t="s">
        <v>12</v>
      </c>
      <c r="D1272" s="389" t="s">
        <v>1968</v>
      </c>
      <c r="E1272" s="390" t="s">
        <v>369</v>
      </c>
      <c r="F1272" s="391">
        <v>96581.0</v>
      </c>
      <c r="G1272" s="391">
        <v>13632.0</v>
      </c>
      <c r="H1272" s="391">
        <v>14.11</v>
      </c>
      <c r="I1272" s="391">
        <v>0.65</v>
      </c>
      <c r="J1272" s="391">
        <v>0.76</v>
      </c>
      <c r="K1272" s="391">
        <v>444182.0</v>
      </c>
      <c r="L1272" s="391">
        <v>6.8625132E7</v>
      </c>
      <c r="M1272" s="391">
        <v>4.5991</v>
      </c>
      <c r="N1272" s="38">
        <v>32.5838</v>
      </c>
    </row>
    <row r="1273">
      <c r="A1273" s="389" t="s">
        <v>1971</v>
      </c>
      <c r="B1273" s="389" t="s">
        <v>137</v>
      </c>
      <c r="C1273" s="389" t="s">
        <v>12</v>
      </c>
      <c r="D1273" s="389" t="s">
        <v>1968</v>
      </c>
      <c r="E1273" s="390" t="s">
        <v>27</v>
      </c>
      <c r="F1273" s="391">
        <v>96581.0</v>
      </c>
      <c r="G1273" s="391">
        <v>5756.0</v>
      </c>
      <c r="H1273" s="391">
        <v>5.96</v>
      </c>
      <c r="I1273" s="391">
        <v>0.31</v>
      </c>
      <c r="J1273" s="391">
        <v>0.25</v>
      </c>
      <c r="K1273" s="391">
        <v>214120.0</v>
      </c>
      <c r="L1273" s="391">
        <v>6.8625132E7</v>
      </c>
      <c r="M1273" s="391">
        <v>2.217</v>
      </c>
      <c r="N1273" s="38">
        <v>37.1994</v>
      </c>
    </row>
    <row r="1274">
      <c r="A1274" s="389" t="s">
        <v>1971</v>
      </c>
      <c r="B1274" s="389" t="s">
        <v>137</v>
      </c>
      <c r="C1274" s="389" t="s">
        <v>12</v>
      </c>
      <c r="D1274" s="389" t="s">
        <v>1968</v>
      </c>
      <c r="E1274" s="390" t="s">
        <v>108</v>
      </c>
      <c r="F1274" s="391">
        <v>96581.0</v>
      </c>
      <c r="G1274" s="391">
        <v>4457.0</v>
      </c>
      <c r="H1274" s="391">
        <v>4.61</v>
      </c>
      <c r="I1274" s="391">
        <v>0.18</v>
      </c>
      <c r="J1274" s="391">
        <v>0.16</v>
      </c>
      <c r="K1274" s="391">
        <v>120770.0</v>
      </c>
      <c r="L1274" s="391">
        <v>6.8625132E7</v>
      </c>
      <c r="M1274" s="391">
        <v>1.2505</v>
      </c>
      <c r="N1274" s="38">
        <v>27.0967</v>
      </c>
    </row>
    <row r="1275">
      <c r="A1275" s="389" t="s">
        <v>1971</v>
      </c>
      <c r="B1275" s="389" t="s">
        <v>137</v>
      </c>
      <c r="C1275" s="389" t="s">
        <v>12</v>
      </c>
      <c r="D1275" s="389" t="s">
        <v>1968</v>
      </c>
      <c r="E1275" s="390" t="s">
        <v>45</v>
      </c>
      <c r="F1275" s="391">
        <v>96581.0</v>
      </c>
      <c r="G1275" s="391">
        <v>784.0</v>
      </c>
      <c r="H1275" s="391">
        <v>0.81</v>
      </c>
      <c r="I1275" s="391">
        <v>0.06</v>
      </c>
      <c r="J1275" s="391">
        <v>0.09</v>
      </c>
      <c r="K1275" s="391">
        <v>41780.0</v>
      </c>
      <c r="L1275" s="391">
        <v>6.8625132E7</v>
      </c>
      <c r="M1275" s="391">
        <v>0.4326</v>
      </c>
      <c r="N1275" s="38">
        <v>53.2908</v>
      </c>
    </row>
    <row r="1276">
      <c r="A1276" s="389" t="s">
        <v>1971</v>
      </c>
      <c r="B1276" s="389" t="s">
        <v>137</v>
      </c>
      <c r="C1276" s="389" t="s">
        <v>12</v>
      </c>
      <c r="D1276" s="389" t="s">
        <v>1968</v>
      </c>
      <c r="E1276" s="390" t="s">
        <v>37</v>
      </c>
      <c r="F1276" s="391">
        <v>96581.0</v>
      </c>
      <c r="G1276" s="391">
        <v>2.0</v>
      </c>
      <c r="H1276" s="391">
        <v>0.0</v>
      </c>
      <c r="I1276" s="391">
        <v>0.0</v>
      </c>
      <c r="J1276" s="391">
        <v>0.0</v>
      </c>
      <c r="K1276" s="391">
        <v>60.0</v>
      </c>
      <c r="L1276" s="391">
        <v>6.8625132E7</v>
      </c>
      <c r="M1276" s="391">
        <v>6.0E-4</v>
      </c>
      <c r="N1276" s="38">
        <v>30.0</v>
      </c>
    </row>
    <row r="1277">
      <c r="A1277" s="389" t="s">
        <v>1971</v>
      </c>
      <c r="B1277" s="389" t="s">
        <v>137</v>
      </c>
      <c r="C1277" s="389" t="s">
        <v>12</v>
      </c>
      <c r="D1277" s="389" t="s">
        <v>1968</v>
      </c>
      <c r="E1277" s="390" t="s">
        <v>373</v>
      </c>
      <c r="F1277" s="391">
        <v>96581.0</v>
      </c>
      <c r="G1277" s="391">
        <v>1.0</v>
      </c>
      <c r="H1277" s="391">
        <v>0.0</v>
      </c>
      <c r="I1277" s="391">
        <v>0.0</v>
      </c>
      <c r="J1277" s="391">
        <v>0.0</v>
      </c>
      <c r="K1277" s="391">
        <v>60.0</v>
      </c>
      <c r="L1277" s="391">
        <v>6.8625132E7</v>
      </c>
      <c r="M1277" s="391">
        <v>6.0E-4</v>
      </c>
      <c r="N1277" s="38">
        <v>60.0</v>
      </c>
    </row>
    <row r="1278">
      <c r="A1278" s="389" t="s">
        <v>1971</v>
      </c>
      <c r="B1278" s="389" t="s">
        <v>137</v>
      </c>
      <c r="C1278" s="389" t="s">
        <v>12</v>
      </c>
      <c r="D1278" s="389" t="s">
        <v>1968</v>
      </c>
      <c r="E1278" s="390" t="s">
        <v>49</v>
      </c>
      <c r="F1278" s="391">
        <v>96581.0</v>
      </c>
      <c r="G1278" s="391">
        <v>1.0</v>
      </c>
      <c r="H1278" s="391">
        <v>0.0</v>
      </c>
      <c r="I1278" s="391">
        <v>0.0</v>
      </c>
      <c r="J1278" s="391">
        <v>0.0</v>
      </c>
      <c r="K1278" s="391">
        <v>45.0</v>
      </c>
      <c r="L1278" s="391">
        <v>6.8625132E7</v>
      </c>
      <c r="M1278" s="391">
        <v>5.0E-4</v>
      </c>
      <c r="N1278" s="38">
        <v>45.0</v>
      </c>
    </row>
    <row r="1279">
      <c r="A1279" s="389" t="s">
        <v>1971</v>
      </c>
      <c r="B1279" s="389" t="s">
        <v>137</v>
      </c>
      <c r="C1279" s="389" t="s">
        <v>12</v>
      </c>
      <c r="D1279" s="389" t="s">
        <v>1968</v>
      </c>
      <c r="E1279" s="390" t="s">
        <v>372</v>
      </c>
      <c r="F1279" s="391">
        <v>96581.0</v>
      </c>
      <c r="G1279" s="391">
        <v>4.0</v>
      </c>
      <c r="H1279" s="391">
        <v>0.0</v>
      </c>
      <c r="I1279" s="391">
        <v>0.0</v>
      </c>
      <c r="J1279" s="391">
        <v>0.0</v>
      </c>
      <c r="K1279" s="391">
        <v>75.0</v>
      </c>
      <c r="L1279" s="391">
        <v>6.8625132E7</v>
      </c>
      <c r="M1279" s="391">
        <v>8.0E-4</v>
      </c>
      <c r="N1279" s="38">
        <v>18.75</v>
      </c>
    </row>
    <row r="1280">
      <c r="A1280" s="389" t="s">
        <v>1971</v>
      </c>
      <c r="B1280" s="389" t="s">
        <v>339</v>
      </c>
      <c r="C1280" s="389" t="s">
        <v>8</v>
      </c>
      <c r="D1280" s="389" t="s">
        <v>591</v>
      </c>
      <c r="E1280" s="390" t="s">
        <v>369</v>
      </c>
      <c r="F1280" s="391">
        <v>51513.0</v>
      </c>
      <c r="G1280" s="391">
        <v>39094.0</v>
      </c>
      <c r="H1280" s="391">
        <v>75.89</v>
      </c>
      <c r="I1280" s="391">
        <v>23.4</v>
      </c>
      <c r="J1280" s="391">
        <v>31.67</v>
      </c>
      <c r="K1280" s="391">
        <v>80097.0</v>
      </c>
      <c r="L1280" s="391">
        <v>342280.0</v>
      </c>
      <c r="M1280" s="391">
        <v>1.5549</v>
      </c>
      <c r="N1280" s="38">
        <v>2.0488</v>
      </c>
    </row>
    <row r="1281">
      <c r="A1281" s="389" t="s">
        <v>1971</v>
      </c>
      <c r="B1281" s="389" t="s">
        <v>339</v>
      </c>
      <c r="C1281" s="389" t="s">
        <v>8</v>
      </c>
      <c r="D1281" s="389" t="s">
        <v>591</v>
      </c>
      <c r="E1281" s="390" t="s">
        <v>371</v>
      </c>
      <c r="F1281" s="391">
        <v>51513.0</v>
      </c>
      <c r="G1281" s="391">
        <v>24395.0</v>
      </c>
      <c r="H1281" s="391">
        <v>47.36</v>
      </c>
      <c r="I1281" s="391">
        <v>22.32</v>
      </c>
      <c r="J1281" s="391">
        <v>15.59</v>
      </c>
      <c r="K1281" s="391">
        <v>76387.0</v>
      </c>
      <c r="L1281" s="391">
        <v>342280.0</v>
      </c>
      <c r="M1281" s="391">
        <v>1.4829</v>
      </c>
      <c r="N1281" s="38">
        <v>3.1313</v>
      </c>
    </row>
    <row r="1282">
      <c r="A1282" s="389" t="s">
        <v>1971</v>
      </c>
      <c r="B1282" s="389" t="s">
        <v>339</v>
      </c>
      <c r="C1282" s="389" t="s">
        <v>8</v>
      </c>
      <c r="D1282" s="389" t="s">
        <v>591</v>
      </c>
      <c r="E1282" s="390" t="s">
        <v>370</v>
      </c>
      <c r="F1282" s="391">
        <v>51513.0</v>
      </c>
      <c r="G1282" s="391">
        <v>34690.0</v>
      </c>
      <c r="H1282" s="391">
        <v>67.34</v>
      </c>
      <c r="I1282" s="391">
        <v>20.64</v>
      </c>
      <c r="J1282" s="391">
        <v>21.31</v>
      </c>
      <c r="K1282" s="391">
        <v>70654.0</v>
      </c>
      <c r="L1282" s="391">
        <v>342280.0</v>
      </c>
      <c r="M1282" s="391">
        <v>1.3716</v>
      </c>
      <c r="N1282" s="38">
        <v>2.0367</v>
      </c>
    </row>
    <row r="1283">
      <c r="A1283" s="389" t="s">
        <v>1971</v>
      </c>
      <c r="B1283" s="389" t="s">
        <v>339</v>
      </c>
      <c r="C1283" s="389" t="s">
        <v>8</v>
      </c>
      <c r="D1283" s="389" t="s">
        <v>591</v>
      </c>
      <c r="E1283" s="390" t="s">
        <v>44</v>
      </c>
      <c r="F1283" s="391">
        <v>51513.0</v>
      </c>
      <c r="G1283" s="391">
        <v>20674.0</v>
      </c>
      <c r="H1283" s="391">
        <v>40.13</v>
      </c>
      <c r="I1283" s="391">
        <v>10.84</v>
      </c>
      <c r="J1283" s="391">
        <v>10.05</v>
      </c>
      <c r="K1283" s="391">
        <v>37097.0</v>
      </c>
      <c r="L1283" s="391">
        <v>342280.0</v>
      </c>
      <c r="M1283" s="391">
        <v>0.7201</v>
      </c>
      <c r="N1283" s="38">
        <v>1.7944</v>
      </c>
    </row>
    <row r="1284">
      <c r="A1284" s="389" t="s">
        <v>1971</v>
      </c>
      <c r="B1284" s="389" t="s">
        <v>339</v>
      </c>
      <c r="C1284" s="389" t="s">
        <v>8</v>
      </c>
      <c r="D1284" s="389" t="s">
        <v>591</v>
      </c>
      <c r="E1284" s="390" t="s">
        <v>39</v>
      </c>
      <c r="F1284" s="391">
        <v>51513.0</v>
      </c>
      <c r="G1284" s="391">
        <v>20265.0</v>
      </c>
      <c r="H1284" s="391">
        <v>39.34</v>
      </c>
      <c r="I1284" s="391">
        <v>9.14</v>
      </c>
      <c r="J1284" s="391">
        <v>7.56</v>
      </c>
      <c r="K1284" s="391">
        <v>31270.0</v>
      </c>
      <c r="L1284" s="391">
        <v>342280.0</v>
      </c>
      <c r="M1284" s="391">
        <v>0.607</v>
      </c>
      <c r="N1284" s="38">
        <v>1.5431</v>
      </c>
    </row>
    <row r="1285">
      <c r="A1285" s="389" t="s">
        <v>1971</v>
      </c>
      <c r="B1285" s="389" t="s">
        <v>339</v>
      </c>
      <c r="C1285" s="389" t="s">
        <v>8</v>
      </c>
      <c r="D1285" s="389" t="s">
        <v>591</v>
      </c>
      <c r="E1285" s="390" t="s">
        <v>37</v>
      </c>
      <c r="F1285" s="391">
        <v>51513.0</v>
      </c>
      <c r="G1285" s="391">
        <v>12849.0</v>
      </c>
      <c r="H1285" s="391">
        <v>24.94</v>
      </c>
      <c r="I1285" s="391">
        <v>5.15</v>
      </c>
      <c r="J1285" s="391">
        <v>5.97</v>
      </c>
      <c r="K1285" s="391">
        <v>17630.0</v>
      </c>
      <c r="L1285" s="391">
        <v>342280.0</v>
      </c>
      <c r="M1285" s="391">
        <v>0.3422</v>
      </c>
      <c r="N1285" s="38">
        <v>1.3721</v>
      </c>
    </row>
    <row r="1286">
      <c r="A1286" s="389" t="s">
        <v>1971</v>
      </c>
      <c r="B1286" s="389" t="s">
        <v>339</v>
      </c>
      <c r="C1286" s="389" t="s">
        <v>8</v>
      </c>
      <c r="D1286" s="389" t="s">
        <v>591</v>
      </c>
      <c r="E1286" s="390" t="s">
        <v>365</v>
      </c>
      <c r="F1286" s="391">
        <v>51513.0</v>
      </c>
      <c r="G1286" s="391">
        <v>11424.0</v>
      </c>
      <c r="H1286" s="391">
        <v>22.18</v>
      </c>
      <c r="I1286" s="391">
        <v>3.67</v>
      </c>
      <c r="J1286" s="391">
        <v>3.71</v>
      </c>
      <c r="K1286" s="391">
        <v>12549.0</v>
      </c>
      <c r="L1286" s="391">
        <v>342280.0</v>
      </c>
      <c r="M1286" s="391">
        <v>0.2436</v>
      </c>
      <c r="N1286" s="38">
        <v>1.0985</v>
      </c>
    </row>
    <row r="1287">
      <c r="A1287" s="389" t="s">
        <v>1971</v>
      </c>
      <c r="B1287" s="389" t="s">
        <v>339</v>
      </c>
      <c r="C1287" s="389" t="s">
        <v>8</v>
      </c>
      <c r="D1287" s="389" t="s">
        <v>591</v>
      </c>
      <c r="E1287" s="390" t="s">
        <v>45</v>
      </c>
      <c r="F1287" s="391">
        <v>51513.0</v>
      </c>
      <c r="G1287" s="391">
        <v>7664.0</v>
      </c>
      <c r="H1287" s="391">
        <v>14.88</v>
      </c>
      <c r="I1287" s="391">
        <v>2.9</v>
      </c>
      <c r="J1287" s="391">
        <v>2.37</v>
      </c>
      <c r="K1287" s="391">
        <v>9942.0</v>
      </c>
      <c r="L1287" s="391">
        <v>342280.0</v>
      </c>
      <c r="M1287" s="391">
        <v>0.193</v>
      </c>
      <c r="N1287" s="38">
        <v>1.2972</v>
      </c>
    </row>
    <row r="1288">
      <c r="A1288" s="389" t="s">
        <v>1971</v>
      </c>
      <c r="B1288" s="389" t="s">
        <v>339</v>
      </c>
      <c r="C1288" s="389" t="s">
        <v>8</v>
      </c>
      <c r="D1288" s="389" t="s">
        <v>591</v>
      </c>
      <c r="E1288" s="390" t="s">
        <v>108</v>
      </c>
      <c r="F1288" s="391">
        <v>51513.0</v>
      </c>
      <c r="G1288" s="391">
        <v>3956.0</v>
      </c>
      <c r="H1288" s="391">
        <v>7.68</v>
      </c>
      <c r="I1288" s="391">
        <v>1.55</v>
      </c>
      <c r="J1288" s="391">
        <v>1.4</v>
      </c>
      <c r="K1288" s="391">
        <v>5320.0</v>
      </c>
      <c r="L1288" s="391">
        <v>342280.0</v>
      </c>
      <c r="M1288" s="391">
        <v>0.1033</v>
      </c>
      <c r="N1288" s="38">
        <v>1.3448</v>
      </c>
    </row>
    <row r="1289">
      <c r="A1289" s="389" t="s">
        <v>1971</v>
      </c>
      <c r="B1289" s="389" t="s">
        <v>339</v>
      </c>
      <c r="C1289" s="389" t="s">
        <v>8</v>
      </c>
      <c r="D1289" s="389" t="s">
        <v>591</v>
      </c>
      <c r="E1289" s="390" t="s">
        <v>38</v>
      </c>
      <c r="F1289" s="391">
        <v>51513.0</v>
      </c>
      <c r="G1289" s="391">
        <v>1040.0</v>
      </c>
      <c r="H1289" s="391">
        <v>2.02</v>
      </c>
      <c r="I1289" s="391">
        <v>0.31</v>
      </c>
      <c r="J1289" s="391">
        <v>0.29</v>
      </c>
      <c r="K1289" s="391">
        <v>1060.0</v>
      </c>
      <c r="L1289" s="391">
        <v>342280.0</v>
      </c>
      <c r="M1289" s="391">
        <v>0.0206</v>
      </c>
      <c r="N1289" s="38">
        <v>1.0192</v>
      </c>
    </row>
    <row r="1290">
      <c r="A1290" s="389" t="s">
        <v>1971</v>
      </c>
      <c r="B1290" s="389" t="s">
        <v>339</v>
      </c>
      <c r="C1290" s="389" t="s">
        <v>8</v>
      </c>
      <c r="D1290" s="389" t="s">
        <v>591</v>
      </c>
      <c r="E1290" s="390" t="s">
        <v>368</v>
      </c>
      <c r="F1290" s="391">
        <v>51513.0</v>
      </c>
      <c r="G1290" s="391">
        <v>173.0</v>
      </c>
      <c r="H1290" s="391">
        <v>0.34</v>
      </c>
      <c r="I1290" s="391">
        <v>0.05</v>
      </c>
      <c r="J1290" s="391">
        <v>0.04</v>
      </c>
      <c r="K1290" s="391">
        <v>177.0</v>
      </c>
      <c r="L1290" s="391">
        <v>342280.0</v>
      </c>
      <c r="M1290" s="391">
        <v>0.0034</v>
      </c>
      <c r="N1290" s="38">
        <v>1.0231</v>
      </c>
    </row>
    <row r="1291">
      <c r="A1291" s="389" t="s">
        <v>1971</v>
      </c>
      <c r="B1291" s="389" t="s">
        <v>339</v>
      </c>
      <c r="C1291" s="389" t="s">
        <v>8</v>
      </c>
      <c r="D1291" s="389" t="s">
        <v>591</v>
      </c>
      <c r="E1291" s="390" t="s">
        <v>30</v>
      </c>
      <c r="F1291" s="391">
        <v>51513.0</v>
      </c>
      <c r="G1291" s="391">
        <v>55.0</v>
      </c>
      <c r="H1291" s="391">
        <v>0.11</v>
      </c>
      <c r="I1291" s="391">
        <v>0.02</v>
      </c>
      <c r="J1291" s="391">
        <v>0.01</v>
      </c>
      <c r="K1291" s="391">
        <v>58.0</v>
      </c>
      <c r="L1291" s="391">
        <v>342280.0</v>
      </c>
      <c r="M1291" s="391">
        <v>0.0011</v>
      </c>
      <c r="N1291" s="38">
        <v>1.0545</v>
      </c>
    </row>
    <row r="1292">
      <c r="A1292" s="389" t="s">
        <v>1971</v>
      </c>
      <c r="B1292" s="389" t="s">
        <v>339</v>
      </c>
      <c r="C1292" s="389" t="s">
        <v>8</v>
      </c>
      <c r="D1292" s="389" t="s">
        <v>591</v>
      </c>
      <c r="E1292" s="390" t="s">
        <v>372</v>
      </c>
      <c r="F1292" s="391">
        <v>51513.0</v>
      </c>
      <c r="G1292" s="391">
        <v>9.0</v>
      </c>
      <c r="H1292" s="391">
        <v>0.02</v>
      </c>
      <c r="I1292" s="391">
        <v>0.01</v>
      </c>
      <c r="J1292" s="391">
        <v>0.01</v>
      </c>
      <c r="K1292" s="391">
        <v>30.0</v>
      </c>
      <c r="L1292" s="391">
        <v>342280.0</v>
      </c>
      <c r="M1292" s="391">
        <v>6.0E-4</v>
      </c>
      <c r="N1292" s="38">
        <v>3.3333</v>
      </c>
    </row>
    <row r="1293">
      <c r="A1293" s="389" t="s">
        <v>1971</v>
      </c>
      <c r="B1293" s="389" t="s">
        <v>339</v>
      </c>
      <c r="C1293" s="389" t="s">
        <v>8</v>
      </c>
      <c r="D1293" s="389" t="s">
        <v>591</v>
      </c>
      <c r="E1293" s="390" t="s">
        <v>284</v>
      </c>
      <c r="F1293" s="391">
        <v>51513.0</v>
      </c>
      <c r="G1293" s="391">
        <v>1.0</v>
      </c>
      <c r="H1293" s="391">
        <v>0.0</v>
      </c>
      <c r="I1293" s="391">
        <v>0.0</v>
      </c>
      <c r="J1293" s="391">
        <v>0.0</v>
      </c>
      <c r="K1293" s="391">
        <v>2.0</v>
      </c>
      <c r="L1293" s="391">
        <v>342280.0</v>
      </c>
      <c r="M1293" s="391">
        <v>0.0</v>
      </c>
      <c r="N1293" s="38">
        <v>2.0</v>
      </c>
    </row>
    <row r="1294">
      <c r="A1294" s="389" t="s">
        <v>1971</v>
      </c>
      <c r="B1294" s="389" t="s">
        <v>339</v>
      </c>
      <c r="C1294" s="389" t="s">
        <v>8</v>
      </c>
      <c r="D1294" s="389" t="s">
        <v>591</v>
      </c>
      <c r="E1294" s="390" t="s">
        <v>163</v>
      </c>
      <c r="F1294" s="391">
        <v>51513.0</v>
      </c>
      <c r="G1294" s="391">
        <v>4.0</v>
      </c>
      <c r="H1294" s="391">
        <v>0.01</v>
      </c>
      <c r="I1294" s="391">
        <v>0.0</v>
      </c>
      <c r="J1294" s="391">
        <v>0.0</v>
      </c>
      <c r="K1294" s="391">
        <v>4.0</v>
      </c>
      <c r="L1294" s="391">
        <v>342280.0</v>
      </c>
      <c r="M1294" s="391">
        <v>1.0E-4</v>
      </c>
      <c r="N1294" s="38">
        <v>1.0</v>
      </c>
    </row>
    <row r="1295">
      <c r="A1295" s="389" t="s">
        <v>1971</v>
      </c>
      <c r="B1295" s="389" t="s">
        <v>339</v>
      </c>
      <c r="C1295" s="389" t="s">
        <v>8</v>
      </c>
      <c r="D1295" s="389" t="s">
        <v>591</v>
      </c>
      <c r="E1295" s="390" t="s">
        <v>27</v>
      </c>
      <c r="F1295" s="391">
        <v>51513.0</v>
      </c>
      <c r="G1295" s="391">
        <v>3.0</v>
      </c>
      <c r="H1295" s="391">
        <v>0.01</v>
      </c>
      <c r="I1295" s="391">
        <v>0.0</v>
      </c>
      <c r="J1295" s="391">
        <v>0.0</v>
      </c>
      <c r="K1295" s="391">
        <v>3.0</v>
      </c>
      <c r="L1295" s="391">
        <v>342280.0</v>
      </c>
      <c r="M1295" s="391">
        <v>1.0E-4</v>
      </c>
      <c r="N1295" s="38">
        <v>1.0</v>
      </c>
    </row>
    <row r="1296">
      <c r="A1296" s="389" t="s">
        <v>1971</v>
      </c>
      <c r="B1296" s="389" t="s">
        <v>339</v>
      </c>
      <c r="C1296" s="389" t="s">
        <v>7</v>
      </c>
      <c r="D1296" s="389" t="s">
        <v>591</v>
      </c>
      <c r="E1296" s="390" t="s">
        <v>370</v>
      </c>
      <c r="F1296" s="391">
        <v>55602.0</v>
      </c>
      <c r="G1296" s="391">
        <v>47879.0</v>
      </c>
      <c r="H1296" s="391">
        <v>86.11</v>
      </c>
      <c r="I1296" s="391">
        <v>40.71</v>
      </c>
      <c r="J1296" s="391">
        <v>36.39</v>
      </c>
      <c r="K1296" s="391">
        <v>281295.0</v>
      </c>
      <c r="L1296" s="391">
        <v>690967.0</v>
      </c>
      <c r="M1296" s="391">
        <v>5.0591</v>
      </c>
      <c r="N1296" s="38">
        <v>5.8751</v>
      </c>
    </row>
    <row r="1297">
      <c r="A1297" s="389" t="s">
        <v>1971</v>
      </c>
      <c r="B1297" s="389" t="s">
        <v>339</v>
      </c>
      <c r="C1297" s="389" t="s">
        <v>7</v>
      </c>
      <c r="D1297" s="389" t="s">
        <v>591</v>
      </c>
      <c r="E1297" s="390" t="s">
        <v>371</v>
      </c>
      <c r="F1297" s="391">
        <v>55602.0</v>
      </c>
      <c r="G1297" s="391">
        <v>43411.0</v>
      </c>
      <c r="H1297" s="391">
        <v>78.07</v>
      </c>
      <c r="I1297" s="391">
        <v>20.87</v>
      </c>
      <c r="J1297" s="391">
        <v>23.85</v>
      </c>
      <c r="K1297" s="391">
        <v>144205.0</v>
      </c>
      <c r="L1297" s="391">
        <v>690967.0</v>
      </c>
      <c r="M1297" s="391">
        <v>2.5935</v>
      </c>
      <c r="N1297" s="38">
        <v>3.3219</v>
      </c>
    </row>
    <row r="1298">
      <c r="A1298" s="389" t="s">
        <v>1971</v>
      </c>
      <c r="B1298" s="389" t="s">
        <v>339</v>
      </c>
      <c r="C1298" s="389" t="s">
        <v>7</v>
      </c>
      <c r="D1298" s="389" t="s">
        <v>591</v>
      </c>
      <c r="E1298" s="390" t="s">
        <v>369</v>
      </c>
      <c r="F1298" s="391">
        <v>55602.0</v>
      </c>
      <c r="G1298" s="391">
        <v>39120.0</v>
      </c>
      <c r="H1298" s="391">
        <v>70.36</v>
      </c>
      <c r="I1298" s="391">
        <v>11.58</v>
      </c>
      <c r="J1298" s="391">
        <v>13.17</v>
      </c>
      <c r="K1298" s="391">
        <v>80025.0</v>
      </c>
      <c r="L1298" s="391">
        <v>690967.0</v>
      </c>
      <c r="M1298" s="391">
        <v>1.4392</v>
      </c>
      <c r="N1298" s="38">
        <v>2.0456</v>
      </c>
    </row>
    <row r="1299">
      <c r="A1299" s="389" t="s">
        <v>1971</v>
      </c>
      <c r="B1299" s="389" t="s">
        <v>339</v>
      </c>
      <c r="C1299" s="389" t="s">
        <v>7</v>
      </c>
      <c r="D1299" s="389" t="s">
        <v>591</v>
      </c>
      <c r="E1299" s="390" t="s">
        <v>39</v>
      </c>
      <c r="F1299" s="391">
        <v>55602.0</v>
      </c>
      <c r="G1299" s="391">
        <v>27016.0</v>
      </c>
      <c r="H1299" s="391">
        <v>48.59</v>
      </c>
      <c r="I1299" s="391">
        <v>6.17</v>
      </c>
      <c r="J1299" s="391">
        <v>5.93</v>
      </c>
      <c r="K1299" s="391">
        <v>42621.0</v>
      </c>
      <c r="L1299" s="391">
        <v>690967.0</v>
      </c>
      <c r="M1299" s="391">
        <v>0.7665</v>
      </c>
      <c r="N1299" s="38">
        <v>1.5776</v>
      </c>
    </row>
    <row r="1300">
      <c r="A1300" s="389" t="s">
        <v>1971</v>
      </c>
      <c r="B1300" s="389" t="s">
        <v>339</v>
      </c>
      <c r="C1300" s="389" t="s">
        <v>7</v>
      </c>
      <c r="D1300" s="389" t="s">
        <v>591</v>
      </c>
      <c r="E1300" s="390" t="s">
        <v>44</v>
      </c>
      <c r="F1300" s="391">
        <v>55602.0</v>
      </c>
      <c r="G1300" s="391">
        <v>20674.0</v>
      </c>
      <c r="H1300" s="391">
        <v>37.18</v>
      </c>
      <c r="I1300" s="391">
        <v>5.37</v>
      </c>
      <c r="J1300" s="391">
        <v>4.69</v>
      </c>
      <c r="K1300" s="391">
        <v>37097.0</v>
      </c>
      <c r="L1300" s="391">
        <v>690967.0</v>
      </c>
      <c r="M1300" s="391">
        <v>0.6672</v>
      </c>
      <c r="N1300" s="38">
        <v>1.7944</v>
      </c>
    </row>
    <row r="1301">
      <c r="A1301" s="389" t="s">
        <v>1971</v>
      </c>
      <c r="B1301" s="389" t="s">
        <v>339</v>
      </c>
      <c r="C1301" s="389" t="s">
        <v>7</v>
      </c>
      <c r="D1301" s="389" t="s">
        <v>591</v>
      </c>
      <c r="E1301" s="390" t="s">
        <v>368</v>
      </c>
      <c r="F1301" s="391">
        <v>55602.0</v>
      </c>
      <c r="G1301" s="391">
        <v>24146.0</v>
      </c>
      <c r="H1301" s="391">
        <v>43.43</v>
      </c>
      <c r="I1301" s="391">
        <v>4.31</v>
      </c>
      <c r="J1301" s="391">
        <v>5.5</v>
      </c>
      <c r="K1301" s="391">
        <v>29763.0</v>
      </c>
      <c r="L1301" s="391">
        <v>690967.0</v>
      </c>
      <c r="M1301" s="391">
        <v>0.5353</v>
      </c>
      <c r="N1301" s="38">
        <v>1.2326</v>
      </c>
    </row>
    <row r="1302">
      <c r="A1302" s="389" t="s">
        <v>1971</v>
      </c>
      <c r="B1302" s="389" t="s">
        <v>339</v>
      </c>
      <c r="C1302" s="389" t="s">
        <v>7</v>
      </c>
      <c r="D1302" s="389" t="s">
        <v>591</v>
      </c>
      <c r="E1302" s="390" t="s">
        <v>367</v>
      </c>
      <c r="F1302" s="391">
        <v>55602.0</v>
      </c>
      <c r="G1302" s="391">
        <v>12263.0</v>
      </c>
      <c r="H1302" s="391">
        <v>22.05</v>
      </c>
      <c r="I1302" s="391">
        <v>3.15</v>
      </c>
      <c r="J1302" s="391">
        <v>2.65</v>
      </c>
      <c r="K1302" s="391">
        <v>21779.0</v>
      </c>
      <c r="L1302" s="391">
        <v>690967.0</v>
      </c>
      <c r="M1302" s="391">
        <v>0.3917</v>
      </c>
      <c r="N1302" s="38">
        <v>1.776</v>
      </c>
    </row>
    <row r="1303">
      <c r="A1303" s="389" t="s">
        <v>1971</v>
      </c>
      <c r="B1303" s="389" t="s">
        <v>339</v>
      </c>
      <c r="C1303" s="389" t="s">
        <v>7</v>
      </c>
      <c r="D1303" s="389" t="s">
        <v>591</v>
      </c>
      <c r="E1303" s="390" t="s">
        <v>365</v>
      </c>
      <c r="F1303" s="391">
        <v>55602.0</v>
      </c>
      <c r="G1303" s="391">
        <v>12221.0</v>
      </c>
      <c r="H1303" s="391">
        <v>21.98</v>
      </c>
      <c r="I1303" s="391">
        <v>2.26</v>
      </c>
      <c r="J1303" s="391">
        <v>1.96</v>
      </c>
      <c r="K1303" s="391">
        <v>15635.0</v>
      </c>
      <c r="L1303" s="391">
        <v>690967.0</v>
      </c>
      <c r="M1303" s="391">
        <v>0.2812</v>
      </c>
      <c r="N1303" s="38">
        <v>1.2794</v>
      </c>
    </row>
    <row r="1304">
      <c r="A1304" s="389" t="s">
        <v>1971</v>
      </c>
      <c r="B1304" s="389" t="s">
        <v>339</v>
      </c>
      <c r="C1304" s="389" t="s">
        <v>7</v>
      </c>
      <c r="D1304" s="389" t="s">
        <v>591</v>
      </c>
      <c r="E1304" s="390" t="s">
        <v>163</v>
      </c>
      <c r="F1304" s="391">
        <v>55602.0</v>
      </c>
      <c r="G1304" s="391">
        <v>11726.0</v>
      </c>
      <c r="H1304" s="391">
        <v>21.09</v>
      </c>
      <c r="I1304" s="391">
        <v>1.73</v>
      </c>
      <c r="J1304" s="391">
        <v>2.11</v>
      </c>
      <c r="K1304" s="391">
        <v>11957.0</v>
      </c>
      <c r="L1304" s="391">
        <v>690967.0</v>
      </c>
      <c r="M1304" s="391">
        <v>0.215</v>
      </c>
      <c r="N1304" s="38">
        <v>1.0197</v>
      </c>
    </row>
    <row r="1305">
      <c r="A1305" s="389" t="s">
        <v>1971</v>
      </c>
      <c r="B1305" s="389" t="s">
        <v>339</v>
      </c>
      <c r="C1305" s="389" t="s">
        <v>7</v>
      </c>
      <c r="D1305" s="389" t="s">
        <v>591</v>
      </c>
      <c r="E1305" s="390" t="s">
        <v>30</v>
      </c>
      <c r="F1305" s="391">
        <v>55602.0</v>
      </c>
      <c r="G1305" s="391">
        <v>10138.0</v>
      </c>
      <c r="H1305" s="391">
        <v>18.23</v>
      </c>
      <c r="I1305" s="391">
        <v>1.48</v>
      </c>
      <c r="J1305" s="391">
        <v>1.65</v>
      </c>
      <c r="K1305" s="391">
        <v>10217.0</v>
      </c>
      <c r="L1305" s="391">
        <v>690967.0</v>
      </c>
      <c r="M1305" s="391">
        <v>0.1838</v>
      </c>
      <c r="N1305" s="38">
        <v>1.0078</v>
      </c>
    </row>
    <row r="1306">
      <c r="A1306" s="389" t="s">
        <v>1971</v>
      </c>
      <c r="B1306" s="389" t="s">
        <v>339</v>
      </c>
      <c r="C1306" s="389" t="s">
        <v>7</v>
      </c>
      <c r="D1306" s="389" t="s">
        <v>591</v>
      </c>
      <c r="E1306" s="390" t="s">
        <v>37</v>
      </c>
      <c r="F1306" s="391">
        <v>55602.0</v>
      </c>
      <c r="G1306" s="391">
        <v>5025.0</v>
      </c>
      <c r="H1306" s="391">
        <v>9.04</v>
      </c>
      <c r="I1306" s="391">
        <v>0.84</v>
      </c>
      <c r="J1306" s="391">
        <v>0.88</v>
      </c>
      <c r="K1306" s="391">
        <v>5835.0</v>
      </c>
      <c r="L1306" s="391">
        <v>690967.0</v>
      </c>
      <c r="M1306" s="391">
        <v>0.1049</v>
      </c>
      <c r="N1306" s="38">
        <v>1.1612</v>
      </c>
    </row>
    <row r="1307">
      <c r="A1307" s="389" t="s">
        <v>1971</v>
      </c>
      <c r="B1307" s="389" t="s">
        <v>339</v>
      </c>
      <c r="C1307" s="389" t="s">
        <v>7</v>
      </c>
      <c r="D1307" s="389" t="s">
        <v>591</v>
      </c>
      <c r="E1307" s="390" t="s">
        <v>45</v>
      </c>
      <c r="F1307" s="391">
        <v>55602.0</v>
      </c>
      <c r="G1307" s="391">
        <v>4321.0</v>
      </c>
      <c r="H1307" s="391">
        <v>7.77</v>
      </c>
      <c r="I1307" s="391">
        <v>0.76</v>
      </c>
      <c r="J1307" s="391">
        <v>0.56</v>
      </c>
      <c r="K1307" s="391">
        <v>5270.0</v>
      </c>
      <c r="L1307" s="391">
        <v>690967.0</v>
      </c>
      <c r="M1307" s="391">
        <v>0.0948</v>
      </c>
      <c r="N1307" s="38">
        <v>1.2196</v>
      </c>
    </row>
    <row r="1308">
      <c r="A1308" s="389" t="s">
        <v>1971</v>
      </c>
      <c r="B1308" s="389" t="s">
        <v>339</v>
      </c>
      <c r="C1308" s="389" t="s">
        <v>7</v>
      </c>
      <c r="D1308" s="389" t="s">
        <v>591</v>
      </c>
      <c r="E1308" s="390" t="s">
        <v>108</v>
      </c>
      <c r="F1308" s="391">
        <v>55602.0</v>
      </c>
      <c r="G1308" s="391">
        <v>3404.0</v>
      </c>
      <c r="H1308" s="391">
        <v>6.12</v>
      </c>
      <c r="I1308" s="391">
        <v>0.61</v>
      </c>
      <c r="J1308" s="391">
        <v>0.52</v>
      </c>
      <c r="K1308" s="391">
        <v>4244.0</v>
      </c>
      <c r="L1308" s="391">
        <v>690967.0</v>
      </c>
      <c r="M1308" s="391">
        <v>0.0763</v>
      </c>
      <c r="N1308" s="38">
        <v>1.2468</v>
      </c>
    </row>
    <row r="1309">
      <c r="A1309" s="389" t="s">
        <v>1971</v>
      </c>
      <c r="B1309" s="389" t="s">
        <v>339</v>
      </c>
      <c r="C1309" s="389" t="s">
        <v>7</v>
      </c>
      <c r="D1309" s="389" t="s">
        <v>591</v>
      </c>
      <c r="E1309" s="390" t="s">
        <v>38</v>
      </c>
      <c r="F1309" s="391">
        <v>55602.0</v>
      </c>
      <c r="G1309" s="391">
        <v>975.0</v>
      </c>
      <c r="H1309" s="391">
        <v>1.75</v>
      </c>
      <c r="I1309" s="391">
        <v>0.14</v>
      </c>
      <c r="J1309" s="391">
        <v>0.14</v>
      </c>
      <c r="K1309" s="391">
        <v>992.0</v>
      </c>
      <c r="L1309" s="391">
        <v>690967.0</v>
      </c>
      <c r="M1309" s="391">
        <v>0.0178</v>
      </c>
      <c r="N1309" s="38">
        <v>1.0174</v>
      </c>
    </row>
    <row r="1310">
      <c r="A1310" s="389" t="s">
        <v>1971</v>
      </c>
      <c r="B1310" s="389" t="s">
        <v>339</v>
      </c>
      <c r="C1310" s="389" t="s">
        <v>7</v>
      </c>
      <c r="D1310" s="389" t="s">
        <v>591</v>
      </c>
      <c r="E1310" s="390" t="s">
        <v>372</v>
      </c>
      <c r="F1310" s="391">
        <v>55602.0</v>
      </c>
      <c r="G1310" s="391">
        <v>5.0</v>
      </c>
      <c r="H1310" s="391">
        <v>0.01</v>
      </c>
      <c r="I1310" s="391">
        <v>0.0</v>
      </c>
      <c r="J1310" s="391">
        <v>0.0</v>
      </c>
      <c r="K1310" s="391">
        <v>18.0</v>
      </c>
      <c r="L1310" s="391">
        <v>690967.0</v>
      </c>
      <c r="M1310" s="391">
        <v>3.0E-4</v>
      </c>
      <c r="N1310" s="38">
        <v>3.6</v>
      </c>
    </row>
    <row r="1311">
      <c r="A1311" s="389" t="s">
        <v>1971</v>
      </c>
      <c r="B1311" s="389" t="s">
        <v>339</v>
      </c>
      <c r="C1311" s="389" t="s">
        <v>7</v>
      </c>
      <c r="D1311" s="389" t="s">
        <v>591</v>
      </c>
      <c r="E1311" s="390" t="s">
        <v>27</v>
      </c>
      <c r="F1311" s="391">
        <v>55602.0</v>
      </c>
      <c r="G1311" s="391">
        <v>12.0</v>
      </c>
      <c r="H1311" s="391">
        <v>0.02</v>
      </c>
      <c r="I1311" s="391">
        <v>0.0</v>
      </c>
      <c r="J1311" s="391">
        <v>0.0</v>
      </c>
      <c r="K1311" s="391">
        <v>14.0</v>
      </c>
      <c r="L1311" s="391">
        <v>690967.0</v>
      </c>
      <c r="M1311" s="391">
        <v>3.0E-4</v>
      </c>
      <c r="N1311" s="38">
        <v>1.1667</v>
      </c>
    </row>
    <row r="1312">
      <c r="A1312" s="389" t="s">
        <v>1971</v>
      </c>
      <c r="B1312" s="389" t="s">
        <v>339</v>
      </c>
      <c r="C1312" s="389" t="s">
        <v>11</v>
      </c>
      <c r="D1312" s="389" t="s">
        <v>591</v>
      </c>
      <c r="E1312" s="390" t="s">
        <v>370</v>
      </c>
      <c r="F1312" s="391">
        <v>46281.0</v>
      </c>
      <c r="G1312" s="391">
        <v>34693.0</v>
      </c>
      <c r="H1312" s="391">
        <v>74.96</v>
      </c>
      <c r="I1312" s="391">
        <v>27.5</v>
      </c>
      <c r="J1312" s="391">
        <v>31.99</v>
      </c>
      <c r="K1312" s="391">
        <v>70655.0</v>
      </c>
      <c r="L1312" s="391">
        <v>256902.0</v>
      </c>
      <c r="M1312" s="391">
        <v>1.5267</v>
      </c>
      <c r="N1312" s="38">
        <v>2.0366</v>
      </c>
    </row>
    <row r="1313">
      <c r="A1313" s="389" t="s">
        <v>1971</v>
      </c>
      <c r="B1313" s="389" t="s">
        <v>339</v>
      </c>
      <c r="C1313" s="389" t="s">
        <v>11</v>
      </c>
      <c r="D1313" s="389" t="s">
        <v>591</v>
      </c>
      <c r="E1313" s="390" t="s">
        <v>37</v>
      </c>
      <c r="F1313" s="391">
        <v>46281.0</v>
      </c>
      <c r="G1313" s="391">
        <v>21703.0</v>
      </c>
      <c r="H1313" s="391">
        <v>46.89</v>
      </c>
      <c r="I1313" s="391">
        <v>16.03</v>
      </c>
      <c r="J1313" s="391">
        <v>17.36</v>
      </c>
      <c r="K1313" s="391">
        <v>41176.0</v>
      </c>
      <c r="L1313" s="391">
        <v>256902.0</v>
      </c>
      <c r="M1313" s="391">
        <v>0.8897</v>
      </c>
      <c r="N1313" s="38">
        <v>1.8972</v>
      </c>
    </row>
    <row r="1314">
      <c r="A1314" s="389" t="s">
        <v>1971</v>
      </c>
      <c r="B1314" s="389" t="s">
        <v>339</v>
      </c>
      <c r="C1314" s="389" t="s">
        <v>11</v>
      </c>
      <c r="D1314" s="389" t="s">
        <v>591</v>
      </c>
      <c r="E1314" s="390" t="s">
        <v>371</v>
      </c>
      <c r="F1314" s="391">
        <v>46281.0</v>
      </c>
      <c r="G1314" s="391">
        <v>12402.0</v>
      </c>
      <c r="H1314" s="391">
        <v>26.8</v>
      </c>
      <c r="I1314" s="391">
        <v>12.54</v>
      </c>
      <c r="J1314" s="391">
        <v>9.08</v>
      </c>
      <c r="K1314" s="391">
        <v>32228.0</v>
      </c>
      <c r="L1314" s="391">
        <v>256902.0</v>
      </c>
      <c r="M1314" s="391">
        <v>0.6964</v>
      </c>
      <c r="N1314" s="38">
        <v>2.5986</v>
      </c>
    </row>
    <row r="1315">
      <c r="A1315" s="389" t="s">
        <v>1971</v>
      </c>
      <c r="B1315" s="389" t="s">
        <v>339</v>
      </c>
      <c r="C1315" s="389" t="s">
        <v>11</v>
      </c>
      <c r="D1315" s="389" t="s">
        <v>591</v>
      </c>
      <c r="E1315" s="390" t="s">
        <v>45</v>
      </c>
      <c r="F1315" s="391">
        <v>46281.0</v>
      </c>
      <c r="G1315" s="391">
        <v>15123.0</v>
      </c>
      <c r="H1315" s="391">
        <v>32.68</v>
      </c>
      <c r="I1315" s="391">
        <v>8.59</v>
      </c>
      <c r="J1315" s="391">
        <v>9.45</v>
      </c>
      <c r="K1315" s="391">
        <v>22072.0</v>
      </c>
      <c r="L1315" s="391">
        <v>256902.0</v>
      </c>
      <c r="M1315" s="391">
        <v>0.4769</v>
      </c>
      <c r="N1315" s="38">
        <v>1.4595</v>
      </c>
    </row>
    <row r="1316">
      <c r="A1316" s="389" t="s">
        <v>1971</v>
      </c>
      <c r="B1316" s="389" t="s">
        <v>339</v>
      </c>
      <c r="C1316" s="389" t="s">
        <v>11</v>
      </c>
      <c r="D1316" s="389" t="s">
        <v>591</v>
      </c>
      <c r="E1316" s="390" t="s">
        <v>369</v>
      </c>
      <c r="F1316" s="391">
        <v>46281.0</v>
      </c>
      <c r="G1316" s="391">
        <v>10975.0</v>
      </c>
      <c r="H1316" s="391">
        <v>23.71</v>
      </c>
      <c r="I1316" s="391">
        <v>6.67</v>
      </c>
      <c r="J1316" s="391">
        <v>4.74</v>
      </c>
      <c r="K1316" s="391">
        <v>17141.0</v>
      </c>
      <c r="L1316" s="391">
        <v>256902.0</v>
      </c>
      <c r="M1316" s="391">
        <v>0.3704</v>
      </c>
      <c r="N1316" s="38">
        <v>1.5618</v>
      </c>
    </row>
    <row r="1317">
      <c r="A1317" s="389" t="s">
        <v>1971</v>
      </c>
      <c r="B1317" s="389" t="s">
        <v>339</v>
      </c>
      <c r="C1317" s="389" t="s">
        <v>11</v>
      </c>
      <c r="D1317" s="389" t="s">
        <v>591</v>
      </c>
      <c r="E1317" s="390" t="s">
        <v>365</v>
      </c>
      <c r="F1317" s="391">
        <v>46281.0</v>
      </c>
      <c r="G1317" s="391">
        <v>13603.0</v>
      </c>
      <c r="H1317" s="391">
        <v>29.39</v>
      </c>
      <c r="I1317" s="391">
        <v>6.27</v>
      </c>
      <c r="J1317" s="391">
        <v>7.13</v>
      </c>
      <c r="K1317" s="391">
        <v>16104.0</v>
      </c>
      <c r="L1317" s="391">
        <v>256902.0</v>
      </c>
      <c r="M1317" s="391">
        <v>0.348</v>
      </c>
      <c r="N1317" s="38">
        <v>1.1839</v>
      </c>
    </row>
    <row r="1318">
      <c r="A1318" s="389" t="s">
        <v>1971</v>
      </c>
      <c r="B1318" s="389" t="s">
        <v>339</v>
      </c>
      <c r="C1318" s="389" t="s">
        <v>11</v>
      </c>
      <c r="D1318" s="389" t="s">
        <v>591</v>
      </c>
      <c r="E1318" s="390" t="s">
        <v>108</v>
      </c>
      <c r="F1318" s="391">
        <v>46281.0</v>
      </c>
      <c r="G1318" s="391">
        <v>10914.0</v>
      </c>
      <c r="H1318" s="391">
        <v>23.58</v>
      </c>
      <c r="I1318" s="391">
        <v>6.03</v>
      </c>
      <c r="J1318" s="391">
        <v>7.22</v>
      </c>
      <c r="K1318" s="391">
        <v>15498.0</v>
      </c>
      <c r="L1318" s="391">
        <v>256902.0</v>
      </c>
      <c r="M1318" s="391">
        <v>0.3349</v>
      </c>
      <c r="N1318" s="38">
        <v>1.42</v>
      </c>
    </row>
    <row r="1319">
      <c r="A1319" s="389" t="s">
        <v>1971</v>
      </c>
      <c r="B1319" s="389" t="s">
        <v>339</v>
      </c>
      <c r="C1319" s="389" t="s">
        <v>11</v>
      </c>
      <c r="D1319" s="389" t="s">
        <v>591</v>
      </c>
      <c r="E1319" s="390" t="s">
        <v>363</v>
      </c>
      <c r="F1319" s="391">
        <v>46281.0</v>
      </c>
      <c r="G1319" s="391">
        <v>7872.0</v>
      </c>
      <c r="H1319" s="391">
        <v>17.01</v>
      </c>
      <c r="I1319" s="391">
        <v>5.55</v>
      </c>
      <c r="J1319" s="391">
        <v>4.18</v>
      </c>
      <c r="K1319" s="391">
        <v>14269.0</v>
      </c>
      <c r="L1319" s="391">
        <v>256902.0</v>
      </c>
      <c r="M1319" s="391">
        <v>0.3083</v>
      </c>
      <c r="N1319" s="38">
        <v>1.8126</v>
      </c>
    </row>
    <row r="1320">
      <c r="A1320" s="389" t="s">
        <v>1971</v>
      </c>
      <c r="B1320" s="389" t="s">
        <v>339</v>
      </c>
      <c r="C1320" s="389" t="s">
        <v>11</v>
      </c>
      <c r="D1320" s="389" t="s">
        <v>591</v>
      </c>
      <c r="E1320" s="390" t="s">
        <v>39</v>
      </c>
      <c r="F1320" s="391">
        <v>46281.0</v>
      </c>
      <c r="G1320" s="391">
        <v>5993.0</v>
      </c>
      <c r="H1320" s="391">
        <v>12.95</v>
      </c>
      <c r="I1320" s="391">
        <v>2.9</v>
      </c>
      <c r="J1320" s="391">
        <v>1.72</v>
      </c>
      <c r="K1320" s="391">
        <v>7438.0</v>
      </c>
      <c r="L1320" s="391">
        <v>256902.0</v>
      </c>
      <c r="M1320" s="391">
        <v>0.1607</v>
      </c>
      <c r="N1320" s="38">
        <v>1.2411</v>
      </c>
    </row>
    <row r="1321">
      <c r="A1321" s="389" t="s">
        <v>1971</v>
      </c>
      <c r="B1321" s="389" t="s">
        <v>339</v>
      </c>
      <c r="C1321" s="389" t="s">
        <v>11</v>
      </c>
      <c r="D1321" s="389" t="s">
        <v>591</v>
      </c>
      <c r="E1321" s="390" t="s">
        <v>35</v>
      </c>
      <c r="F1321" s="391">
        <v>46281.0</v>
      </c>
      <c r="G1321" s="391">
        <v>3386.0</v>
      </c>
      <c r="H1321" s="391">
        <v>7.32</v>
      </c>
      <c r="I1321" s="391">
        <v>2.09</v>
      </c>
      <c r="J1321" s="391">
        <v>1.86</v>
      </c>
      <c r="K1321" s="391">
        <v>5370.0</v>
      </c>
      <c r="L1321" s="391">
        <v>256902.0</v>
      </c>
      <c r="M1321" s="391">
        <v>0.116</v>
      </c>
      <c r="N1321" s="38">
        <v>1.5859</v>
      </c>
    </row>
    <row r="1322">
      <c r="A1322" s="389" t="s">
        <v>1971</v>
      </c>
      <c r="B1322" s="389" t="s">
        <v>339</v>
      </c>
      <c r="C1322" s="389" t="s">
        <v>11</v>
      </c>
      <c r="D1322" s="389" t="s">
        <v>591</v>
      </c>
      <c r="E1322" s="390" t="s">
        <v>366</v>
      </c>
      <c r="F1322" s="391">
        <v>46281.0</v>
      </c>
      <c r="G1322" s="391">
        <v>4721.0</v>
      </c>
      <c r="H1322" s="391">
        <v>10.2</v>
      </c>
      <c r="I1322" s="391">
        <v>1.93</v>
      </c>
      <c r="J1322" s="391">
        <v>1.37</v>
      </c>
      <c r="K1322" s="391">
        <v>4952.0</v>
      </c>
      <c r="L1322" s="391">
        <v>256902.0</v>
      </c>
      <c r="M1322" s="391">
        <v>0.107</v>
      </c>
      <c r="N1322" s="38">
        <v>1.0489</v>
      </c>
    </row>
    <row r="1323">
      <c r="A1323" s="389" t="s">
        <v>1971</v>
      </c>
      <c r="B1323" s="389" t="s">
        <v>339</v>
      </c>
      <c r="C1323" s="389" t="s">
        <v>11</v>
      </c>
      <c r="D1323" s="389" t="s">
        <v>591</v>
      </c>
      <c r="E1323" s="390" t="s">
        <v>282</v>
      </c>
      <c r="F1323" s="391">
        <v>46281.0</v>
      </c>
      <c r="G1323" s="391">
        <v>2912.0</v>
      </c>
      <c r="H1323" s="391">
        <v>6.29</v>
      </c>
      <c r="I1323" s="391">
        <v>1.24</v>
      </c>
      <c r="J1323" s="391">
        <v>1.28</v>
      </c>
      <c r="K1323" s="391">
        <v>3183.0</v>
      </c>
      <c r="L1323" s="391">
        <v>256902.0</v>
      </c>
      <c r="M1323" s="391">
        <v>0.0688</v>
      </c>
      <c r="N1323" s="38">
        <v>1.0931</v>
      </c>
    </row>
    <row r="1324">
      <c r="A1324" s="389" t="s">
        <v>1971</v>
      </c>
      <c r="B1324" s="389" t="s">
        <v>339</v>
      </c>
      <c r="C1324" s="389" t="s">
        <v>11</v>
      </c>
      <c r="D1324" s="389" t="s">
        <v>591</v>
      </c>
      <c r="E1324" s="390" t="s">
        <v>284</v>
      </c>
      <c r="F1324" s="391">
        <v>46281.0</v>
      </c>
      <c r="G1324" s="391">
        <v>2622.0</v>
      </c>
      <c r="H1324" s="391">
        <v>5.67</v>
      </c>
      <c r="I1324" s="391">
        <v>1.13</v>
      </c>
      <c r="J1324" s="391">
        <v>1.02</v>
      </c>
      <c r="K1324" s="391">
        <v>2906.0</v>
      </c>
      <c r="L1324" s="391">
        <v>256902.0</v>
      </c>
      <c r="M1324" s="391">
        <v>0.0628</v>
      </c>
      <c r="N1324" s="38">
        <v>1.1083</v>
      </c>
    </row>
    <row r="1325">
      <c r="A1325" s="389" t="s">
        <v>1971</v>
      </c>
      <c r="B1325" s="389" t="s">
        <v>339</v>
      </c>
      <c r="C1325" s="389" t="s">
        <v>11</v>
      </c>
      <c r="D1325" s="389" t="s">
        <v>591</v>
      </c>
      <c r="E1325" s="390" t="s">
        <v>283</v>
      </c>
      <c r="F1325" s="391">
        <v>46281.0</v>
      </c>
      <c r="G1325" s="391">
        <v>2685.0</v>
      </c>
      <c r="H1325" s="391">
        <v>5.8</v>
      </c>
      <c r="I1325" s="391">
        <v>1.12</v>
      </c>
      <c r="J1325" s="391">
        <v>1.21</v>
      </c>
      <c r="K1325" s="391">
        <v>2872.0</v>
      </c>
      <c r="L1325" s="391">
        <v>256902.0</v>
      </c>
      <c r="M1325" s="391">
        <v>0.0621</v>
      </c>
      <c r="N1325" s="38">
        <v>1.0696</v>
      </c>
    </row>
    <row r="1326">
      <c r="A1326" s="389" t="s">
        <v>1971</v>
      </c>
      <c r="B1326" s="389" t="s">
        <v>339</v>
      </c>
      <c r="C1326" s="389" t="s">
        <v>11</v>
      </c>
      <c r="D1326" s="389" t="s">
        <v>591</v>
      </c>
      <c r="E1326" s="390" t="s">
        <v>27</v>
      </c>
      <c r="F1326" s="391">
        <v>46281.0</v>
      </c>
      <c r="G1326" s="391">
        <v>666.0</v>
      </c>
      <c r="H1326" s="391">
        <v>1.44</v>
      </c>
      <c r="I1326" s="391">
        <v>0.26</v>
      </c>
      <c r="J1326" s="391">
        <v>0.28</v>
      </c>
      <c r="K1326" s="391">
        <v>677.0</v>
      </c>
      <c r="L1326" s="391">
        <v>256902.0</v>
      </c>
      <c r="M1326" s="391">
        <v>0.0146</v>
      </c>
      <c r="N1326" s="38">
        <v>1.0165</v>
      </c>
    </row>
    <row r="1327">
      <c r="A1327" s="389" t="s">
        <v>1971</v>
      </c>
      <c r="B1327" s="389" t="s">
        <v>339</v>
      </c>
      <c r="C1327" s="389" t="s">
        <v>11</v>
      </c>
      <c r="D1327" s="389" t="s">
        <v>591</v>
      </c>
      <c r="E1327" s="390" t="s">
        <v>368</v>
      </c>
      <c r="F1327" s="391">
        <v>46281.0</v>
      </c>
      <c r="G1327" s="391">
        <v>173.0</v>
      </c>
      <c r="H1327" s="391">
        <v>0.37</v>
      </c>
      <c r="I1327" s="391">
        <v>0.07</v>
      </c>
      <c r="J1327" s="391">
        <v>0.04</v>
      </c>
      <c r="K1327" s="391">
        <v>177.0</v>
      </c>
      <c r="L1327" s="391">
        <v>256902.0</v>
      </c>
      <c r="M1327" s="391">
        <v>0.0038</v>
      </c>
      <c r="N1327" s="38">
        <v>1.0231</v>
      </c>
    </row>
    <row r="1328">
      <c r="A1328" s="389" t="s">
        <v>1971</v>
      </c>
      <c r="B1328" s="389" t="s">
        <v>339</v>
      </c>
      <c r="C1328" s="389" t="s">
        <v>11</v>
      </c>
      <c r="D1328" s="389" t="s">
        <v>591</v>
      </c>
      <c r="E1328" s="390" t="s">
        <v>38</v>
      </c>
      <c r="F1328" s="391">
        <v>46281.0</v>
      </c>
      <c r="G1328" s="391">
        <v>150.0</v>
      </c>
      <c r="H1328" s="391">
        <v>0.32</v>
      </c>
      <c r="I1328" s="391">
        <v>0.06</v>
      </c>
      <c r="J1328" s="391">
        <v>0.07</v>
      </c>
      <c r="K1328" s="391">
        <v>154.0</v>
      </c>
      <c r="L1328" s="391">
        <v>256902.0</v>
      </c>
      <c r="M1328" s="391">
        <v>0.0033</v>
      </c>
      <c r="N1328" s="38">
        <v>1.0267</v>
      </c>
    </row>
    <row r="1329">
      <c r="A1329" s="389" t="s">
        <v>1971</v>
      </c>
      <c r="B1329" s="389" t="s">
        <v>339</v>
      </c>
      <c r="C1329" s="389" t="s">
        <v>11</v>
      </c>
      <c r="D1329" s="389" t="s">
        <v>591</v>
      </c>
      <c r="E1329" s="390" t="s">
        <v>372</v>
      </c>
      <c r="F1329" s="391">
        <v>46281.0</v>
      </c>
      <c r="G1329" s="391">
        <v>5.0</v>
      </c>
      <c r="H1329" s="391">
        <v>0.01</v>
      </c>
      <c r="I1329" s="391">
        <v>0.01</v>
      </c>
      <c r="J1329" s="391">
        <v>0.01</v>
      </c>
      <c r="K1329" s="391">
        <v>24.0</v>
      </c>
      <c r="L1329" s="391">
        <v>256902.0</v>
      </c>
      <c r="M1329" s="391">
        <v>5.0E-4</v>
      </c>
      <c r="N1329" s="38">
        <v>4.8</v>
      </c>
    </row>
    <row r="1330">
      <c r="A1330" s="389" t="s">
        <v>1971</v>
      </c>
      <c r="B1330" s="389" t="s">
        <v>339</v>
      </c>
      <c r="C1330" s="389" t="s">
        <v>11</v>
      </c>
      <c r="D1330" s="389" t="s">
        <v>591</v>
      </c>
      <c r="E1330" s="390" t="s">
        <v>163</v>
      </c>
      <c r="F1330" s="391">
        <v>46281.0</v>
      </c>
      <c r="G1330" s="391">
        <v>4.0</v>
      </c>
      <c r="H1330" s="391">
        <v>0.01</v>
      </c>
      <c r="I1330" s="391">
        <v>0.0</v>
      </c>
      <c r="J1330" s="391">
        <v>0.0</v>
      </c>
      <c r="K1330" s="391">
        <v>4.0</v>
      </c>
      <c r="L1330" s="391">
        <v>256902.0</v>
      </c>
      <c r="M1330" s="391">
        <v>1.0E-4</v>
      </c>
      <c r="N1330" s="38">
        <v>1.0</v>
      </c>
    </row>
    <row r="1331">
      <c r="A1331" s="389" t="s">
        <v>1971</v>
      </c>
      <c r="B1331" s="389" t="s">
        <v>339</v>
      </c>
      <c r="C1331" s="389" t="s">
        <v>11</v>
      </c>
      <c r="D1331" s="389" t="s">
        <v>591</v>
      </c>
      <c r="E1331" s="390" t="s">
        <v>367</v>
      </c>
      <c r="F1331" s="391">
        <v>46281.0</v>
      </c>
      <c r="G1331" s="391">
        <v>2.0</v>
      </c>
      <c r="H1331" s="391">
        <v>0.0</v>
      </c>
      <c r="I1331" s="391">
        <v>0.0</v>
      </c>
      <c r="J1331" s="391">
        <v>0.0</v>
      </c>
      <c r="K1331" s="391">
        <v>2.0</v>
      </c>
      <c r="L1331" s="391">
        <v>256902.0</v>
      </c>
      <c r="M1331" s="391">
        <v>0.0</v>
      </c>
      <c r="N1331" s="38">
        <v>1.0</v>
      </c>
    </row>
    <row r="1332">
      <c r="A1332" s="389" t="s">
        <v>1971</v>
      </c>
      <c r="B1332" s="389" t="s">
        <v>339</v>
      </c>
      <c r="C1332" s="389" t="s">
        <v>357</v>
      </c>
      <c r="D1332" s="389" t="s">
        <v>357</v>
      </c>
      <c r="E1332" s="390" t="s">
        <v>370</v>
      </c>
      <c r="F1332" s="391">
        <v>57138.0</v>
      </c>
      <c r="G1332" s="391">
        <v>56208.0</v>
      </c>
      <c r="H1332" s="391">
        <v>98.37</v>
      </c>
      <c r="I1332" s="391">
        <v>26.93</v>
      </c>
      <c r="J1332" s="391">
        <v>29.83</v>
      </c>
      <c r="K1332" s="391">
        <v>1.268969E7</v>
      </c>
      <c r="L1332" s="391">
        <v>4.7117973E7</v>
      </c>
      <c r="M1332" s="391">
        <v>222.0885</v>
      </c>
      <c r="N1332" s="38">
        <v>225.7631</v>
      </c>
    </row>
    <row r="1333">
      <c r="A1333" s="389" t="s">
        <v>1971</v>
      </c>
      <c r="B1333" s="389" t="s">
        <v>339</v>
      </c>
      <c r="C1333" s="389" t="s">
        <v>357</v>
      </c>
      <c r="D1333" s="389" t="s">
        <v>357</v>
      </c>
      <c r="E1333" s="390" t="s">
        <v>366</v>
      </c>
      <c r="F1333" s="391">
        <v>57138.0</v>
      </c>
      <c r="G1333" s="391">
        <v>46932.0</v>
      </c>
      <c r="H1333" s="391">
        <v>82.14</v>
      </c>
      <c r="I1333" s="391">
        <v>11.92</v>
      </c>
      <c r="J1333" s="391">
        <v>12.36</v>
      </c>
      <c r="K1333" s="391">
        <v>5618520.0</v>
      </c>
      <c r="L1333" s="391">
        <v>4.7117973E7</v>
      </c>
      <c r="M1333" s="391">
        <v>98.3325</v>
      </c>
      <c r="N1333" s="38">
        <v>119.7162</v>
      </c>
    </row>
    <row r="1334">
      <c r="A1334" s="389" t="s">
        <v>1971</v>
      </c>
      <c r="B1334" s="389" t="s">
        <v>339</v>
      </c>
      <c r="C1334" s="389" t="s">
        <v>357</v>
      </c>
      <c r="D1334" s="389" t="s">
        <v>357</v>
      </c>
      <c r="E1334" s="390" t="s">
        <v>365</v>
      </c>
      <c r="F1334" s="391">
        <v>57138.0</v>
      </c>
      <c r="G1334" s="391">
        <v>38834.0</v>
      </c>
      <c r="H1334" s="391">
        <v>67.97</v>
      </c>
      <c r="I1334" s="391">
        <v>7.74</v>
      </c>
      <c r="J1334" s="391">
        <v>8.31</v>
      </c>
      <c r="K1334" s="391">
        <v>3649150.0</v>
      </c>
      <c r="L1334" s="391">
        <v>4.7117973E7</v>
      </c>
      <c r="M1334" s="391">
        <v>63.8656</v>
      </c>
      <c r="N1334" s="38">
        <v>93.9679</v>
      </c>
    </row>
    <row r="1335">
      <c r="A1335" s="389" t="s">
        <v>1971</v>
      </c>
      <c r="B1335" s="389" t="s">
        <v>339</v>
      </c>
      <c r="C1335" s="389" t="s">
        <v>357</v>
      </c>
      <c r="D1335" s="389" t="s">
        <v>357</v>
      </c>
      <c r="E1335" s="390" t="s">
        <v>45</v>
      </c>
      <c r="F1335" s="391">
        <v>57138.0</v>
      </c>
      <c r="G1335" s="391">
        <v>28065.0</v>
      </c>
      <c r="H1335" s="391">
        <v>49.12</v>
      </c>
      <c r="I1335" s="391">
        <v>7.43</v>
      </c>
      <c r="J1335" s="391">
        <v>7.04</v>
      </c>
      <c r="K1335" s="391">
        <v>3502275.0</v>
      </c>
      <c r="L1335" s="391">
        <v>4.7117973E7</v>
      </c>
      <c r="M1335" s="391">
        <v>61.295</v>
      </c>
      <c r="N1335" s="38">
        <v>124.7916</v>
      </c>
    </row>
    <row r="1336">
      <c r="A1336" s="389" t="s">
        <v>1971</v>
      </c>
      <c r="B1336" s="389" t="s">
        <v>339</v>
      </c>
      <c r="C1336" s="389" t="s">
        <v>357</v>
      </c>
      <c r="D1336" s="389" t="s">
        <v>357</v>
      </c>
      <c r="E1336" s="390" t="s">
        <v>37</v>
      </c>
      <c r="F1336" s="391">
        <v>57138.0</v>
      </c>
      <c r="G1336" s="391">
        <v>22252.0</v>
      </c>
      <c r="H1336" s="391">
        <v>38.94</v>
      </c>
      <c r="I1336" s="391">
        <v>6.26</v>
      </c>
      <c r="J1336" s="391">
        <v>6.22</v>
      </c>
      <c r="K1336" s="391">
        <v>2947240.0</v>
      </c>
      <c r="L1336" s="391">
        <v>4.7117973E7</v>
      </c>
      <c r="M1336" s="391">
        <v>51.5811</v>
      </c>
      <c r="N1336" s="38">
        <v>132.4483</v>
      </c>
    </row>
    <row r="1337">
      <c r="A1337" s="389" t="s">
        <v>1971</v>
      </c>
      <c r="B1337" s="389" t="s">
        <v>339</v>
      </c>
      <c r="C1337" s="389" t="s">
        <v>357</v>
      </c>
      <c r="D1337" s="389" t="s">
        <v>357</v>
      </c>
      <c r="E1337" s="390" t="s">
        <v>371</v>
      </c>
      <c r="F1337" s="391">
        <v>57138.0</v>
      </c>
      <c r="G1337" s="391">
        <v>45758.0</v>
      </c>
      <c r="H1337" s="391">
        <v>80.08</v>
      </c>
      <c r="I1337" s="391">
        <v>6.25</v>
      </c>
      <c r="J1337" s="391">
        <v>8.48</v>
      </c>
      <c r="K1337" s="391">
        <v>2945825.0</v>
      </c>
      <c r="L1337" s="391">
        <v>4.7117973E7</v>
      </c>
      <c r="M1337" s="391">
        <v>51.5563</v>
      </c>
      <c r="N1337" s="38">
        <v>64.3784</v>
      </c>
    </row>
    <row r="1338">
      <c r="A1338" s="389" t="s">
        <v>1971</v>
      </c>
      <c r="B1338" s="389" t="s">
        <v>339</v>
      </c>
      <c r="C1338" s="389" t="s">
        <v>357</v>
      </c>
      <c r="D1338" s="389" t="s">
        <v>357</v>
      </c>
      <c r="E1338" s="390" t="s">
        <v>369</v>
      </c>
      <c r="F1338" s="391">
        <v>57138.0</v>
      </c>
      <c r="G1338" s="391">
        <v>25131.0</v>
      </c>
      <c r="H1338" s="391">
        <v>43.98</v>
      </c>
      <c r="I1338" s="391">
        <v>6.23</v>
      </c>
      <c r="J1338" s="391">
        <v>4.63</v>
      </c>
      <c r="K1338" s="391">
        <v>2937753.0</v>
      </c>
      <c r="L1338" s="391">
        <v>4.7117973E7</v>
      </c>
      <c r="M1338" s="391">
        <v>51.415</v>
      </c>
      <c r="N1338" s="38">
        <v>116.8976</v>
      </c>
    </row>
    <row r="1339">
      <c r="A1339" s="389" t="s">
        <v>1971</v>
      </c>
      <c r="B1339" s="389" t="s">
        <v>339</v>
      </c>
      <c r="C1339" s="389" t="s">
        <v>357</v>
      </c>
      <c r="D1339" s="389" t="s">
        <v>357</v>
      </c>
      <c r="E1339" s="390" t="s">
        <v>35</v>
      </c>
      <c r="F1339" s="391">
        <v>57138.0</v>
      </c>
      <c r="G1339" s="391">
        <v>19288.0</v>
      </c>
      <c r="H1339" s="391">
        <v>33.76</v>
      </c>
      <c r="I1339" s="391">
        <v>4.72</v>
      </c>
      <c r="J1339" s="391">
        <v>3.86</v>
      </c>
      <c r="K1339" s="391">
        <v>2223310.0</v>
      </c>
      <c r="L1339" s="391">
        <v>4.7117973E7</v>
      </c>
      <c r="M1339" s="391">
        <v>38.9112</v>
      </c>
      <c r="N1339" s="38">
        <v>115.2691</v>
      </c>
    </row>
    <row r="1340">
      <c r="A1340" s="389" t="s">
        <v>1971</v>
      </c>
      <c r="B1340" s="389" t="s">
        <v>339</v>
      </c>
      <c r="C1340" s="389" t="s">
        <v>357</v>
      </c>
      <c r="D1340" s="389" t="s">
        <v>357</v>
      </c>
      <c r="E1340" s="390" t="s">
        <v>367</v>
      </c>
      <c r="F1340" s="391">
        <v>57138.0</v>
      </c>
      <c r="G1340" s="391">
        <v>22712.0</v>
      </c>
      <c r="H1340" s="391">
        <v>39.75</v>
      </c>
      <c r="I1340" s="391">
        <v>4.38</v>
      </c>
      <c r="J1340" s="391">
        <v>4.59</v>
      </c>
      <c r="K1340" s="391">
        <v>2061635.0</v>
      </c>
      <c r="L1340" s="391">
        <v>4.7117973E7</v>
      </c>
      <c r="M1340" s="391">
        <v>36.0817</v>
      </c>
      <c r="N1340" s="38">
        <v>90.7729</v>
      </c>
    </row>
    <row r="1341">
      <c r="A1341" s="389" t="s">
        <v>1971</v>
      </c>
      <c r="B1341" s="389" t="s">
        <v>339</v>
      </c>
      <c r="C1341" s="389" t="s">
        <v>357</v>
      </c>
      <c r="D1341" s="389" t="s">
        <v>357</v>
      </c>
      <c r="E1341" s="390" t="s">
        <v>363</v>
      </c>
      <c r="F1341" s="391">
        <v>57138.0</v>
      </c>
      <c r="G1341" s="391">
        <v>19292.0</v>
      </c>
      <c r="H1341" s="391">
        <v>33.76</v>
      </c>
      <c r="I1341" s="391">
        <v>2.9</v>
      </c>
      <c r="J1341" s="391">
        <v>2.28</v>
      </c>
      <c r="K1341" s="391">
        <v>1366280.0</v>
      </c>
      <c r="L1341" s="391">
        <v>4.7117973E7</v>
      </c>
      <c r="M1341" s="391">
        <v>23.9119</v>
      </c>
      <c r="N1341" s="38">
        <v>70.8211</v>
      </c>
    </row>
    <row r="1342">
      <c r="A1342" s="389" t="s">
        <v>1971</v>
      </c>
      <c r="B1342" s="389" t="s">
        <v>339</v>
      </c>
      <c r="C1342" s="389" t="s">
        <v>357</v>
      </c>
      <c r="D1342" s="389" t="s">
        <v>357</v>
      </c>
      <c r="E1342" s="390" t="s">
        <v>282</v>
      </c>
      <c r="F1342" s="391">
        <v>57138.0</v>
      </c>
      <c r="G1342" s="391">
        <v>8970.0</v>
      </c>
      <c r="H1342" s="391">
        <v>15.7</v>
      </c>
      <c r="I1342" s="391">
        <v>2.56</v>
      </c>
      <c r="J1342" s="391">
        <v>2.01</v>
      </c>
      <c r="K1342" s="391">
        <v>1205650.0</v>
      </c>
      <c r="L1342" s="391">
        <v>4.7117973E7</v>
      </c>
      <c r="M1342" s="391">
        <v>21.1007</v>
      </c>
      <c r="N1342" s="38">
        <v>134.4091</v>
      </c>
    </row>
    <row r="1343">
      <c r="A1343" s="389" t="s">
        <v>1971</v>
      </c>
      <c r="B1343" s="389" t="s">
        <v>339</v>
      </c>
      <c r="C1343" s="389" t="s">
        <v>357</v>
      </c>
      <c r="D1343" s="389" t="s">
        <v>357</v>
      </c>
      <c r="E1343" s="390" t="s">
        <v>108</v>
      </c>
      <c r="F1343" s="391">
        <v>57138.0</v>
      </c>
      <c r="G1343" s="391">
        <v>13207.0</v>
      </c>
      <c r="H1343" s="391">
        <v>23.11</v>
      </c>
      <c r="I1343" s="391">
        <v>2.43</v>
      </c>
      <c r="J1343" s="391">
        <v>2.07</v>
      </c>
      <c r="K1343" s="391">
        <v>1143110.0</v>
      </c>
      <c r="L1343" s="391">
        <v>4.7117973E7</v>
      </c>
      <c r="M1343" s="391">
        <v>20.0061</v>
      </c>
      <c r="N1343" s="38">
        <v>86.5533</v>
      </c>
    </row>
    <row r="1344">
      <c r="A1344" s="389" t="s">
        <v>1971</v>
      </c>
      <c r="B1344" s="389" t="s">
        <v>339</v>
      </c>
      <c r="C1344" s="389" t="s">
        <v>357</v>
      </c>
      <c r="D1344" s="389" t="s">
        <v>357</v>
      </c>
      <c r="E1344" s="390" t="s">
        <v>284</v>
      </c>
      <c r="F1344" s="391">
        <v>57138.0</v>
      </c>
      <c r="G1344" s="391">
        <v>7771.0</v>
      </c>
      <c r="H1344" s="391">
        <v>13.6</v>
      </c>
      <c r="I1344" s="391">
        <v>2.28</v>
      </c>
      <c r="J1344" s="391">
        <v>1.73</v>
      </c>
      <c r="K1344" s="391">
        <v>1076350.0</v>
      </c>
      <c r="L1344" s="391">
        <v>4.7117973E7</v>
      </c>
      <c r="M1344" s="391">
        <v>18.8377</v>
      </c>
      <c r="N1344" s="38">
        <v>138.5086</v>
      </c>
    </row>
    <row r="1345">
      <c r="A1345" s="389" t="s">
        <v>1971</v>
      </c>
      <c r="B1345" s="389" t="s">
        <v>339</v>
      </c>
      <c r="C1345" s="389" t="s">
        <v>357</v>
      </c>
      <c r="D1345" s="389" t="s">
        <v>357</v>
      </c>
      <c r="E1345" s="390" t="s">
        <v>283</v>
      </c>
      <c r="F1345" s="391">
        <v>57138.0</v>
      </c>
      <c r="G1345" s="391">
        <v>7989.0</v>
      </c>
      <c r="H1345" s="391">
        <v>13.98</v>
      </c>
      <c r="I1345" s="391">
        <v>2.26</v>
      </c>
      <c r="J1345" s="391">
        <v>1.82</v>
      </c>
      <c r="K1345" s="391">
        <v>1064300.0</v>
      </c>
      <c r="L1345" s="391">
        <v>4.7117973E7</v>
      </c>
      <c r="M1345" s="391">
        <v>18.6268</v>
      </c>
      <c r="N1345" s="38">
        <v>133.2207</v>
      </c>
    </row>
    <row r="1346">
      <c r="A1346" s="389" t="s">
        <v>1971</v>
      </c>
      <c r="B1346" s="389" t="s">
        <v>339</v>
      </c>
      <c r="C1346" s="389" t="s">
        <v>357</v>
      </c>
      <c r="D1346" s="389" t="s">
        <v>357</v>
      </c>
      <c r="E1346" s="390" t="s">
        <v>39</v>
      </c>
      <c r="F1346" s="391">
        <v>57138.0</v>
      </c>
      <c r="G1346" s="391">
        <v>28585.0</v>
      </c>
      <c r="H1346" s="391">
        <v>50.03</v>
      </c>
      <c r="I1346" s="391">
        <v>2.14</v>
      </c>
      <c r="J1346" s="391">
        <v>1.79</v>
      </c>
      <c r="K1346" s="391">
        <v>1006810.0</v>
      </c>
      <c r="L1346" s="391">
        <v>4.7117973E7</v>
      </c>
      <c r="M1346" s="391">
        <v>17.6207</v>
      </c>
      <c r="N1346" s="38">
        <v>35.2216</v>
      </c>
    </row>
    <row r="1347">
      <c r="A1347" s="389" t="s">
        <v>1971</v>
      </c>
      <c r="B1347" s="389" t="s">
        <v>339</v>
      </c>
      <c r="C1347" s="389" t="s">
        <v>357</v>
      </c>
      <c r="D1347" s="389" t="s">
        <v>357</v>
      </c>
      <c r="E1347" s="390" t="s">
        <v>368</v>
      </c>
      <c r="F1347" s="391">
        <v>57138.0</v>
      </c>
      <c r="G1347" s="391">
        <v>18644.0</v>
      </c>
      <c r="H1347" s="391">
        <v>32.63</v>
      </c>
      <c r="I1347" s="391">
        <v>1.52</v>
      </c>
      <c r="J1347" s="391">
        <v>1.38</v>
      </c>
      <c r="K1347" s="391">
        <v>714125.0</v>
      </c>
      <c r="L1347" s="391">
        <v>4.7117973E7</v>
      </c>
      <c r="M1347" s="391">
        <v>12.4982</v>
      </c>
      <c r="N1347" s="38">
        <v>38.3032</v>
      </c>
    </row>
    <row r="1348">
      <c r="A1348" s="389" t="s">
        <v>1971</v>
      </c>
      <c r="B1348" s="389" t="s">
        <v>339</v>
      </c>
      <c r="C1348" s="389" t="s">
        <v>357</v>
      </c>
      <c r="D1348" s="389" t="s">
        <v>357</v>
      </c>
      <c r="E1348" s="390" t="s">
        <v>38</v>
      </c>
      <c r="F1348" s="391">
        <v>57138.0</v>
      </c>
      <c r="G1348" s="391">
        <v>1825.0</v>
      </c>
      <c r="H1348" s="391">
        <v>3.19</v>
      </c>
      <c r="I1348" s="391">
        <v>0.61</v>
      </c>
      <c r="J1348" s="391">
        <v>0.42</v>
      </c>
      <c r="K1348" s="391">
        <v>285450.0</v>
      </c>
      <c r="L1348" s="391">
        <v>4.7117973E7</v>
      </c>
      <c r="M1348" s="391">
        <v>4.9958</v>
      </c>
      <c r="N1348" s="38">
        <v>156.411</v>
      </c>
    </row>
    <row r="1349">
      <c r="A1349" s="389" t="s">
        <v>1971</v>
      </c>
      <c r="B1349" s="389" t="s">
        <v>339</v>
      </c>
      <c r="C1349" s="389" t="s">
        <v>357</v>
      </c>
      <c r="D1349" s="389" t="s">
        <v>357</v>
      </c>
      <c r="E1349" s="390" t="s">
        <v>27</v>
      </c>
      <c r="F1349" s="391">
        <v>57138.0</v>
      </c>
      <c r="G1349" s="391">
        <v>2173.0</v>
      </c>
      <c r="H1349" s="391">
        <v>3.8</v>
      </c>
      <c r="I1349" s="391">
        <v>0.54</v>
      </c>
      <c r="J1349" s="391">
        <v>0.42</v>
      </c>
      <c r="K1349" s="391">
        <v>254325.0</v>
      </c>
      <c r="L1349" s="391">
        <v>4.7117973E7</v>
      </c>
      <c r="M1349" s="391">
        <v>4.4511</v>
      </c>
      <c r="N1349" s="38">
        <v>117.0387</v>
      </c>
    </row>
    <row r="1350">
      <c r="A1350" s="389" t="s">
        <v>1971</v>
      </c>
      <c r="B1350" s="389" t="s">
        <v>339</v>
      </c>
      <c r="C1350" s="389" t="s">
        <v>357</v>
      </c>
      <c r="D1350" s="389" t="s">
        <v>357</v>
      </c>
      <c r="E1350" s="390" t="s">
        <v>163</v>
      </c>
      <c r="F1350" s="391">
        <v>57138.0</v>
      </c>
      <c r="G1350" s="391">
        <v>7918.0</v>
      </c>
      <c r="H1350" s="391">
        <v>13.86</v>
      </c>
      <c r="I1350" s="391">
        <v>0.47</v>
      </c>
      <c r="J1350" s="391">
        <v>0.39</v>
      </c>
      <c r="K1350" s="391">
        <v>221275.0</v>
      </c>
      <c r="L1350" s="391">
        <v>4.7117973E7</v>
      </c>
      <c r="M1350" s="391">
        <v>3.8726</v>
      </c>
      <c r="N1350" s="38">
        <v>27.9458</v>
      </c>
    </row>
    <row r="1351">
      <c r="A1351" s="389" t="s">
        <v>1971</v>
      </c>
      <c r="B1351" s="389" t="s">
        <v>339</v>
      </c>
      <c r="C1351" s="389" t="s">
        <v>357</v>
      </c>
      <c r="D1351" s="389" t="s">
        <v>357</v>
      </c>
      <c r="E1351" s="390" t="s">
        <v>30</v>
      </c>
      <c r="F1351" s="391">
        <v>57138.0</v>
      </c>
      <c r="G1351" s="391">
        <v>6926.0</v>
      </c>
      <c r="H1351" s="391">
        <v>12.12</v>
      </c>
      <c r="I1351" s="391">
        <v>0.43</v>
      </c>
      <c r="J1351" s="391">
        <v>0.36</v>
      </c>
      <c r="K1351" s="391">
        <v>203700.0</v>
      </c>
      <c r="L1351" s="391">
        <v>4.7117973E7</v>
      </c>
      <c r="M1351" s="391">
        <v>3.5651</v>
      </c>
      <c r="N1351" s="38">
        <v>29.4109</v>
      </c>
    </row>
    <row r="1352">
      <c r="A1352" s="389" t="s">
        <v>1971</v>
      </c>
      <c r="B1352" s="389" t="s">
        <v>339</v>
      </c>
      <c r="C1352" s="389" t="s">
        <v>357</v>
      </c>
      <c r="D1352" s="389" t="s">
        <v>357</v>
      </c>
      <c r="E1352" s="390" t="s">
        <v>372</v>
      </c>
      <c r="F1352" s="391">
        <v>57138.0</v>
      </c>
      <c r="G1352" s="391">
        <v>1.0</v>
      </c>
      <c r="H1352" s="391">
        <v>0.0</v>
      </c>
      <c r="I1352" s="391">
        <v>0.0</v>
      </c>
      <c r="J1352" s="391">
        <v>0.0</v>
      </c>
      <c r="K1352" s="391">
        <v>1200.0</v>
      </c>
      <c r="L1352" s="391">
        <v>4.7117973E7</v>
      </c>
      <c r="M1352" s="391">
        <v>0.021</v>
      </c>
      <c r="N1352" s="38">
        <v>1200.0</v>
      </c>
    </row>
    <row r="1353">
      <c r="A1353" s="389" t="s">
        <v>1971</v>
      </c>
      <c r="B1353" s="389" t="s">
        <v>339</v>
      </c>
      <c r="C1353" s="389" t="s">
        <v>6</v>
      </c>
      <c r="D1353" s="389" t="s">
        <v>591</v>
      </c>
      <c r="E1353" s="390" t="s">
        <v>370</v>
      </c>
      <c r="F1353" s="391">
        <v>55483.0</v>
      </c>
      <c r="G1353" s="391">
        <v>48154.0</v>
      </c>
      <c r="H1353" s="391">
        <v>86.79</v>
      </c>
      <c r="I1353" s="391">
        <v>40.72</v>
      </c>
      <c r="J1353" s="391">
        <v>37.1</v>
      </c>
      <c r="K1353" s="391">
        <v>280343.0</v>
      </c>
      <c r="L1353" s="391">
        <v>688484.0</v>
      </c>
      <c r="M1353" s="391">
        <v>5.0528</v>
      </c>
      <c r="N1353" s="38">
        <v>5.8218</v>
      </c>
    </row>
    <row r="1354">
      <c r="A1354" s="389" t="s">
        <v>1971</v>
      </c>
      <c r="B1354" s="389" t="s">
        <v>339</v>
      </c>
      <c r="C1354" s="389" t="s">
        <v>6</v>
      </c>
      <c r="D1354" s="389" t="s">
        <v>591</v>
      </c>
      <c r="E1354" s="390" t="s">
        <v>371</v>
      </c>
      <c r="F1354" s="391">
        <v>55483.0</v>
      </c>
      <c r="G1354" s="391">
        <v>41698.0</v>
      </c>
      <c r="H1354" s="391">
        <v>75.15</v>
      </c>
      <c r="I1354" s="391">
        <v>20.89</v>
      </c>
      <c r="J1354" s="391">
        <v>22.8</v>
      </c>
      <c r="K1354" s="391">
        <v>143843.0</v>
      </c>
      <c r="L1354" s="391">
        <v>688484.0</v>
      </c>
      <c r="M1354" s="391">
        <v>2.5926</v>
      </c>
      <c r="N1354" s="38">
        <v>3.4496</v>
      </c>
    </row>
    <row r="1355">
      <c r="A1355" s="389" t="s">
        <v>1971</v>
      </c>
      <c r="B1355" s="389" t="s">
        <v>339</v>
      </c>
      <c r="C1355" s="389" t="s">
        <v>6</v>
      </c>
      <c r="D1355" s="389" t="s">
        <v>591</v>
      </c>
      <c r="E1355" s="390" t="s">
        <v>369</v>
      </c>
      <c r="F1355" s="391">
        <v>55483.0</v>
      </c>
      <c r="G1355" s="391">
        <v>38873.0</v>
      </c>
      <c r="H1355" s="391">
        <v>70.06</v>
      </c>
      <c r="I1355" s="391">
        <v>10.45</v>
      </c>
      <c r="J1355" s="391">
        <v>13.03</v>
      </c>
      <c r="K1355" s="391">
        <v>71944.0</v>
      </c>
      <c r="L1355" s="391">
        <v>688484.0</v>
      </c>
      <c r="M1355" s="391">
        <v>1.2967</v>
      </c>
      <c r="N1355" s="38">
        <v>1.8507</v>
      </c>
    </row>
    <row r="1356">
      <c r="A1356" s="389" t="s">
        <v>1971</v>
      </c>
      <c r="B1356" s="389" t="s">
        <v>339</v>
      </c>
      <c r="C1356" s="389" t="s">
        <v>6</v>
      </c>
      <c r="D1356" s="389" t="s">
        <v>591</v>
      </c>
      <c r="E1356" s="390" t="s">
        <v>39</v>
      </c>
      <c r="F1356" s="391">
        <v>55483.0</v>
      </c>
      <c r="G1356" s="391">
        <v>33377.0</v>
      </c>
      <c r="H1356" s="391">
        <v>60.16</v>
      </c>
      <c r="I1356" s="391">
        <v>7.69</v>
      </c>
      <c r="J1356" s="391">
        <v>9.19</v>
      </c>
      <c r="K1356" s="391">
        <v>52962.0</v>
      </c>
      <c r="L1356" s="391">
        <v>688484.0</v>
      </c>
      <c r="M1356" s="391">
        <v>0.9546</v>
      </c>
      <c r="N1356" s="38">
        <v>1.5868</v>
      </c>
    </row>
    <row r="1357">
      <c r="A1357" s="389" t="s">
        <v>1971</v>
      </c>
      <c r="B1357" s="389" t="s">
        <v>339</v>
      </c>
      <c r="C1357" s="389" t="s">
        <v>6</v>
      </c>
      <c r="D1357" s="389" t="s">
        <v>591</v>
      </c>
      <c r="E1357" s="390" t="s">
        <v>367</v>
      </c>
      <c r="F1357" s="391">
        <v>55483.0</v>
      </c>
      <c r="G1357" s="391">
        <v>19295.0</v>
      </c>
      <c r="H1357" s="391">
        <v>34.78</v>
      </c>
      <c r="I1357" s="391">
        <v>6.56</v>
      </c>
      <c r="J1357" s="391">
        <v>6.12</v>
      </c>
      <c r="K1357" s="391">
        <v>45171.0</v>
      </c>
      <c r="L1357" s="391">
        <v>688484.0</v>
      </c>
      <c r="M1357" s="391">
        <v>0.8141</v>
      </c>
      <c r="N1357" s="38">
        <v>2.3411</v>
      </c>
    </row>
    <row r="1358">
      <c r="A1358" s="389" t="s">
        <v>1971</v>
      </c>
      <c r="B1358" s="389" t="s">
        <v>339</v>
      </c>
      <c r="C1358" s="389" t="s">
        <v>6</v>
      </c>
      <c r="D1358" s="389" t="s">
        <v>591</v>
      </c>
      <c r="E1358" s="390" t="s">
        <v>44</v>
      </c>
      <c r="F1358" s="391">
        <v>55483.0</v>
      </c>
      <c r="G1358" s="391">
        <v>20674.0</v>
      </c>
      <c r="H1358" s="391">
        <v>37.26</v>
      </c>
      <c r="I1358" s="391">
        <v>5.39</v>
      </c>
      <c r="J1358" s="391">
        <v>4.79</v>
      </c>
      <c r="K1358" s="391">
        <v>37097.0</v>
      </c>
      <c r="L1358" s="391">
        <v>688484.0</v>
      </c>
      <c r="M1358" s="391">
        <v>0.6686</v>
      </c>
      <c r="N1358" s="38">
        <v>1.7944</v>
      </c>
    </row>
    <row r="1359">
      <c r="A1359" s="389" t="s">
        <v>1971</v>
      </c>
      <c r="B1359" s="389" t="s">
        <v>339</v>
      </c>
      <c r="C1359" s="389" t="s">
        <v>6</v>
      </c>
      <c r="D1359" s="389" t="s">
        <v>591</v>
      </c>
      <c r="E1359" s="390" t="s">
        <v>368</v>
      </c>
      <c r="F1359" s="391">
        <v>55483.0</v>
      </c>
      <c r="G1359" s="391">
        <v>14953.0</v>
      </c>
      <c r="H1359" s="391">
        <v>26.95</v>
      </c>
      <c r="I1359" s="391">
        <v>2.86</v>
      </c>
      <c r="J1359" s="391">
        <v>2.33</v>
      </c>
      <c r="K1359" s="391">
        <v>19678.0</v>
      </c>
      <c r="L1359" s="391">
        <v>688484.0</v>
      </c>
      <c r="M1359" s="391">
        <v>0.3547</v>
      </c>
      <c r="N1359" s="38">
        <v>1.316</v>
      </c>
    </row>
    <row r="1360">
      <c r="A1360" s="389" t="s">
        <v>1971</v>
      </c>
      <c r="B1360" s="389" t="s">
        <v>339</v>
      </c>
      <c r="C1360" s="389" t="s">
        <v>6</v>
      </c>
      <c r="D1360" s="389" t="s">
        <v>591</v>
      </c>
      <c r="E1360" s="390" t="s">
        <v>365</v>
      </c>
      <c r="F1360" s="391">
        <v>55483.0</v>
      </c>
      <c r="G1360" s="391">
        <v>10783.0</v>
      </c>
      <c r="H1360" s="391">
        <v>19.43</v>
      </c>
      <c r="I1360" s="391">
        <v>1.84</v>
      </c>
      <c r="J1360" s="391">
        <v>1.78</v>
      </c>
      <c r="K1360" s="391">
        <v>12642.0</v>
      </c>
      <c r="L1360" s="391">
        <v>688484.0</v>
      </c>
      <c r="M1360" s="391">
        <v>0.2279</v>
      </c>
      <c r="N1360" s="38">
        <v>1.1724</v>
      </c>
    </row>
    <row r="1361">
      <c r="A1361" s="389" t="s">
        <v>1971</v>
      </c>
      <c r="B1361" s="389" t="s">
        <v>339</v>
      </c>
      <c r="C1361" s="389" t="s">
        <v>6</v>
      </c>
      <c r="D1361" s="389" t="s">
        <v>591</v>
      </c>
      <c r="E1361" s="390" t="s">
        <v>108</v>
      </c>
      <c r="F1361" s="391">
        <v>55483.0</v>
      </c>
      <c r="G1361" s="391">
        <v>7320.0</v>
      </c>
      <c r="H1361" s="391">
        <v>13.19</v>
      </c>
      <c r="I1361" s="391">
        <v>1.47</v>
      </c>
      <c r="J1361" s="391">
        <v>1.12</v>
      </c>
      <c r="K1361" s="391">
        <v>10126.0</v>
      </c>
      <c r="L1361" s="391">
        <v>688484.0</v>
      </c>
      <c r="M1361" s="391">
        <v>0.1825</v>
      </c>
      <c r="N1361" s="38">
        <v>1.3833</v>
      </c>
    </row>
    <row r="1362">
      <c r="A1362" s="389" t="s">
        <v>1971</v>
      </c>
      <c r="B1362" s="389" t="s">
        <v>339</v>
      </c>
      <c r="C1362" s="389" t="s">
        <v>6</v>
      </c>
      <c r="D1362" s="389" t="s">
        <v>591</v>
      </c>
      <c r="E1362" s="390" t="s">
        <v>163</v>
      </c>
      <c r="F1362" s="391">
        <v>55483.0</v>
      </c>
      <c r="G1362" s="391">
        <v>4801.0</v>
      </c>
      <c r="H1362" s="391">
        <v>8.65</v>
      </c>
      <c r="I1362" s="391">
        <v>0.71</v>
      </c>
      <c r="J1362" s="391">
        <v>0.51</v>
      </c>
      <c r="K1362" s="391">
        <v>4912.0</v>
      </c>
      <c r="L1362" s="391">
        <v>688484.0</v>
      </c>
      <c r="M1362" s="391">
        <v>0.0885</v>
      </c>
      <c r="N1362" s="38">
        <v>1.0231</v>
      </c>
    </row>
    <row r="1363">
      <c r="A1363" s="389" t="s">
        <v>1971</v>
      </c>
      <c r="B1363" s="389" t="s">
        <v>339</v>
      </c>
      <c r="C1363" s="389" t="s">
        <v>6</v>
      </c>
      <c r="D1363" s="389" t="s">
        <v>591</v>
      </c>
      <c r="E1363" s="390" t="s">
        <v>30</v>
      </c>
      <c r="F1363" s="391">
        <v>55483.0</v>
      </c>
      <c r="G1363" s="391">
        <v>3497.0</v>
      </c>
      <c r="H1363" s="391">
        <v>6.3</v>
      </c>
      <c r="I1363" s="391">
        <v>0.51</v>
      </c>
      <c r="J1363" s="391">
        <v>0.36</v>
      </c>
      <c r="K1363" s="391">
        <v>3535.0</v>
      </c>
      <c r="L1363" s="391">
        <v>688484.0</v>
      </c>
      <c r="M1363" s="391">
        <v>0.0637</v>
      </c>
      <c r="N1363" s="38">
        <v>1.0109</v>
      </c>
    </row>
    <row r="1364">
      <c r="A1364" s="389" t="s">
        <v>1971</v>
      </c>
      <c r="B1364" s="389" t="s">
        <v>339</v>
      </c>
      <c r="C1364" s="389" t="s">
        <v>6</v>
      </c>
      <c r="D1364" s="389" t="s">
        <v>591</v>
      </c>
      <c r="E1364" s="390" t="s">
        <v>37</v>
      </c>
      <c r="F1364" s="391">
        <v>55483.0</v>
      </c>
      <c r="G1364" s="391">
        <v>2788.0</v>
      </c>
      <c r="H1364" s="391">
        <v>5.02</v>
      </c>
      <c r="I1364" s="391">
        <v>0.44</v>
      </c>
      <c r="J1364" s="391">
        <v>0.49</v>
      </c>
      <c r="K1364" s="391">
        <v>3052.0</v>
      </c>
      <c r="L1364" s="391">
        <v>688484.0</v>
      </c>
      <c r="M1364" s="391">
        <v>0.055</v>
      </c>
      <c r="N1364" s="38">
        <v>1.0947</v>
      </c>
    </row>
    <row r="1365">
      <c r="A1365" s="389" t="s">
        <v>1971</v>
      </c>
      <c r="B1365" s="389" t="s">
        <v>339</v>
      </c>
      <c r="C1365" s="389" t="s">
        <v>6</v>
      </c>
      <c r="D1365" s="389" t="s">
        <v>591</v>
      </c>
      <c r="E1365" s="390" t="s">
        <v>45</v>
      </c>
      <c r="F1365" s="391">
        <v>55483.0</v>
      </c>
      <c r="G1365" s="391">
        <v>2029.0</v>
      </c>
      <c r="H1365" s="391">
        <v>3.66</v>
      </c>
      <c r="I1365" s="391">
        <v>0.33</v>
      </c>
      <c r="J1365" s="391">
        <v>0.24</v>
      </c>
      <c r="K1365" s="391">
        <v>2258.0</v>
      </c>
      <c r="L1365" s="391">
        <v>688484.0</v>
      </c>
      <c r="M1365" s="391">
        <v>0.0407</v>
      </c>
      <c r="N1365" s="38">
        <v>1.1129</v>
      </c>
    </row>
    <row r="1366">
      <c r="A1366" s="389" t="s">
        <v>1971</v>
      </c>
      <c r="B1366" s="389" t="s">
        <v>339</v>
      </c>
      <c r="C1366" s="389" t="s">
        <v>6</v>
      </c>
      <c r="D1366" s="389" t="s">
        <v>591</v>
      </c>
      <c r="E1366" s="390" t="s">
        <v>38</v>
      </c>
      <c r="F1366" s="391">
        <v>55483.0</v>
      </c>
      <c r="G1366" s="391">
        <v>878.0</v>
      </c>
      <c r="H1366" s="391">
        <v>1.58</v>
      </c>
      <c r="I1366" s="391">
        <v>0.13</v>
      </c>
      <c r="J1366" s="391">
        <v>0.13</v>
      </c>
      <c r="K1366" s="391">
        <v>895.0</v>
      </c>
      <c r="L1366" s="391">
        <v>688484.0</v>
      </c>
      <c r="M1366" s="391">
        <v>0.0161</v>
      </c>
      <c r="N1366" s="38">
        <v>1.0194</v>
      </c>
    </row>
    <row r="1367">
      <c r="A1367" s="389" t="s">
        <v>1971</v>
      </c>
      <c r="B1367" s="389" t="s">
        <v>339</v>
      </c>
      <c r="C1367" s="389" t="s">
        <v>6</v>
      </c>
      <c r="D1367" s="389" t="s">
        <v>591</v>
      </c>
      <c r="E1367" s="390" t="s">
        <v>373</v>
      </c>
      <c r="F1367" s="391">
        <v>55483.0</v>
      </c>
      <c r="G1367" s="391">
        <v>1.0</v>
      </c>
      <c r="H1367" s="391">
        <v>0.0</v>
      </c>
      <c r="I1367" s="391">
        <v>0.0</v>
      </c>
      <c r="J1367" s="391">
        <v>0.0</v>
      </c>
      <c r="K1367" s="391">
        <v>2.0</v>
      </c>
      <c r="L1367" s="391">
        <v>688484.0</v>
      </c>
      <c r="M1367" s="391">
        <v>0.0</v>
      </c>
      <c r="N1367" s="38">
        <v>2.0</v>
      </c>
    </row>
    <row r="1368">
      <c r="A1368" s="389" t="s">
        <v>1971</v>
      </c>
      <c r="B1368" s="389" t="s">
        <v>339</v>
      </c>
      <c r="C1368" s="389" t="s">
        <v>6</v>
      </c>
      <c r="D1368" s="389" t="s">
        <v>591</v>
      </c>
      <c r="E1368" s="390" t="s">
        <v>27</v>
      </c>
      <c r="F1368" s="391">
        <v>55483.0</v>
      </c>
      <c r="G1368" s="391">
        <v>19.0</v>
      </c>
      <c r="H1368" s="391">
        <v>0.03</v>
      </c>
      <c r="I1368" s="391">
        <v>0.0</v>
      </c>
      <c r="J1368" s="391">
        <v>0.01</v>
      </c>
      <c r="K1368" s="391">
        <v>22.0</v>
      </c>
      <c r="L1368" s="391">
        <v>688484.0</v>
      </c>
      <c r="M1368" s="391">
        <v>4.0E-4</v>
      </c>
      <c r="N1368" s="38">
        <v>1.1579</v>
      </c>
    </row>
    <row r="1369">
      <c r="A1369" s="389" t="s">
        <v>1971</v>
      </c>
      <c r="B1369" s="389" t="s">
        <v>339</v>
      </c>
      <c r="C1369" s="389" t="s">
        <v>6</v>
      </c>
      <c r="D1369" s="389" t="s">
        <v>591</v>
      </c>
      <c r="E1369" s="390" t="s">
        <v>282</v>
      </c>
      <c r="F1369" s="391">
        <v>55483.0</v>
      </c>
      <c r="G1369" s="391">
        <v>1.0</v>
      </c>
      <c r="H1369" s="391">
        <v>0.0</v>
      </c>
      <c r="I1369" s="391">
        <v>0.0</v>
      </c>
      <c r="J1369" s="391">
        <v>0.0</v>
      </c>
      <c r="K1369" s="391">
        <v>1.0</v>
      </c>
      <c r="L1369" s="391">
        <v>688484.0</v>
      </c>
      <c r="M1369" s="391">
        <v>0.0</v>
      </c>
      <c r="N1369" s="38">
        <v>1.0</v>
      </c>
    </row>
    <row r="1370">
      <c r="A1370" s="389" t="s">
        <v>1971</v>
      </c>
      <c r="B1370" s="389" t="s">
        <v>339</v>
      </c>
      <c r="C1370" s="389" t="s">
        <v>6</v>
      </c>
      <c r="D1370" s="389" t="s">
        <v>591</v>
      </c>
      <c r="E1370" s="390" t="s">
        <v>284</v>
      </c>
      <c r="F1370" s="391">
        <v>55483.0</v>
      </c>
      <c r="G1370" s="391">
        <v>1.0</v>
      </c>
      <c r="H1370" s="391">
        <v>0.0</v>
      </c>
      <c r="I1370" s="391">
        <v>0.0</v>
      </c>
      <c r="J1370" s="391">
        <v>0.0</v>
      </c>
      <c r="K1370" s="391">
        <v>1.0</v>
      </c>
      <c r="L1370" s="391">
        <v>688484.0</v>
      </c>
      <c r="M1370" s="391">
        <v>0.0</v>
      </c>
      <c r="N1370" s="38">
        <v>1.0</v>
      </c>
    </row>
    <row r="1371">
      <c r="A1371" s="389" t="s">
        <v>1971</v>
      </c>
      <c r="B1371" s="389" t="s">
        <v>339</v>
      </c>
      <c r="C1371" s="389" t="s">
        <v>10</v>
      </c>
      <c r="D1371" s="389" t="s">
        <v>591</v>
      </c>
      <c r="E1371" s="390" t="s">
        <v>370</v>
      </c>
      <c r="F1371" s="391">
        <v>52229.0</v>
      </c>
      <c r="G1371" s="391">
        <v>41371.0</v>
      </c>
      <c r="H1371" s="391">
        <v>79.21</v>
      </c>
      <c r="I1371" s="391">
        <v>27.92</v>
      </c>
      <c r="J1371" s="391">
        <v>30.88</v>
      </c>
      <c r="K1371" s="391">
        <v>138933.0</v>
      </c>
      <c r="L1371" s="391">
        <v>497602.0</v>
      </c>
      <c r="M1371" s="391">
        <v>2.6601</v>
      </c>
      <c r="N1371" s="38">
        <v>3.3582</v>
      </c>
    </row>
    <row r="1372">
      <c r="A1372" s="389" t="s">
        <v>1971</v>
      </c>
      <c r="B1372" s="389" t="s">
        <v>339</v>
      </c>
      <c r="C1372" s="389" t="s">
        <v>10</v>
      </c>
      <c r="D1372" s="389" t="s">
        <v>591</v>
      </c>
      <c r="E1372" s="390" t="s">
        <v>371</v>
      </c>
      <c r="F1372" s="391">
        <v>52229.0</v>
      </c>
      <c r="G1372" s="391">
        <v>29151.0</v>
      </c>
      <c r="H1372" s="391">
        <v>55.81</v>
      </c>
      <c r="I1372" s="391">
        <v>14.46</v>
      </c>
      <c r="J1372" s="391">
        <v>14.21</v>
      </c>
      <c r="K1372" s="391">
        <v>71953.0</v>
      </c>
      <c r="L1372" s="391">
        <v>497602.0</v>
      </c>
      <c r="M1372" s="391">
        <v>1.3776</v>
      </c>
      <c r="N1372" s="38">
        <v>2.4683</v>
      </c>
    </row>
    <row r="1373">
      <c r="A1373" s="389" t="s">
        <v>1971</v>
      </c>
      <c r="B1373" s="389" t="s">
        <v>339</v>
      </c>
      <c r="C1373" s="389" t="s">
        <v>10</v>
      </c>
      <c r="D1373" s="389" t="s">
        <v>591</v>
      </c>
      <c r="E1373" s="390" t="s">
        <v>365</v>
      </c>
      <c r="F1373" s="391">
        <v>52229.0</v>
      </c>
      <c r="G1373" s="391">
        <v>25006.0</v>
      </c>
      <c r="H1373" s="391">
        <v>47.88</v>
      </c>
      <c r="I1373" s="391">
        <v>8.12</v>
      </c>
      <c r="J1373" s="391">
        <v>9.28</v>
      </c>
      <c r="K1373" s="391">
        <v>40388.0</v>
      </c>
      <c r="L1373" s="391">
        <v>497602.0</v>
      </c>
      <c r="M1373" s="391">
        <v>0.7733</v>
      </c>
      <c r="N1373" s="38">
        <v>1.6151</v>
      </c>
    </row>
    <row r="1374">
      <c r="A1374" s="389" t="s">
        <v>1971</v>
      </c>
      <c r="B1374" s="389" t="s">
        <v>339</v>
      </c>
      <c r="C1374" s="389" t="s">
        <v>10</v>
      </c>
      <c r="D1374" s="389" t="s">
        <v>591</v>
      </c>
      <c r="E1374" s="390" t="s">
        <v>369</v>
      </c>
      <c r="F1374" s="391">
        <v>52229.0</v>
      </c>
      <c r="G1374" s="391">
        <v>18228.0</v>
      </c>
      <c r="H1374" s="391">
        <v>34.9</v>
      </c>
      <c r="I1374" s="391">
        <v>7.41</v>
      </c>
      <c r="J1374" s="391">
        <v>6.18</v>
      </c>
      <c r="K1374" s="391">
        <v>36879.0</v>
      </c>
      <c r="L1374" s="391">
        <v>497602.0</v>
      </c>
      <c r="M1374" s="391">
        <v>0.7061</v>
      </c>
      <c r="N1374" s="38">
        <v>2.0232</v>
      </c>
    </row>
    <row r="1375">
      <c r="A1375" s="389" t="s">
        <v>1971</v>
      </c>
      <c r="B1375" s="389" t="s">
        <v>339</v>
      </c>
      <c r="C1375" s="389" t="s">
        <v>10</v>
      </c>
      <c r="D1375" s="389" t="s">
        <v>591</v>
      </c>
      <c r="E1375" s="390" t="s">
        <v>366</v>
      </c>
      <c r="F1375" s="391">
        <v>52229.0</v>
      </c>
      <c r="G1375" s="391">
        <v>19231.0</v>
      </c>
      <c r="H1375" s="391">
        <v>36.82</v>
      </c>
      <c r="I1375" s="391">
        <v>6.45</v>
      </c>
      <c r="J1375" s="391">
        <v>5.16</v>
      </c>
      <c r="K1375" s="391">
        <v>32094.0</v>
      </c>
      <c r="L1375" s="391">
        <v>497602.0</v>
      </c>
      <c r="M1375" s="391">
        <v>0.6145</v>
      </c>
      <c r="N1375" s="38">
        <v>1.6689</v>
      </c>
    </row>
    <row r="1376">
      <c r="A1376" s="389" t="s">
        <v>1971</v>
      </c>
      <c r="B1376" s="389" t="s">
        <v>339</v>
      </c>
      <c r="C1376" s="389" t="s">
        <v>10</v>
      </c>
      <c r="D1376" s="389" t="s">
        <v>591</v>
      </c>
      <c r="E1376" s="390" t="s">
        <v>39</v>
      </c>
      <c r="F1376" s="391">
        <v>52229.0</v>
      </c>
      <c r="G1376" s="391">
        <v>20265.0</v>
      </c>
      <c r="H1376" s="391">
        <v>38.8</v>
      </c>
      <c r="I1376" s="391">
        <v>6.28</v>
      </c>
      <c r="J1376" s="391">
        <v>5.27</v>
      </c>
      <c r="K1376" s="391">
        <v>31270.0</v>
      </c>
      <c r="L1376" s="391">
        <v>497602.0</v>
      </c>
      <c r="M1376" s="391">
        <v>0.5987</v>
      </c>
      <c r="N1376" s="38">
        <v>1.5431</v>
      </c>
    </row>
    <row r="1377">
      <c r="A1377" s="389" t="s">
        <v>1971</v>
      </c>
      <c r="B1377" s="389" t="s">
        <v>339</v>
      </c>
      <c r="C1377" s="389" t="s">
        <v>10</v>
      </c>
      <c r="D1377" s="389" t="s">
        <v>591</v>
      </c>
      <c r="E1377" s="390" t="s">
        <v>363</v>
      </c>
      <c r="F1377" s="391">
        <v>52229.0</v>
      </c>
      <c r="G1377" s="391">
        <v>12005.0</v>
      </c>
      <c r="H1377" s="391">
        <v>22.99</v>
      </c>
      <c r="I1377" s="391">
        <v>6.2</v>
      </c>
      <c r="J1377" s="391">
        <v>4.45</v>
      </c>
      <c r="K1377" s="391">
        <v>30858.0</v>
      </c>
      <c r="L1377" s="391">
        <v>497602.0</v>
      </c>
      <c r="M1377" s="391">
        <v>0.5908</v>
      </c>
      <c r="N1377" s="38">
        <v>2.5704</v>
      </c>
    </row>
    <row r="1378">
      <c r="A1378" s="389" t="s">
        <v>1971</v>
      </c>
      <c r="B1378" s="389" t="s">
        <v>339</v>
      </c>
      <c r="C1378" s="389" t="s">
        <v>10</v>
      </c>
      <c r="D1378" s="389" t="s">
        <v>591</v>
      </c>
      <c r="E1378" s="390" t="s">
        <v>37</v>
      </c>
      <c r="F1378" s="391">
        <v>52229.0</v>
      </c>
      <c r="G1378" s="391">
        <v>16951.0</v>
      </c>
      <c r="H1378" s="391">
        <v>32.46</v>
      </c>
      <c r="I1378" s="391">
        <v>5.24</v>
      </c>
      <c r="J1378" s="391">
        <v>5.96</v>
      </c>
      <c r="K1378" s="391">
        <v>26067.0</v>
      </c>
      <c r="L1378" s="391">
        <v>497602.0</v>
      </c>
      <c r="M1378" s="391">
        <v>0.4991</v>
      </c>
      <c r="N1378" s="38">
        <v>1.5378</v>
      </c>
    </row>
    <row r="1379">
      <c r="A1379" s="389" t="s">
        <v>1971</v>
      </c>
      <c r="B1379" s="389" t="s">
        <v>339</v>
      </c>
      <c r="C1379" s="389" t="s">
        <v>10</v>
      </c>
      <c r="D1379" s="389" t="s">
        <v>591</v>
      </c>
      <c r="E1379" s="390" t="s">
        <v>45</v>
      </c>
      <c r="F1379" s="391">
        <v>52229.0</v>
      </c>
      <c r="G1379" s="391">
        <v>13666.0</v>
      </c>
      <c r="H1379" s="391">
        <v>26.17</v>
      </c>
      <c r="I1379" s="391">
        <v>3.75</v>
      </c>
      <c r="J1379" s="391">
        <v>4.08</v>
      </c>
      <c r="K1379" s="391">
        <v>18651.0</v>
      </c>
      <c r="L1379" s="391">
        <v>497602.0</v>
      </c>
      <c r="M1379" s="391">
        <v>0.3571</v>
      </c>
      <c r="N1379" s="38">
        <v>1.3648</v>
      </c>
    </row>
    <row r="1380">
      <c r="A1380" s="389" t="s">
        <v>1971</v>
      </c>
      <c r="B1380" s="389" t="s">
        <v>339</v>
      </c>
      <c r="C1380" s="389" t="s">
        <v>10</v>
      </c>
      <c r="D1380" s="389" t="s">
        <v>591</v>
      </c>
      <c r="E1380" s="390" t="s">
        <v>35</v>
      </c>
      <c r="F1380" s="391">
        <v>52229.0</v>
      </c>
      <c r="G1380" s="391">
        <v>4872.0</v>
      </c>
      <c r="H1380" s="391">
        <v>9.33</v>
      </c>
      <c r="I1380" s="391">
        <v>2.87</v>
      </c>
      <c r="J1380" s="391">
        <v>2.16</v>
      </c>
      <c r="K1380" s="391">
        <v>14284.0</v>
      </c>
      <c r="L1380" s="391">
        <v>497602.0</v>
      </c>
      <c r="M1380" s="391">
        <v>0.2735</v>
      </c>
      <c r="N1380" s="38">
        <v>2.9319</v>
      </c>
    </row>
    <row r="1381">
      <c r="A1381" s="389" t="s">
        <v>1971</v>
      </c>
      <c r="B1381" s="389" t="s">
        <v>339</v>
      </c>
      <c r="C1381" s="389" t="s">
        <v>10</v>
      </c>
      <c r="D1381" s="389" t="s">
        <v>591</v>
      </c>
      <c r="E1381" s="390" t="s">
        <v>108</v>
      </c>
      <c r="F1381" s="391">
        <v>52229.0</v>
      </c>
      <c r="G1381" s="391">
        <v>8889.0</v>
      </c>
      <c r="H1381" s="391">
        <v>17.02</v>
      </c>
      <c r="I1381" s="391">
        <v>2.77</v>
      </c>
      <c r="J1381" s="391">
        <v>3.58</v>
      </c>
      <c r="K1381" s="391">
        <v>13796.0</v>
      </c>
      <c r="L1381" s="391">
        <v>497602.0</v>
      </c>
      <c r="M1381" s="391">
        <v>0.2641</v>
      </c>
      <c r="N1381" s="38">
        <v>1.552</v>
      </c>
    </row>
    <row r="1382">
      <c r="A1382" s="389" t="s">
        <v>1971</v>
      </c>
      <c r="B1382" s="389" t="s">
        <v>339</v>
      </c>
      <c r="C1382" s="389" t="s">
        <v>10</v>
      </c>
      <c r="D1382" s="389" t="s">
        <v>591</v>
      </c>
      <c r="E1382" s="390" t="s">
        <v>282</v>
      </c>
      <c r="F1382" s="391">
        <v>52229.0</v>
      </c>
      <c r="G1382" s="391">
        <v>11156.0</v>
      </c>
      <c r="H1382" s="391">
        <v>21.36</v>
      </c>
      <c r="I1382" s="391">
        <v>2.76</v>
      </c>
      <c r="J1382" s="391">
        <v>2.89</v>
      </c>
      <c r="K1382" s="391">
        <v>13723.0</v>
      </c>
      <c r="L1382" s="391">
        <v>497602.0</v>
      </c>
      <c r="M1382" s="391">
        <v>0.2627</v>
      </c>
      <c r="N1382" s="38">
        <v>1.2301</v>
      </c>
    </row>
    <row r="1383">
      <c r="A1383" s="389" t="s">
        <v>1971</v>
      </c>
      <c r="B1383" s="389" t="s">
        <v>339</v>
      </c>
      <c r="C1383" s="389" t="s">
        <v>10</v>
      </c>
      <c r="D1383" s="389" t="s">
        <v>591</v>
      </c>
      <c r="E1383" s="390" t="s">
        <v>284</v>
      </c>
      <c r="F1383" s="391">
        <v>52229.0</v>
      </c>
      <c r="G1383" s="391">
        <v>9815.0</v>
      </c>
      <c r="H1383" s="391">
        <v>18.79</v>
      </c>
      <c r="I1383" s="391">
        <v>2.41</v>
      </c>
      <c r="J1383" s="391">
        <v>2.44</v>
      </c>
      <c r="K1383" s="391">
        <v>12003.0</v>
      </c>
      <c r="L1383" s="391">
        <v>497602.0</v>
      </c>
      <c r="M1383" s="391">
        <v>0.2298</v>
      </c>
      <c r="N1383" s="38">
        <v>1.2229</v>
      </c>
    </row>
    <row r="1384">
      <c r="A1384" s="389" t="s">
        <v>1971</v>
      </c>
      <c r="B1384" s="389" t="s">
        <v>339</v>
      </c>
      <c r="C1384" s="389" t="s">
        <v>10</v>
      </c>
      <c r="D1384" s="389" t="s">
        <v>591</v>
      </c>
      <c r="E1384" s="390" t="s">
        <v>283</v>
      </c>
      <c r="F1384" s="391">
        <v>52229.0</v>
      </c>
      <c r="G1384" s="391">
        <v>9833.0</v>
      </c>
      <c r="H1384" s="391">
        <v>18.83</v>
      </c>
      <c r="I1384" s="391">
        <v>2.41</v>
      </c>
      <c r="J1384" s="391">
        <v>2.52</v>
      </c>
      <c r="K1384" s="391">
        <v>11998.0</v>
      </c>
      <c r="L1384" s="391">
        <v>497602.0</v>
      </c>
      <c r="M1384" s="391">
        <v>0.2297</v>
      </c>
      <c r="N1384" s="38">
        <v>1.2202</v>
      </c>
    </row>
    <row r="1385">
      <c r="A1385" s="389" t="s">
        <v>1971</v>
      </c>
      <c r="B1385" s="389" t="s">
        <v>339</v>
      </c>
      <c r="C1385" s="389" t="s">
        <v>10</v>
      </c>
      <c r="D1385" s="389" t="s">
        <v>591</v>
      </c>
      <c r="E1385" s="390" t="s">
        <v>27</v>
      </c>
      <c r="F1385" s="391">
        <v>52229.0</v>
      </c>
      <c r="G1385" s="391">
        <v>2610.0</v>
      </c>
      <c r="H1385" s="391">
        <v>5.0</v>
      </c>
      <c r="I1385" s="391">
        <v>0.53</v>
      </c>
      <c r="J1385" s="391">
        <v>0.55</v>
      </c>
      <c r="K1385" s="391">
        <v>2649.0</v>
      </c>
      <c r="L1385" s="391">
        <v>497602.0</v>
      </c>
      <c r="M1385" s="391">
        <v>0.0507</v>
      </c>
      <c r="N1385" s="38">
        <v>1.0149</v>
      </c>
    </row>
    <row r="1386">
      <c r="A1386" s="389" t="s">
        <v>1971</v>
      </c>
      <c r="B1386" s="389" t="s">
        <v>339</v>
      </c>
      <c r="C1386" s="389" t="s">
        <v>10</v>
      </c>
      <c r="D1386" s="389" t="s">
        <v>591</v>
      </c>
      <c r="E1386" s="390" t="s">
        <v>38</v>
      </c>
      <c r="F1386" s="391">
        <v>52229.0</v>
      </c>
      <c r="G1386" s="391">
        <v>1749.0</v>
      </c>
      <c r="H1386" s="391">
        <v>3.35</v>
      </c>
      <c r="I1386" s="391">
        <v>0.37</v>
      </c>
      <c r="J1386" s="391">
        <v>0.38</v>
      </c>
      <c r="K1386" s="391">
        <v>1842.0</v>
      </c>
      <c r="L1386" s="391">
        <v>497602.0</v>
      </c>
      <c r="M1386" s="391">
        <v>0.0353</v>
      </c>
      <c r="N1386" s="38">
        <v>1.0532</v>
      </c>
    </row>
    <row r="1387">
      <c r="A1387" s="389" t="s">
        <v>1971</v>
      </c>
      <c r="B1387" s="389" t="s">
        <v>339</v>
      </c>
      <c r="C1387" s="389" t="s">
        <v>10</v>
      </c>
      <c r="D1387" s="389" t="s">
        <v>591</v>
      </c>
      <c r="E1387" s="390" t="s">
        <v>30</v>
      </c>
      <c r="F1387" s="391">
        <v>52229.0</v>
      </c>
      <c r="G1387" s="391">
        <v>206.0</v>
      </c>
      <c r="H1387" s="391">
        <v>0.39</v>
      </c>
      <c r="I1387" s="391">
        <v>0.04</v>
      </c>
      <c r="J1387" s="391">
        <v>0.02</v>
      </c>
      <c r="K1387" s="391">
        <v>208.0</v>
      </c>
      <c r="L1387" s="391">
        <v>497602.0</v>
      </c>
      <c r="M1387" s="391">
        <v>0.004</v>
      </c>
      <c r="N1387" s="38">
        <v>1.0097</v>
      </c>
    </row>
    <row r="1388">
      <c r="A1388" s="389" t="s">
        <v>1971</v>
      </c>
      <c r="B1388" s="389" t="s">
        <v>339</v>
      </c>
      <c r="C1388" s="389" t="s">
        <v>10</v>
      </c>
      <c r="D1388" s="389" t="s">
        <v>591</v>
      </c>
      <c r="E1388" s="390" t="s">
        <v>163</v>
      </c>
      <c r="F1388" s="391">
        <v>52229.0</v>
      </c>
      <c r="G1388" s="391">
        <v>4.0</v>
      </c>
      <c r="H1388" s="391">
        <v>0.01</v>
      </c>
      <c r="I1388" s="391">
        <v>0.0</v>
      </c>
      <c r="J1388" s="391">
        <v>0.0</v>
      </c>
      <c r="K1388" s="391">
        <v>4.0</v>
      </c>
      <c r="L1388" s="391">
        <v>497602.0</v>
      </c>
      <c r="M1388" s="391">
        <v>1.0E-4</v>
      </c>
      <c r="N1388" s="38">
        <v>1.0</v>
      </c>
    </row>
    <row r="1389">
      <c r="A1389" s="389" t="s">
        <v>1971</v>
      </c>
      <c r="B1389" s="389" t="s">
        <v>339</v>
      </c>
      <c r="C1389" s="389" t="s">
        <v>10</v>
      </c>
      <c r="D1389" s="389" t="s">
        <v>591</v>
      </c>
      <c r="E1389" s="390" t="s">
        <v>367</v>
      </c>
      <c r="F1389" s="391">
        <v>52229.0</v>
      </c>
      <c r="G1389" s="391">
        <v>2.0</v>
      </c>
      <c r="H1389" s="391">
        <v>0.0</v>
      </c>
      <c r="I1389" s="391">
        <v>0.0</v>
      </c>
      <c r="J1389" s="391">
        <v>0.0</v>
      </c>
      <c r="K1389" s="391">
        <v>2.0</v>
      </c>
      <c r="L1389" s="391">
        <v>497602.0</v>
      </c>
      <c r="M1389" s="391">
        <v>0.0</v>
      </c>
      <c r="N1389" s="38">
        <v>1.0</v>
      </c>
    </row>
    <row r="1390">
      <c r="A1390" s="389" t="s">
        <v>1971</v>
      </c>
      <c r="B1390" s="389" t="s">
        <v>339</v>
      </c>
      <c r="C1390" s="389" t="s">
        <v>9</v>
      </c>
      <c r="D1390" s="389" t="s">
        <v>591</v>
      </c>
      <c r="E1390" s="390" t="s">
        <v>370</v>
      </c>
      <c r="F1390" s="391">
        <v>51842.0</v>
      </c>
      <c r="G1390" s="391">
        <v>41344.0</v>
      </c>
      <c r="H1390" s="391">
        <v>79.75</v>
      </c>
      <c r="I1390" s="391">
        <v>27.07</v>
      </c>
      <c r="J1390" s="391">
        <v>31.37</v>
      </c>
      <c r="K1390" s="391">
        <v>139254.0</v>
      </c>
      <c r="L1390" s="391">
        <v>514459.0</v>
      </c>
      <c r="M1390" s="391">
        <v>2.6861</v>
      </c>
      <c r="N1390" s="38">
        <v>3.3682</v>
      </c>
    </row>
    <row r="1391">
      <c r="A1391" s="389" t="s">
        <v>1971</v>
      </c>
      <c r="B1391" s="389" t="s">
        <v>339</v>
      </c>
      <c r="C1391" s="389" t="s">
        <v>9</v>
      </c>
      <c r="D1391" s="389" t="s">
        <v>591</v>
      </c>
      <c r="E1391" s="390" t="s">
        <v>371</v>
      </c>
      <c r="F1391" s="391">
        <v>51842.0</v>
      </c>
      <c r="G1391" s="391">
        <v>18923.0</v>
      </c>
      <c r="H1391" s="391">
        <v>36.5</v>
      </c>
      <c r="I1391" s="391">
        <v>9.73</v>
      </c>
      <c r="J1391" s="391">
        <v>7.66</v>
      </c>
      <c r="K1391" s="391">
        <v>50046.0</v>
      </c>
      <c r="L1391" s="391">
        <v>514459.0</v>
      </c>
      <c r="M1391" s="391">
        <v>0.9654</v>
      </c>
      <c r="N1391" s="38">
        <v>2.6447</v>
      </c>
    </row>
    <row r="1392">
      <c r="A1392" s="389" t="s">
        <v>1971</v>
      </c>
      <c r="B1392" s="389" t="s">
        <v>339</v>
      </c>
      <c r="C1392" s="389" t="s">
        <v>9</v>
      </c>
      <c r="D1392" s="389" t="s">
        <v>591</v>
      </c>
      <c r="E1392" s="390" t="s">
        <v>366</v>
      </c>
      <c r="F1392" s="391">
        <v>51842.0</v>
      </c>
      <c r="G1392" s="391">
        <v>24658.0</v>
      </c>
      <c r="H1392" s="391">
        <v>47.56</v>
      </c>
      <c r="I1392" s="391">
        <v>9.43</v>
      </c>
      <c r="J1392" s="391">
        <v>8.61</v>
      </c>
      <c r="K1392" s="391">
        <v>48532.0</v>
      </c>
      <c r="L1392" s="391">
        <v>514459.0</v>
      </c>
      <c r="M1392" s="391">
        <v>0.9362</v>
      </c>
      <c r="N1392" s="38">
        <v>1.9682</v>
      </c>
    </row>
    <row r="1393">
      <c r="A1393" s="389" t="s">
        <v>1971</v>
      </c>
      <c r="B1393" s="389" t="s">
        <v>339</v>
      </c>
      <c r="C1393" s="389" t="s">
        <v>9</v>
      </c>
      <c r="D1393" s="389" t="s">
        <v>591</v>
      </c>
      <c r="E1393" s="390" t="s">
        <v>369</v>
      </c>
      <c r="F1393" s="391">
        <v>51842.0</v>
      </c>
      <c r="G1393" s="391">
        <v>17204.0</v>
      </c>
      <c r="H1393" s="391">
        <v>33.19</v>
      </c>
      <c r="I1393" s="391">
        <v>7.79</v>
      </c>
      <c r="J1393" s="391">
        <v>6.1</v>
      </c>
      <c r="K1393" s="391">
        <v>40086.0</v>
      </c>
      <c r="L1393" s="391">
        <v>514459.0</v>
      </c>
      <c r="M1393" s="391">
        <v>0.7732</v>
      </c>
      <c r="N1393" s="38">
        <v>2.33</v>
      </c>
    </row>
    <row r="1394">
      <c r="A1394" s="389" t="s">
        <v>1971</v>
      </c>
      <c r="B1394" s="389" t="s">
        <v>339</v>
      </c>
      <c r="C1394" s="389" t="s">
        <v>9</v>
      </c>
      <c r="D1394" s="389" t="s">
        <v>591</v>
      </c>
      <c r="E1394" s="390" t="s">
        <v>44</v>
      </c>
      <c r="F1394" s="391">
        <v>51842.0</v>
      </c>
      <c r="G1394" s="391">
        <v>20674.0</v>
      </c>
      <c r="H1394" s="391">
        <v>39.88</v>
      </c>
      <c r="I1394" s="391">
        <v>7.21</v>
      </c>
      <c r="J1394" s="391">
        <v>7.82</v>
      </c>
      <c r="K1394" s="391">
        <v>37097.0</v>
      </c>
      <c r="L1394" s="391">
        <v>514459.0</v>
      </c>
      <c r="M1394" s="391">
        <v>0.7156</v>
      </c>
      <c r="N1394" s="38">
        <v>1.7944</v>
      </c>
    </row>
    <row r="1395">
      <c r="A1395" s="389" t="s">
        <v>1971</v>
      </c>
      <c r="B1395" s="389" t="s">
        <v>339</v>
      </c>
      <c r="C1395" s="389" t="s">
        <v>9</v>
      </c>
      <c r="D1395" s="389" t="s">
        <v>591</v>
      </c>
      <c r="E1395" s="390" t="s">
        <v>363</v>
      </c>
      <c r="F1395" s="391">
        <v>51842.0</v>
      </c>
      <c r="G1395" s="391">
        <v>12077.0</v>
      </c>
      <c r="H1395" s="391">
        <v>23.3</v>
      </c>
      <c r="I1395" s="391">
        <v>5.94</v>
      </c>
      <c r="J1395" s="391">
        <v>4.42</v>
      </c>
      <c r="K1395" s="391">
        <v>30559.0</v>
      </c>
      <c r="L1395" s="391">
        <v>514459.0</v>
      </c>
      <c r="M1395" s="391">
        <v>0.5895</v>
      </c>
      <c r="N1395" s="38">
        <v>2.5303</v>
      </c>
    </row>
    <row r="1396">
      <c r="A1396" s="389" t="s">
        <v>1971</v>
      </c>
      <c r="B1396" s="389" t="s">
        <v>339</v>
      </c>
      <c r="C1396" s="389" t="s">
        <v>9</v>
      </c>
      <c r="D1396" s="389" t="s">
        <v>591</v>
      </c>
      <c r="E1396" s="390" t="s">
        <v>35</v>
      </c>
      <c r="F1396" s="391">
        <v>51842.0</v>
      </c>
      <c r="G1396" s="391">
        <v>15968.0</v>
      </c>
      <c r="H1396" s="391">
        <v>30.8</v>
      </c>
      <c r="I1396" s="391">
        <v>5.83</v>
      </c>
      <c r="J1396" s="391">
        <v>6.02</v>
      </c>
      <c r="K1396" s="391">
        <v>30005.0</v>
      </c>
      <c r="L1396" s="391">
        <v>514459.0</v>
      </c>
      <c r="M1396" s="391">
        <v>0.5788</v>
      </c>
      <c r="N1396" s="38">
        <v>1.8791</v>
      </c>
    </row>
    <row r="1397">
      <c r="A1397" s="389" t="s">
        <v>1971</v>
      </c>
      <c r="B1397" s="389" t="s">
        <v>339</v>
      </c>
      <c r="C1397" s="389" t="s">
        <v>9</v>
      </c>
      <c r="D1397" s="389" t="s">
        <v>591</v>
      </c>
      <c r="E1397" s="390" t="s">
        <v>365</v>
      </c>
      <c r="F1397" s="391">
        <v>51842.0</v>
      </c>
      <c r="G1397" s="391">
        <v>19723.0</v>
      </c>
      <c r="H1397" s="391">
        <v>38.04</v>
      </c>
      <c r="I1397" s="391">
        <v>5.37</v>
      </c>
      <c r="J1397" s="391">
        <v>6.23</v>
      </c>
      <c r="K1397" s="391">
        <v>27633.0</v>
      </c>
      <c r="L1397" s="391">
        <v>514459.0</v>
      </c>
      <c r="M1397" s="391">
        <v>0.533</v>
      </c>
      <c r="N1397" s="38">
        <v>1.4011</v>
      </c>
    </row>
    <row r="1398">
      <c r="A1398" s="389" t="s">
        <v>1971</v>
      </c>
      <c r="B1398" s="389" t="s">
        <v>339</v>
      </c>
      <c r="C1398" s="389" t="s">
        <v>9</v>
      </c>
      <c r="D1398" s="389" t="s">
        <v>591</v>
      </c>
      <c r="E1398" s="390" t="s">
        <v>367</v>
      </c>
      <c r="F1398" s="391">
        <v>51842.0</v>
      </c>
      <c r="G1398" s="391">
        <v>12263.0</v>
      </c>
      <c r="H1398" s="391">
        <v>23.65</v>
      </c>
      <c r="I1398" s="391">
        <v>4.23</v>
      </c>
      <c r="J1398" s="391">
        <v>4.51</v>
      </c>
      <c r="K1398" s="391">
        <v>21780.0</v>
      </c>
      <c r="L1398" s="391">
        <v>514459.0</v>
      </c>
      <c r="M1398" s="391">
        <v>0.4201</v>
      </c>
      <c r="N1398" s="38">
        <v>1.7761</v>
      </c>
    </row>
    <row r="1399">
      <c r="A1399" s="389" t="s">
        <v>1971</v>
      </c>
      <c r="B1399" s="389" t="s">
        <v>339</v>
      </c>
      <c r="C1399" s="389" t="s">
        <v>9</v>
      </c>
      <c r="D1399" s="389" t="s">
        <v>591</v>
      </c>
      <c r="E1399" s="390" t="s">
        <v>39</v>
      </c>
      <c r="F1399" s="391">
        <v>51842.0</v>
      </c>
      <c r="G1399" s="391">
        <v>13195.0</v>
      </c>
      <c r="H1399" s="391">
        <v>25.45</v>
      </c>
      <c r="I1399" s="391">
        <v>3.67</v>
      </c>
      <c r="J1399" s="391">
        <v>2.59</v>
      </c>
      <c r="K1399" s="391">
        <v>18872.0</v>
      </c>
      <c r="L1399" s="391">
        <v>514459.0</v>
      </c>
      <c r="M1399" s="391">
        <v>0.364</v>
      </c>
      <c r="N1399" s="38">
        <v>1.4302</v>
      </c>
    </row>
    <row r="1400">
      <c r="A1400" s="389" t="s">
        <v>1971</v>
      </c>
      <c r="B1400" s="389" t="s">
        <v>339</v>
      </c>
      <c r="C1400" s="389" t="s">
        <v>9</v>
      </c>
      <c r="D1400" s="389" t="s">
        <v>591</v>
      </c>
      <c r="E1400" s="390" t="s">
        <v>37</v>
      </c>
      <c r="F1400" s="391">
        <v>51842.0</v>
      </c>
      <c r="G1400" s="391">
        <v>12628.0</v>
      </c>
      <c r="H1400" s="391">
        <v>24.36</v>
      </c>
      <c r="I1400" s="391">
        <v>3.26</v>
      </c>
      <c r="J1400" s="391">
        <v>4.1</v>
      </c>
      <c r="K1400" s="391">
        <v>16746.0</v>
      </c>
      <c r="L1400" s="391">
        <v>514459.0</v>
      </c>
      <c r="M1400" s="391">
        <v>0.323</v>
      </c>
      <c r="N1400" s="38">
        <v>1.3261</v>
      </c>
    </row>
    <row r="1401">
      <c r="A1401" s="389" t="s">
        <v>1971</v>
      </c>
      <c r="B1401" s="389" t="s">
        <v>339</v>
      </c>
      <c r="C1401" s="389" t="s">
        <v>9</v>
      </c>
      <c r="D1401" s="389" t="s">
        <v>591</v>
      </c>
      <c r="E1401" s="390" t="s">
        <v>45</v>
      </c>
      <c r="F1401" s="391">
        <v>51842.0</v>
      </c>
      <c r="G1401" s="391">
        <v>10689.0</v>
      </c>
      <c r="H1401" s="391">
        <v>20.62</v>
      </c>
      <c r="I1401" s="391">
        <v>2.82</v>
      </c>
      <c r="J1401" s="391">
        <v>2.75</v>
      </c>
      <c r="K1401" s="391">
        <v>14501.0</v>
      </c>
      <c r="L1401" s="391">
        <v>514459.0</v>
      </c>
      <c r="M1401" s="391">
        <v>0.2797</v>
      </c>
      <c r="N1401" s="38">
        <v>1.3566</v>
      </c>
    </row>
    <row r="1402">
      <c r="A1402" s="389" t="s">
        <v>1971</v>
      </c>
      <c r="B1402" s="389" t="s">
        <v>339</v>
      </c>
      <c r="C1402" s="389" t="s">
        <v>9</v>
      </c>
      <c r="D1402" s="389" t="s">
        <v>591</v>
      </c>
      <c r="E1402" s="390" t="s">
        <v>284</v>
      </c>
      <c r="F1402" s="391">
        <v>51842.0</v>
      </c>
      <c r="G1402" s="391">
        <v>8420.0</v>
      </c>
      <c r="H1402" s="391">
        <v>16.24</v>
      </c>
      <c r="I1402" s="391">
        <v>1.94</v>
      </c>
      <c r="J1402" s="391">
        <v>2.16</v>
      </c>
      <c r="K1402" s="391">
        <v>10004.0</v>
      </c>
      <c r="L1402" s="391">
        <v>514459.0</v>
      </c>
      <c r="M1402" s="391">
        <v>0.193</v>
      </c>
      <c r="N1402" s="38">
        <v>1.1881</v>
      </c>
    </row>
    <row r="1403">
      <c r="A1403" s="389" t="s">
        <v>1971</v>
      </c>
      <c r="B1403" s="389" t="s">
        <v>339</v>
      </c>
      <c r="C1403" s="389" t="s">
        <v>9</v>
      </c>
      <c r="D1403" s="389" t="s">
        <v>591</v>
      </c>
      <c r="E1403" s="390" t="s">
        <v>282</v>
      </c>
      <c r="F1403" s="391">
        <v>51842.0</v>
      </c>
      <c r="G1403" s="391">
        <v>8188.0</v>
      </c>
      <c r="H1403" s="391">
        <v>15.79</v>
      </c>
      <c r="I1403" s="391">
        <v>1.86</v>
      </c>
      <c r="J1403" s="391">
        <v>2.04</v>
      </c>
      <c r="K1403" s="391">
        <v>9565.0</v>
      </c>
      <c r="L1403" s="391">
        <v>514459.0</v>
      </c>
      <c r="M1403" s="391">
        <v>0.1845</v>
      </c>
      <c r="N1403" s="38">
        <v>1.1682</v>
      </c>
    </row>
    <row r="1404">
      <c r="A1404" s="389" t="s">
        <v>1971</v>
      </c>
      <c r="B1404" s="389" t="s">
        <v>339</v>
      </c>
      <c r="C1404" s="389" t="s">
        <v>9</v>
      </c>
      <c r="D1404" s="389" t="s">
        <v>591</v>
      </c>
      <c r="E1404" s="390" t="s">
        <v>283</v>
      </c>
      <c r="F1404" s="391">
        <v>51842.0</v>
      </c>
      <c r="G1404" s="391">
        <v>7508.0</v>
      </c>
      <c r="H1404" s="391">
        <v>14.48</v>
      </c>
      <c r="I1404" s="391">
        <v>1.68</v>
      </c>
      <c r="J1404" s="391">
        <v>1.9</v>
      </c>
      <c r="K1404" s="391">
        <v>8653.0</v>
      </c>
      <c r="L1404" s="391">
        <v>514459.0</v>
      </c>
      <c r="M1404" s="391">
        <v>0.1669</v>
      </c>
      <c r="N1404" s="38">
        <v>1.1525</v>
      </c>
    </row>
    <row r="1405">
      <c r="A1405" s="389" t="s">
        <v>1971</v>
      </c>
      <c r="B1405" s="389" t="s">
        <v>339</v>
      </c>
      <c r="C1405" s="389" t="s">
        <v>9</v>
      </c>
      <c r="D1405" s="389" t="s">
        <v>591</v>
      </c>
      <c r="E1405" s="390" t="s">
        <v>108</v>
      </c>
      <c r="F1405" s="391">
        <v>51842.0</v>
      </c>
      <c r="G1405" s="391">
        <v>3511.0</v>
      </c>
      <c r="H1405" s="391">
        <v>6.77</v>
      </c>
      <c r="I1405" s="391">
        <v>1.09</v>
      </c>
      <c r="J1405" s="391">
        <v>0.72</v>
      </c>
      <c r="K1405" s="391">
        <v>5606.0</v>
      </c>
      <c r="L1405" s="391">
        <v>514459.0</v>
      </c>
      <c r="M1405" s="391">
        <v>0.1081</v>
      </c>
      <c r="N1405" s="38">
        <v>1.5967</v>
      </c>
    </row>
    <row r="1406">
      <c r="A1406" s="389" t="s">
        <v>1971</v>
      </c>
      <c r="B1406" s="389" t="s">
        <v>339</v>
      </c>
      <c r="C1406" s="389" t="s">
        <v>9</v>
      </c>
      <c r="D1406" s="389" t="s">
        <v>591</v>
      </c>
      <c r="E1406" s="390" t="s">
        <v>38</v>
      </c>
      <c r="F1406" s="391">
        <v>51842.0</v>
      </c>
      <c r="G1406" s="391">
        <v>2745.0</v>
      </c>
      <c r="H1406" s="391">
        <v>5.29</v>
      </c>
      <c r="I1406" s="391">
        <v>0.56</v>
      </c>
      <c r="J1406" s="391">
        <v>0.57</v>
      </c>
      <c r="K1406" s="391">
        <v>2886.0</v>
      </c>
      <c r="L1406" s="391">
        <v>514459.0</v>
      </c>
      <c r="M1406" s="391">
        <v>0.0557</v>
      </c>
      <c r="N1406" s="38">
        <v>1.0514</v>
      </c>
    </row>
    <row r="1407">
      <c r="A1407" s="389" t="s">
        <v>1971</v>
      </c>
      <c r="B1407" s="389" t="s">
        <v>339</v>
      </c>
      <c r="C1407" s="389" t="s">
        <v>9</v>
      </c>
      <c r="D1407" s="389" t="s">
        <v>591</v>
      </c>
      <c r="E1407" s="390" t="s">
        <v>27</v>
      </c>
      <c r="F1407" s="391">
        <v>51842.0</v>
      </c>
      <c r="G1407" s="391">
        <v>1812.0</v>
      </c>
      <c r="H1407" s="391">
        <v>3.5</v>
      </c>
      <c r="I1407" s="391">
        <v>0.36</v>
      </c>
      <c r="J1407" s="391">
        <v>0.31</v>
      </c>
      <c r="K1407" s="391">
        <v>1839.0</v>
      </c>
      <c r="L1407" s="391">
        <v>514459.0</v>
      </c>
      <c r="M1407" s="391">
        <v>0.0355</v>
      </c>
      <c r="N1407" s="38">
        <v>1.0149</v>
      </c>
    </row>
    <row r="1408">
      <c r="A1408" s="389" t="s">
        <v>1971</v>
      </c>
      <c r="B1408" s="389" t="s">
        <v>339</v>
      </c>
      <c r="C1408" s="389" t="s">
        <v>9</v>
      </c>
      <c r="D1408" s="389" t="s">
        <v>591</v>
      </c>
      <c r="E1408" s="390" t="s">
        <v>368</v>
      </c>
      <c r="F1408" s="391">
        <v>51842.0</v>
      </c>
      <c r="G1408" s="391">
        <v>662.0</v>
      </c>
      <c r="H1408" s="391">
        <v>1.28</v>
      </c>
      <c r="I1408" s="391">
        <v>0.14</v>
      </c>
      <c r="J1408" s="391">
        <v>0.09</v>
      </c>
      <c r="K1408" s="391">
        <v>729.0</v>
      </c>
      <c r="L1408" s="391">
        <v>514459.0</v>
      </c>
      <c r="M1408" s="391">
        <v>0.0141</v>
      </c>
      <c r="N1408" s="38">
        <v>1.1012</v>
      </c>
    </row>
    <row r="1409">
      <c r="A1409" s="389" t="s">
        <v>1971</v>
      </c>
      <c r="B1409" s="389" t="s">
        <v>339</v>
      </c>
      <c r="C1409" s="389" t="s">
        <v>9</v>
      </c>
      <c r="D1409" s="389" t="s">
        <v>591</v>
      </c>
      <c r="E1409" s="390" t="s">
        <v>163</v>
      </c>
      <c r="F1409" s="391">
        <v>51842.0</v>
      </c>
      <c r="G1409" s="391">
        <v>63.0</v>
      </c>
      <c r="H1409" s="391">
        <v>0.12</v>
      </c>
      <c r="I1409" s="391">
        <v>0.01</v>
      </c>
      <c r="J1409" s="391">
        <v>0.01</v>
      </c>
      <c r="K1409" s="391">
        <v>66.0</v>
      </c>
      <c r="L1409" s="391">
        <v>514459.0</v>
      </c>
      <c r="M1409" s="391">
        <v>0.0013</v>
      </c>
      <c r="N1409" s="38">
        <v>1.0476</v>
      </c>
    </row>
    <row r="1410">
      <c r="A1410" s="389" t="s">
        <v>1971</v>
      </c>
      <c r="B1410" s="389" t="s">
        <v>339</v>
      </c>
      <c r="C1410" s="389" t="s">
        <v>358</v>
      </c>
      <c r="D1410" s="389" t="s">
        <v>1968</v>
      </c>
      <c r="E1410" s="390" t="s">
        <v>371</v>
      </c>
      <c r="F1410" s="391">
        <v>27122.0</v>
      </c>
      <c r="G1410" s="391">
        <v>12211.0</v>
      </c>
      <c r="H1410" s="391">
        <v>45.02</v>
      </c>
      <c r="I1410" s="391">
        <v>30.91</v>
      </c>
      <c r="J1410" s="391">
        <v>29.32</v>
      </c>
      <c r="K1410" s="391">
        <v>275315.0</v>
      </c>
      <c r="L1410" s="391">
        <v>890575.0</v>
      </c>
      <c r="M1410" s="391">
        <v>10.151</v>
      </c>
      <c r="N1410" s="38">
        <v>22.5465</v>
      </c>
    </row>
    <row r="1411">
      <c r="A1411" s="389" t="s">
        <v>1971</v>
      </c>
      <c r="B1411" s="389" t="s">
        <v>339</v>
      </c>
      <c r="C1411" s="389" t="s">
        <v>358</v>
      </c>
      <c r="D1411" s="389" t="s">
        <v>1968</v>
      </c>
      <c r="E1411" s="390" t="s">
        <v>368</v>
      </c>
      <c r="F1411" s="391">
        <v>27122.0</v>
      </c>
      <c r="G1411" s="391">
        <v>14982.0</v>
      </c>
      <c r="H1411" s="391">
        <v>55.24</v>
      </c>
      <c r="I1411" s="391">
        <v>22.17</v>
      </c>
      <c r="J1411" s="391">
        <v>29.96</v>
      </c>
      <c r="K1411" s="391">
        <v>197435.0</v>
      </c>
      <c r="L1411" s="391">
        <v>890575.0</v>
      </c>
      <c r="M1411" s="391">
        <v>7.2795</v>
      </c>
      <c r="N1411" s="38">
        <v>13.1781</v>
      </c>
    </row>
    <row r="1412">
      <c r="A1412" s="389" t="s">
        <v>1971</v>
      </c>
      <c r="B1412" s="389" t="s">
        <v>339</v>
      </c>
      <c r="C1412" s="389" t="s">
        <v>358</v>
      </c>
      <c r="D1412" s="389" t="s">
        <v>1968</v>
      </c>
      <c r="E1412" s="390" t="s">
        <v>108</v>
      </c>
      <c r="F1412" s="391">
        <v>27122.0</v>
      </c>
      <c r="G1412" s="391">
        <v>7199.0</v>
      </c>
      <c r="H1412" s="391">
        <v>26.54</v>
      </c>
      <c r="I1412" s="391">
        <v>17.93</v>
      </c>
      <c r="J1412" s="391">
        <v>16.49</v>
      </c>
      <c r="K1412" s="391">
        <v>159640.0</v>
      </c>
      <c r="L1412" s="391">
        <v>890575.0</v>
      </c>
      <c r="M1412" s="391">
        <v>5.886</v>
      </c>
      <c r="N1412" s="38">
        <v>22.1753</v>
      </c>
    </row>
    <row r="1413">
      <c r="A1413" s="389" t="s">
        <v>1971</v>
      </c>
      <c r="B1413" s="389" t="s">
        <v>339</v>
      </c>
      <c r="C1413" s="389" t="s">
        <v>358</v>
      </c>
      <c r="D1413" s="389" t="s">
        <v>1968</v>
      </c>
      <c r="E1413" s="390" t="s">
        <v>366</v>
      </c>
      <c r="F1413" s="391">
        <v>27122.0</v>
      </c>
      <c r="G1413" s="391">
        <v>5138.0</v>
      </c>
      <c r="H1413" s="391">
        <v>18.94</v>
      </c>
      <c r="I1413" s="391">
        <v>17.73</v>
      </c>
      <c r="J1413" s="391">
        <v>10.86</v>
      </c>
      <c r="K1413" s="391">
        <v>157920.0</v>
      </c>
      <c r="L1413" s="391">
        <v>890575.0</v>
      </c>
      <c r="M1413" s="391">
        <v>5.8226</v>
      </c>
      <c r="N1413" s="38">
        <v>30.7357</v>
      </c>
    </row>
    <row r="1414">
      <c r="A1414" s="389" t="s">
        <v>1971</v>
      </c>
      <c r="B1414" s="389" t="s">
        <v>339</v>
      </c>
      <c r="C1414" s="389" t="s">
        <v>358</v>
      </c>
      <c r="D1414" s="389" t="s">
        <v>1968</v>
      </c>
      <c r="E1414" s="390" t="s">
        <v>163</v>
      </c>
      <c r="F1414" s="391">
        <v>27122.0</v>
      </c>
      <c r="G1414" s="391">
        <v>6325.0</v>
      </c>
      <c r="H1414" s="391">
        <v>23.32</v>
      </c>
      <c r="I1414" s="391">
        <v>7.39</v>
      </c>
      <c r="J1414" s="391">
        <v>9.84</v>
      </c>
      <c r="K1414" s="391">
        <v>65820.0</v>
      </c>
      <c r="L1414" s="391">
        <v>890575.0</v>
      </c>
      <c r="M1414" s="391">
        <v>2.4268</v>
      </c>
      <c r="N1414" s="38">
        <v>10.4063</v>
      </c>
    </row>
    <row r="1415">
      <c r="A1415" s="389" t="s">
        <v>1971</v>
      </c>
      <c r="B1415" s="389" t="s">
        <v>339</v>
      </c>
      <c r="C1415" s="389" t="s">
        <v>358</v>
      </c>
      <c r="D1415" s="389" t="s">
        <v>1968</v>
      </c>
      <c r="E1415" s="390" t="s">
        <v>369</v>
      </c>
      <c r="F1415" s="391">
        <v>27122.0</v>
      </c>
      <c r="G1415" s="391">
        <v>828.0</v>
      </c>
      <c r="H1415" s="391">
        <v>3.05</v>
      </c>
      <c r="I1415" s="391">
        <v>2.93</v>
      </c>
      <c r="J1415" s="391">
        <v>2.82</v>
      </c>
      <c r="K1415" s="391">
        <v>26080.0</v>
      </c>
      <c r="L1415" s="391">
        <v>890575.0</v>
      </c>
      <c r="M1415" s="391">
        <v>0.9616</v>
      </c>
      <c r="N1415" s="38">
        <v>31.4976</v>
      </c>
    </row>
    <row r="1416">
      <c r="A1416" s="389" t="s">
        <v>1971</v>
      </c>
      <c r="B1416" s="389" t="s">
        <v>339</v>
      </c>
      <c r="C1416" s="389" t="s">
        <v>358</v>
      </c>
      <c r="D1416" s="389" t="s">
        <v>1968</v>
      </c>
      <c r="E1416" s="390" t="s">
        <v>30</v>
      </c>
      <c r="F1416" s="391">
        <v>27122.0</v>
      </c>
      <c r="G1416" s="391">
        <v>544.0</v>
      </c>
      <c r="H1416" s="391">
        <v>2.01</v>
      </c>
      <c r="I1416" s="391">
        <v>0.93</v>
      </c>
      <c r="J1416" s="391">
        <v>0.71</v>
      </c>
      <c r="K1416" s="391">
        <v>8265.0</v>
      </c>
      <c r="L1416" s="391">
        <v>890575.0</v>
      </c>
      <c r="M1416" s="391">
        <v>0.3047</v>
      </c>
      <c r="N1416" s="38">
        <v>15.193</v>
      </c>
    </row>
    <row r="1417">
      <c r="A1417" s="389" t="s">
        <v>1971</v>
      </c>
      <c r="B1417" s="389" t="s">
        <v>339</v>
      </c>
      <c r="C1417" s="389" t="s">
        <v>358</v>
      </c>
      <c r="D1417" s="389" t="s">
        <v>1968</v>
      </c>
      <c r="E1417" s="390" t="s">
        <v>372</v>
      </c>
      <c r="F1417" s="391">
        <v>27122.0</v>
      </c>
      <c r="G1417" s="391">
        <v>1.0</v>
      </c>
      <c r="H1417" s="391">
        <v>0.0</v>
      </c>
      <c r="I1417" s="391">
        <v>0.01</v>
      </c>
      <c r="J1417" s="391">
        <v>0.0</v>
      </c>
      <c r="K1417" s="391">
        <v>60.0</v>
      </c>
      <c r="L1417" s="391">
        <v>890575.0</v>
      </c>
      <c r="M1417" s="391">
        <v>0.0022</v>
      </c>
      <c r="N1417" s="38">
        <v>60.0</v>
      </c>
    </row>
    <row r="1418">
      <c r="A1418" s="389" t="s">
        <v>1971</v>
      </c>
      <c r="B1418" s="389" t="s">
        <v>339</v>
      </c>
      <c r="C1418" s="389" t="s">
        <v>358</v>
      </c>
      <c r="D1418" s="389" t="s">
        <v>1968</v>
      </c>
      <c r="E1418" s="390" t="s">
        <v>367</v>
      </c>
      <c r="F1418" s="391">
        <v>27122.0</v>
      </c>
      <c r="G1418" s="391">
        <v>2.0</v>
      </c>
      <c r="H1418" s="391">
        <v>0.01</v>
      </c>
      <c r="I1418" s="391">
        <v>0.0</v>
      </c>
      <c r="J1418" s="391">
        <v>0.01</v>
      </c>
      <c r="K1418" s="391">
        <v>40.0</v>
      </c>
      <c r="L1418" s="391">
        <v>890575.0</v>
      </c>
      <c r="M1418" s="391">
        <v>0.0015</v>
      </c>
      <c r="N1418" s="38">
        <v>20.0</v>
      </c>
    </row>
    <row r="1419">
      <c r="A1419" s="389" t="s">
        <v>1971</v>
      </c>
      <c r="B1419" s="389" t="s">
        <v>339</v>
      </c>
      <c r="C1419" s="389" t="s">
        <v>359</v>
      </c>
      <c r="D1419" s="389" t="s">
        <v>1968</v>
      </c>
      <c r="E1419" s="390" t="s">
        <v>371</v>
      </c>
      <c r="F1419" s="391">
        <v>44427.0</v>
      </c>
      <c r="G1419" s="391">
        <v>33570.0</v>
      </c>
      <c r="H1419" s="391">
        <v>75.56</v>
      </c>
      <c r="I1419" s="391">
        <v>50.07</v>
      </c>
      <c r="J1419" s="391">
        <v>52.78</v>
      </c>
      <c r="K1419" s="391">
        <v>1019960.0</v>
      </c>
      <c r="L1419" s="391">
        <v>2037140.0</v>
      </c>
      <c r="M1419" s="391">
        <v>22.9581</v>
      </c>
      <c r="N1419" s="38">
        <v>30.3831</v>
      </c>
    </row>
    <row r="1420">
      <c r="A1420" s="389" t="s">
        <v>1971</v>
      </c>
      <c r="B1420" s="389" t="s">
        <v>339</v>
      </c>
      <c r="C1420" s="389" t="s">
        <v>359</v>
      </c>
      <c r="D1420" s="389" t="s">
        <v>1968</v>
      </c>
      <c r="E1420" s="390" t="s">
        <v>366</v>
      </c>
      <c r="F1420" s="391">
        <v>44427.0</v>
      </c>
      <c r="G1420" s="391">
        <v>5157.0</v>
      </c>
      <c r="H1420" s="391">
        <v>11.61</v>
      </c>
      <c r="I1420" s="391">
        <v>15.52</v>
      </c>
      <c r="J1420" s="391">
        <v>6.6</v>
      </c>
      <c r="K1420" s="391">
        <v>316155.0</v>
      </c>
      <c r="L1420" s="391">
        <v>2037140.0</v>
      </c>
      <c r="M1420" s="391">
        <v>7.1163</v>
      </c>
      <c r="N1420" s="38">
        <v>61.306</v>
      </c>
    </row>
    <row r="1421">
      <c r="A1421" s="389" t="s">
        <v>1971</v>
      </c>
      <c r="B1421" s="389" t="s">
        <v>339</v>
      </c>
      <c r="C1421" s="389" t="s">
        <v>359</v>
      </c>
      <c r="D1421" s="389" t="s">
        <v>1968</v>
      </c>
      <c r="E1421" s="390" t="s">
        <v>368</v>
      </c>
      <c r="F1421" s="391">
        <v>44427.0</v>
      </c>
      <c r="G1421" s="391">
        <v>22805.0</v>
      </c>
      <c r="H1421" s="391">
        <v>51.33</v>
      </c>
      <c r="I1421" s="391">
        <v>15.11</v>
      </c>
      <c r="J1421" s="391">
        <v>19.89</v>
      </c>
      <c r="K1421" s="391">
        <v>307780.0</v>
      </c>
      <c r="L1421" s="391">
        <v>2037140.0</v>
      </c>
      <c r="M1421" s="391">
        <v>6.9278</v>
      </c>
      <c r="N1421" s="38">
        <v>13.4962</v>
      </c>
    </row>
    <row r="1422">
      <c r="A1422" s="389" t="s">
        <v>1971</v>
      </c>
      <c r="B1422" s="389" t="s">
        <v>339</v>
      </c>
      <c r="C1422" s="389" t="s">
        <v>359</v>
      </c>
      <c r="D1422" s="389" t="s">
        <v>1968</v>
      </c>
      <c r="E1422" s="390" t="s">
        <v>108</v>
      </c>
      <c r="F1422" s="391">
        <v>44427.0</v>
      </c>
      <c r="G1422" s="391">
        <v>8616.0</v>
      </c>
      <c r="H1422" s="391">
        <v>19.39</v>
      </c>
      <c r="I1422" s="391">
        <v>7.26</v>
      </c>
      <c r="J1422" s="391">
        <v>6.95</v>
      </c>
      <c r="K1422" s="391">
        <v>147835.0</v>
      </c>
      <c r="L1422" s="391">
        <v>2037140.0</v>
      </c>
      <c r="M1422" s="391">
        <v>3.3276</v>
      </c>
      <c r="N1422" s="38">
        <v>17.1582</v>
      </c>
    </row>
    <row r="1423">
      <c r="A1423" s="389" t="s">
        <v>1971</v>
      </c>
      <c r="B1423" s="389" t="s">
        <v>339</v>
      </c>
      <c r="C1423" s="389" t="s">
        <v>359</v>
      </c>
      <c r="D1423" s="389" t="s">
        <v>1968</v>
      </c>
      <c r="E1423" s="390" t="s">
        <v>163</v>
      </c>
      <c r="F1423" s="391">
        <v>44427.0</v>
      </c>
      <c r="G1423" s="391">
        <v>10568.0</v>
      </c>
      <c r="H1423" s="391">
        <v>23.79</v>
      </c>
      <c r="I1423" s="391">
        <v>5.5</v>
      </c>
      <c r="J1423" s="391">
        <v>7.9</v>
      </c>
      <c r="K1423" s="391">
        <v>112060.0</v>
      </c>
      <c r="L1423" s="391">
        <v>2037140.0</v>
      </c>
      <c r="M1423" s="391">
        <v>2.5223</v>
      </c>
      <c r="N1423" s="38">
        <v>10.6037</v>
      </c>
    </row>
    <row r="1424">
      <c r="A1424" s="389" t="s">
        <v>1971</v>
      </c>
      <c r="B1424" s="389" t="s">
        <v>339</v>
      </c>
      <c r="C1424" s="389" t="s">
        <v>359</v>
      </c>
      <c r="D1424" s="389" t="s">
        <v>1968</v>
      </c>
      <c r="E1424" s="390" t="s">
        <v>39</v>
      </c>
      <c r="F1424" s="391">
        <v>44427.0</v>
      </c>
      <c r="G1424" s="391">
        <v>5993.0</v>
      </c>
      <c r="H1424" s="391">
        <v>13.49</v>
      </c>
      <c r="I1424" s="391">
        <v>3.62</v>
      </c>
      <c r="J1424" s="391">
        <v>3.3</v>
      </c>
      <c r="K1424" s="391">
        <v>73820.0</v>
      </c>
      <c r="L1424" s="391">
        <v>2037140.0</v>
      </c>
      <c r="M1424" s="391">
        <v>1.6616</v>
      </c>
      <c r="N1424" s="38">
        <v>12.3177</v>
      </c>
    </row>
    <row r="1425">
      <c r="A1425" s="389" t="s">
        <v>1971</v>
      </c>
      <c r="B1425" s="389" t="s">
        <v>339</v>
      </c>
      <c r="C1425" s="389" t="s">
        <v>359</v>
      </c>
      <c r="D1425" s="389" t="s">
        <v>1968</v>
      </c>
      <c r="E1425" s="390" t="s">
        <v>30</v>
      </c>
      <c r="F1425" s="391">
        <v>44427.0</v>
      </c>
      <c r="G1425" s="391">
        <v>2220.0</v>
      </c>
      <c r="H1425" s="391">
        <v>5.0</v>
      </c>
      <c r="I1425" s="391">
        <v>1.64</v>
      </c>
      <c r="J1425" s="391">
        <v>1.34</v>
      </c>
      <c r="K1425" s="391">
        <v>33495.0</v>
      </c>
      <c r="L1425" s="391">
        <v>2037140.0</v>
      </c>
      <c r="M1425" s="391">
        <v>0.7539</v>
      </c>
      <c r="N1425" s="38">
        <v>15.0878</v>
      </c>
    </row>
    <row r="1426">
      <c r="A1426" s="389" t="s">
        <v>1971</v>
      </c>
      <c r="B1426" s="389" t="s">
        <v>339</v>
      </c>
      <c r="C1426" s="389" t="s">
        <v>359</v>
      </c>
      <c r="D1426" s="389" t="s">
        <v>1968</v>
      </c>
      <c r="E1426" s="390" t="s">
        <v>369</v>
      </c>
      <c r="F1426" s="391">
        <v>44427.0</v>
      </c>
      <c r="G1426" s="391">
        <v>826.0</v>
      </c>
      <c r="H1426" s="391">
        <v>1.86</v>
      </c>
      <c r="I1426" s="391">
        <v>1.28</v>
      </c>
      <c r="J1426" s="391">
        <v>1.24</v>
      </c>
      <c r="K1426" s="391">
        <v>26000.0</v>
      </c>
      <c r="L1426" s="391">
        <v>2037140.0</v>
      </c>
      <c r="M1426" s="391">
        <v>0.5852</v>
      </c>
      <c r="N1426" s="38">
        <v>31.477</v>
      </c>
    </row>
    <row r="1427">
      <c r="A1427" s="389" t="s">
        <v>1971</v>
      </c>
      <c r="B1427" s="389" t="s">
        <v>339</v>
      </c>
      <c r="C1427" s="389" t="s">
        <v>359</v>
      </c>
      <c r="D1427" s="389" t="s">
        <v>1968</v>
      </c>
      <c r="E1427" s="390" t="s">
        <v>41</v>
      </c>
      <c r="F1427" s="391">
        <v>44427.0</v>
      </c>
      <c r="G1427" s="391">
        <v>1.0</v>
      </c>
      <c r="H1427" s="391">
        <v>0.0</v>
      </c>
      <c r="I1427" s="391">
        <v>0.0</v>
      </c>
      <c r="J1427" s="391">
        <v>0.0</v>
      </c>
      <c r="K1427" s="391">
        <v>15.0</v>
      </c>
      <c r="L1427" s="391">
        <v>2037140.0</v>
      </c>
      <c r="M1427" s="391">
        <v>3.0E-4</v>
      </c>
      <c r="N1427" s="38">
        <v>15.0</v>
      </c>
    </row>
    <row r="1428">
      <c r="A1428" s="389" t="s">
        <v>1971</v>
      </c>
      <c r="B1428" s="389" t="s">
        <v>339</v>
      </c>
      <c r="C1428" s="389" t="s">
        <v>359</v>
      </c>
      <c r="D1428" s="389" t="s">
        <v>1968</v>
      </c>
      <c r="E1428" s="390" t="s">
        <v>367</v>
      </c>
      <c r="F1428" s="391">
        <v>44427.0</v>
      </c>
      <c r="G1428" s="391">
        <v>3.0</v>
      </c>
      <c r="H1428" s="391">
        <v>0.01</v>
      </c>
      <c r="I1428" s="391">
        <v>0.0</v>
      </c>
      <c r="J1428" s="391">
        <v>0.0</v>
      </c>
      <c r="K1428" s="391">
        <v>20.0</v>
      </c>
      <c r="L1428" s="391">
        <v>2037140.0</v>
      </c>
      <c r="M1428" s="391">
        <v>5.0E-4</v>
      </c>
      <c r="N1428" s="38">
        <v>6.6667</v>
      </c>
    </row>
    <row r="1429">
      <c r="A1429" s="389" t="s">
        <v>1971</v>
      </c>
      <c r="B1429" s="389" t="s">
        <v>339</v>
      </c>
      <c r="C1429" s="389" t="s">
        <v>360</v>
      </c>
      <c r="D1429" s="389" t="s">
        <v>1968</v>
      </c>
      <c r="E1429" s="390" t="s">
        <v>371</v>
      </c>
      <c r="F1429" s="391">
        <v>48645.0</v>
      </c>
      <c r="G1429" s="391">
        <v>40929.0</v>
      </c>
      <c r="H1429" s="391">
        <v>84.14</v>
      </c>
      <c r="I1429" s="391">
        <v>47.62</v>
      </c>
      <c r="J1429" s="391">
        <v>55.31</v>
      </c>
      <c r="K1429" s="391">
        <v>1184085.0</v>
      </c>
      <c r="L1429" s="391">
        <v>2486565.0</v>
      </c>
      <c r="M1429" s="391">
        <v>24.3414</v>
      </c>
      <c r="N1429" s="38">
        <v>28.9302</v>
      </c>
    </row>
    <row r="1430">
      <c r="A1430" s="389" t="s">
        <v>1971</v>
      </c>
      <c r="B1430" s="389" t="s">
        <v>339</v>
      </c>
      <c r="C1430" s="389" t="s">
        <v>360</v>
      </c>
      <c r="D1430" s="389" t="s">
        <v>1968</v>
      </c>
      <c r="E1430" s="390" t="s">
        <v>368</v>
      </c>
      <c r="F1430" s="391">
        <v>48645.0</v>
      </c>
      <c r="G1430" s="391">
        <v>25420.0</v>
      </c>
      <c r="H1430" s="391">
        <v>52.26</v>
      </c>
      <c r="I1430" s="391">
        <v>17.3</v>
      </c>
      <c r="J1430" s="391">
        <v>18.85</v>
      </c>
      <c r="K1430" s="391">
        <v>430135.0</v>
      </c>
      <c r="L1430" s="391">
        <v>2486565.0</v>
      </c>
      <c r="M1430" s="391">
        <v>8.8423</v>
      </c>
      <c r="N1430" s="38">
        <v>16.9211</v>
      </c>
    </row>
    <row r="1431">
      <c r="A1431" s="389" t="s">
        <v>1971</v>
      </c>
      <c r="B1431" s="389" t="s">
        <v>339</v>
      </c>
      <c r="C1431" s="389" t="s">
        <v>360</v>
      </c>
      <c r="D1431" s="389" t="s">
        <v>1968</v>
      </c>
      <c r="E1431" s="390" t="s">
        <v>366</v>
      </c>
      <c r="F1431" s="391">
        <v>48645.0</v>
      </c>
      <c r="G1431" s="391">
        <v>4901.0</v>
      </c>
      <c r="H1431" s="391">
        <v>10.08</v>
      </c>
      <c r="I1431" s="391">
        <v>12.09</v>
      </c>
      <c r="J1431" s="391">
        <v>4.8</v>
      </c>
      <c r="K1431" s="391">
        <v>300750.0</v>
      </c>
      <c r="L1431" s="391">
        <v>2486565.0</v>
      </c>
      <c r="M1431" s="391">
        <v>6.1825</v>
      </c>
      <c r="N1431" s="38">
        <v>61.365</v>
      </c>
    </row>
    <row r="1432">
      <c r="A1432" s="389" t="s">
        <v>1971</v>
      </c>
      <c r="B1432" s="389" t="s">
        <v>339</v>
      </c>
      <c r="C1432" s="389" t="s">
        <v>360</v>
      </c>
      <c r="D1432" s="389" t="s">
        <v>1968</v>
      </c>
      <c r="E1432" s="390" t="s">
        <v>39</v>
      </c>
      <c r="F1432" s="391">
        <v>48645.0</v>
      </c>
      <c r="G1432" s="391">
        <v>13195.0</v>
      </c>
      <c r="H1432" s="391">
        <v>27.13</v>
      </c>
      <c r="I1432" s="391">
        <v>7.55</v>
      </c>
      <c r="J1432" s="391">
        <v>6.45</v>
      </c>
      <c r="K1432" s="391">
        <v>187850.0</v>
      </c>
      <c r="L1432" s="391">
        <v>2486565.0</v>
      </c>
      <c r="M1432" s="391">
        <v>3.8617</v>
      </c>
      <c r="N1432" s="38">
        <v>14.2365</v>
      </c>
    </row>
    <row r="1433">
      <c r="A1433" s="389" t="s">
        <v>1971</v>
      </c>
      <c r="B1433" s="389" t="s">
        <v>339</v>
      </c>
      <c r="C1433" s="389" t="s">
        <v>360</v>
      </c>
      <c r="D1433" s="389" t="s">
        <v>1968</v>
      </c>
      <c r="E1433" s="390" t="s">
        <v>108</v>
      </c>
      <c r="F1433" s="391">
        <v>48645.0</v>
      </c>
      <c r="G1433" s="391">
        <v>6391.0</v>
      </c>
      <c r="H1433" s="391">
        <v>13.14</v>
      </c>
      <c r="I1433" s="391">
        <v>5.76</v>
      </c>
      <c r="J1433" s="391">
        <v>4.16</v>
      </c>
      <c r="K1433" s="391">
        <v>143225.0</v>
      </c>
      <c r="L1433" s="391">
        <v>2486565.0</v>
      </c>
      <c r="M1433" s="391">
        <v>2.9443</v>
      </c>
      <c r="N1433" s="38">
        <v>22.4104</v>
      </c>
    </row>
    <row r="1434">
      <c r="A1434" s="389" t="s">
        <v>1971</v>
      </c>
      <c r="B1434" s="389" t="s">
        <v>339</v>
      </c>
      <c r="C1434" s="389" t="s">
        <v>360</v>
      </c>
      <c r="D1434" s="389" t="s">
        <v>1968</v>
      </c>
      <c r="E1434" s="390" t="s">
        <v>163</v>
      </c>
      <c r="F1434" s="391">
        <v>48645.0</v>
      </c>
      <c r="G1434" s="391">
        <v>11625.0</v>
      </c>
      <c r="H1434" s="391">
        <v>23.9</v>
      </c>
      <c r="I1434" s="391">
        <v>5.66</v>
      </c>
      <c r="J1434" s="391">
        <v>6.92</v>
      </c>
      <c r="K1434" s="391">
        <v>140730.0</v>
      </c>
      <c r="L1434" s="391">
        <v>2486565.0</v>
      </c>
      <c r="M1434" s="391">
        <v>2.893</v>
      </c>
      <c r="N1434" s="38">
        <v>12.1058</v>
      </c>
    </row>
    <row r="1435">
      <c r="A1435" s="389" t="s">
        <v>1971</v>
      </c>
      <c r="B1435" s="389" t="s">
        <v>339</v>
      </c>
      <c r="C1435" s="389" t="s">
        <v>360</v>
      </c>
      <c r="D1435" s="389" t="s">
        <v>1968</v>
      </c>
      <c r="E1435" s="390" t="s">
        <v>30</v>
      </c>
      <c r="F1435" s="391">
        <v>48645.0</v>
      </c>
      <c r="G1435" s="391">
        <v>4884.0</v>
      </c>
      <c r="H1435" s="391">
        <v>10.04</v>
      </c>
      <c r="I1435" s="391">
        <v>2.96</v>
      </c>
      <c r="J1435" s="391">
        <v>2.41</v>
      </c>
      <c r="K1435" s="391">
        <v>73635.0</v>
      </c>
      <c r="L1435" s="391">
        <v>2486565.0</v>
      </c>
      <c r="M1435" s="391">
        <v>1.5137</v>
      </c>
      <c r="N1435" s="38">
        <v>15.0768</v>
      </c>
    </row>
    <row r="1436">
      <c r="A1436" s="389" t="s">
        <v>1971</v>
      </c>
      <c r="B1436" s="389" t="s">
        <v>339</v>
      </c>
      <c r="C1436" s="389" t="s">
        <v>360</v>
      </c>
      <c r="D1436" s="389" t="s">
        <v>1968</v>
      </c>
      <c r="E1436" s="390" t="s">
        <v>369</v>
      </c>
      <c r="F1436" s="391">
        <v>48645.0</v>
      </c>
      <c r="G1436" s="391">
        <v>826.0</v>
      </c>
      <c r="H1436" s="391">
        <v>1.7</v>
      </c>
      <c r="I1436" s="391">
        <v>1.05</v>
      </c>
      <c r="J1436" s="391">
        <v>1.08</v>
      </c>
      <c r="K1436" s="391">
        <v>26040.0</v>
      </c>
      <c r="L1436" s="391">
        <v>2486565.0</v>
      </c>
      <c r="M1436" s="391">
        <v>0.5353</v>
      </c>
      <c r="N1436" s="38">
        <v>31.5254</v>
      </c>
    </row>
    <row r="1437">
      <c r="A1437" s="389" t="s">
        <v>1971</v>
      </c>
      <c r="B1437" s="389" t="s">
        <v>339</v>
      </c>
      <c r="C1437" s="389" t="s">
        <v>360</v>
      </c>
      <c r="D1437" s="389" t="s">
        <v>1968</v>
      </c>
      <c r="E1437" s="390" t="s">
        <v>372</v>
      </c>
      <c r="F1437" s="391">
        <v>48645.0</v>
      </c>
      <c r="G1437" s="391">
        <v>8.0</v>
      </c>
      <c r="H1437" s="391">
        <v>0.02</v>
      </c>
      <c r="I1437" s="391">
        <v>0.0</v>
      </c>
      <c r="J1437" s="391">
        <v>0.0</v>
      </c>
      <c r="K1437" s="391">
        <v>90.0</v>
      </c>
      <c r="L1437" s="391">
        <v>2486565.0</v>
      </c>
      <c r="M1437" s="391">
        <v>0.0019</v>
      </c>
      <c r="N1437" s="38">
        <v>11.25</v>
      </c>
    </row>
    <row r="1438">
      <c r="A1438" s="389" t="s">
        <v>1971</v>
      </c>
      <c r="B1438" s="389" t="s">
        <v>339</v>
      </c>
      <c r="C1438" s="389" t="s">
        <v>360</v>
      </c>
      <c r="D1438" s="389" t="s">
        <v>1968</v>
      </c>
      <c r="E1438" s="390" t="s">
        <v>373</v>
      </c>
      <c r="F1438" s="391">
        <v>48645.0</v>
      </c>
      <c r="G1438" s="391">
        <v>1.0</v>
      </c>
      <c r="H1438" s="391">
        <v>0.0</v>
      </c>
      <c r="I1438" s="391">
        <v>0.0</v>
      </c>
      <c r="J1438" s="391">
        <v>0.0</v>
      </c>
      <c r="K1438" s="391">
        <v>10.0</v>
      </c>
      <c r="L1438" s="391">
        <v>2486565.0</v>
      </c>
      <c r="M1438" s="391">
        <v>2.0E-4</v>
      </c>
      <c r="N1438" s="38">
        <v>10.0</v>
      </c>
    </row>
    <row r="1439">
      <c r="A1439" s="389" t="s">
        <v>1971</v>
      </c>
      <c r="B1439" s="389" t="s">
        <v>339</v>
      </c>
      <c r="C1439" s="389" t="s">
        <v>360</v>
      </c>
      <c r="D1439" s="389" t="s">
        <v>1968</v>
      </c>
      <c r="E1439" s="390" t="s">
        <v>370</v>
      </c>
      <c r="F1439" s="391">
        <v>48645.0</v>
      </c>
      <c r="G1439" s="391">
        <v>1.0</v>
      </c>
      <c r="H1439" s="391">
        <v>0.0</v>
      </c>
      <c r="I1439" s="391">
        <v>0.0</v>
      </c>
      <c r="J1439" s="391">
        <v>0.0</v>
      </c>
      <c r="K1439" s="391">
        <v>15.0</v>
      </c>
      <c r="L1439" s="391">
        <v>2486565.0</v>
      </c>
      <c r="M1439" s="391">
        <v>3.0E-4</v>
      </c>
      <c r="N1439" s="38">
        <v>15.0</v>
      </c>
    </row>
    <row r="1440">
      <c r="A1440" s="389" t="s">
        <v>1971</v>
      </c>
      <c r="B1440" s="389" t="s">
        <v>339</v>
      </c>
      <c r="C1440" s="389" t="s">
        <v>12</v>
      </c>
      <c r="D1440" s="389" t="s">
        <v>1968</v>
      </c>
      <c r="E1440" s="390" t="s">
        <v>370</v>
      </c>
      <c r="F1440" s="391">
        <v>56948.0</v>
      </c>
      <c r="G1440" s="391">
        <v>54510.0</v>
      </c>
      <c r="H1440" s="391">
        <v>95.72</v>
      </c>
      <c r="I1440" s="391">
        <v>23.5</v>
      </c>
      <c r="J1440" s="391">
        <v>24.41</v>
      </c>
      <c r="K1440" s="391">
        <v>1.0525245E7</v>
      </c>
      <c r="L1440" s="391">
        <v>4.47792E7</v>
      </c>
      <c r="M1440" s="391">
        <v>184.822</v>
      </c>
      <c r="N1440" s="38">
        <v>193.0883</v>
      </c>
    </row>
    <row r="1441">
      <c r="A1441" s="389" t="s">
        <v>1971</v>
      </c>
      <c r="B1441" s="389" t="s">
        <v>339</v>
      </c>
      <c r="C1441" s="389" t="s">
        <v>12</v>
      </c>
      <c r="D1441" s="389" t="s">
        <v>1968</v>
      </c>
      <c r="E1441" s="390" t="s">
        <v>371</v>
      </c>
      <c r="F1441" s="391">
        <v>56948.0</v>
      </c>
      <c r="G1441" s="391">
        <v>43240.0</v>
      </c>
      <c r="H1441" s="391">
        <v>75.93</v>
      </c>
      <c r="I1441" s="391">
        <v>19.53</v>
      </c>
      <c r="J1441" s="391">
        <v>19.74</v>
      </c>
      <c r="K1441" s="391">
        <v>8747120.0</v>
      </c>
      <c r="L1441" s="391">
        <v>4.47792E7</v>
      </c>
      <c r="M1441" s="391">
        <v>153.5984</v>
      </c>
      <c r="N1441" s="38">
        <v>202.2923</v>
      </c>
    </row>
    <row r="1442">
      <c r="A1442" s="389" t="s">
        <v>1971</v>
      </c>
      <c r="B1442" s="389" t="s">
        <v>339</v>
      </c>
      <c r="C1442" s="389" t="s">
        <v>12</v>
      </c>
      <c r="D1442" s="389" t="s">
        <v>1968</v>
      </c>
      <c r="E1442" s="390" t="s">
        <v>44</v>
      </c>
      <c r="F1442" s="391">
        <v>56948.0</v>
      </c>
      <c r="G1442" s="391">
        <v>38771.0</v>
      </c>
      <c r="H1442" s="391">
        <v>68.08</v>
      </c>
      <c r="I1442" s="391">
        <v>15.48</v>
      </c>
      <c r="J1442" s="391">
        <v>15.61</v>
      </c>
      <c r="K1442" s="391">
        <v>6933100.0</v>
      </c>
      <c r="L1442" s="391">
        <v>4.47792E7</v>
      </c>
      <c r="M1442" s="391">
        <v>121.7444</v>
      </c>
      <c r="N1442" s="38">
        <v>178.8218</v>
      </c>
    </row>
    <row r="1443">
      <c r="A1443" s="389" t="s">
        <v>1971</v>
      </c>
      <c r="B1443" s="389" t="s">
        <v>339</v>
      </c>
      <c r="C1443" s="389" t="s">
        <v>12</v>
      </c>
      <c r="D1443" s="389" t="s">
        <v>1968</v>
      </c>
      <c r="E1443" s="390" t="s">
        <v>366</v>
      </c>
      <c r="F1443" s="391">
        <v>56948.0</v>
      </c>
      <c r="G1443" s="391">
        <v>41432.0</v>
      </c>
      <c r="H1443" s="391">
        <v>72.75</v>
      </c>
      <c r="I1443" s="391">
        <v>10.45</v>
      </c>
      <c r="J1443" s="391">
        <v>9.47</v>
      </c>
      <c r="K1443" s="391">
        <v>4677710.0</v>
      </c>
      <c r="L1443" s="391">
        <v>4.47792E7</v>
      </c>
      <c r="M1443" s="391">
        <v>82.14</v>
      </c>
      <c r="N1443" s="38">
        <v>112.9009</v>
      </c>
    </row>
    <row r="1444">
      <c r="A1444" s="389" t="s">
        <v>1971</v>
      </c>
      <c r="B1444" s="389" t="s">
        <v>339</v>
      </c>
      <c r="C1444" s="389" t="s">
        <v>12</v>
      </c>
      <c r="D1444" s="389" t="s">
        <v>1968</v>
      </c>
      <c r="E1444" s="390" t="s">
        <v>39</v>
      </c>
      <c r="F1444" s="391">
        <v>56948.0</v>
      </c>
      <c r="G1444" s="391">
        <v>35231.0</v>
      </c>
      <c r="H1444" s="391">
        <v>61.87</v>
      </c>
      <c r="I1444" s="391">
        <v>9.19</v>
      </c>
      <c r="J1444" s="391">
        <v>10.54</v>
      </c>
      <c r="K1444" s="391">
        <v>4115820.0</v>
      </c>
      <c r="L1444" s="391">
        <v>4.47792E7</v>
      </c>
      <c r="M1444" s="391">
        <v>72.2733</v>
      </c>
      <c r="N1444" s="38">
        <v>116.8238</v>
      </c>
    </row>
    <row r="1445">
      <c r="A1445" s="389" t="s">
        <v>1971</v>
      </c>
      <c r="B1445" s="389" t="s">
        <v>339</v>
      </c>
      <c r="C1445" s="389" t="s">
        <v>12</v>
      </c>
      <c r="D1445" s="389" t="s">
        <v>1968</v>
      </c>
      <c r="E1445" s="390" t="s">
        <v>365</v>
      </c>
      <c r="F1445" s="391">
        <v>56948.0</v>
      </c>
      <c r="G1445" s="391">
        <v>28786.0</v>
      </c>
      <c r="H1445" s="391">
        <v>50.55</v>
      </c>
      <c r="I1445" s="391">
        <v>5.13</v>
      </c>
      <c r="J1445" s="391">
        <v>5.12</v>
      </c>
      <c r="K1445" s="391">
        <v>2298090.0</v>
      </c>
      <c r="L1445" s="391">
        <v>4.47792E7</v>
      </c>
      <c r="M1445" s="391">
        <v>40.3542</v>
      </c>
      <c r="N1445" s="38">
        <v>79.8336</v>
      </c>
    </row>
    <row r="1446">
      <c r="A1446" s="389" t="s">
        <v>1971</v>
      </c>
      <c r="B1446" s="389" t="s">
        <v>339</v>
      </c>
      <c r="C1446" s="389" t="s">
        <v>12</v>
      </c>
      <c r="D1446" s="389" t="s">
        <v>1968</v>
      </c>
      <c r="E1446" s="390" t="s">
        <v>369</v>
      </c>
      <c r="F1446" s="391">
        <v>56948.0</v>
      </c>
      <c r="G1446" s="391">
        <v>12516.0</v>
      </c>
      <c r="H1446" s="391">
        <v>21.98</v>
      </c>
      <c r="I1446" s="391">
        <v>4.09</v>
      </c>
      <c r="J1446" s="391">
        <v>2.13</v>
      </c>
      <c r="K1446" s="391">
        <v>1832365.0</v>
      </c>
      <c r="L1446" s="391">
        <v>4.47792E7</v>
      </c>
      <c r="M1446" s="391">
        <v>32.1761</v>
      </c>
      <c r="N1446" s="38">
        <v>146.4018</v>
      </c>
    </row>
    <row r="1447">
      <c r="A1447" s="389" t="s">
        <v>1971</v>
      </c>
      <c r="B1447" s="389" t="s">
        <v>339</v>
      </c>
      <c r="C1447" s="389" t="s">
        <v>12</v>
      </c>
      <c r="D1447" s="389" t="s">
        <v>1968</v>
      </c>
      <c r="E1447" s="390" t="s">
        <v>368</v>
      </c>
      <c r="F1447" s="391">
        <v>56948.0</v>
      </c>
      <c r="G1447" s="391">
        <v>22514.0</v>
      </c>
      <c r="H1447" s="391">
        <v>39.53</v>
      </c>
      <c r="I1447" s="391">
        <v>3.79</v>
      </c>
      <c r="J1447" s="391">
        <v>3.46</v>
      </c>
      <c r="K1447" s="391">
        <v>1696215.0</v>
      </c>
      <c r="L1447" s="391">
        <v>4.47792E7</v>
      </c>
      <c r="M1447" s="391">
        <v>29.7853</v>
      </c>
      <c r="N1447" s="38">
        <v>75.3405</v>
      </c>
    </row>
    <row r="1448">
      <c r="A1448" s="389" t="s">
        <v>1971</v>
      </c>
      <c r="B1448" s="389" t="s">
        <v>339</v>
      </c>
      <c r="C1448" s="389" t="s">
        <v>12</v>
      </c>
      <c r="D1448" s="389" t="s">
        <v>1968</v>
      </c>
      <c r="E1448" s="390" t="s">
        <v>367</v>
      </c>
      <c r="F1448" s="391">
        <v>56948.0</v>
      </c>
      <c r="G1448" s="391">
        <v>22621.0</v>
      </c>
      <c r="H1448" s="391">
        <v>39.72</v>
      </c>
      <c r="I1448" s="391">
        <v>3.18</v>
      </c>
      <c r="J1448" s="391">
        <v>3.47</v>
      </c>
      <c r="K1448" s="391">
        <v>1422650.0</v>
      </c>
      <c r="L1448" s="391">
        <v>4.47792E7</v>
      </c>
      <c r="M1448" s="391">
        <v>24.9816</v>
      </c>
      <c r="N1448" s="38">
        <v>62.8907</v>
      </c>
    </row>
    <row r="1449">
      <c r="A1449" s="389" t="s">
        <v>1971</v>
      </c>
      <c r="B1449" s="389" t="s">
        <v>339</v>
      </c>
      <c r="C1449" s="389" t="s">
        <v>12</v>
      </c>
      <c r="D1449" s="389" t="s">
        <v>1968</v>
      </c>
      <c r="E1449" s="390" t="s">
        <v>38</v>
      </c>
      <c r="F1449" s="391">
        <v>56948.0</v>
      </c>
      <c r="G1449" s="391">
        <v>22743.0</v>
      </c>
      <c r="H1449" s="391">
        <v>39.94</v>
      </c>
      <c r="I1449" s="391">
        <v>1.94</v>
      </c>
      <c r="J1449" s="391">
        <v>2.68</v>
      </c>
      <c r="K1449" s="391">
        <v>870240.0</v>
      </c>
      <c r="L1449" s="391">
        <v>4.47792E7</v>
      </c>
      <c r="M1449" s="391">
        <v>15.2813</v>
      </c>
      <c r="N1449" s="38">
        <v>38.2641</v>
      </c>
    </row>
    <row r="1450">
      <c r="A1450" s="389" t="s">
        <v>1971</v>
      </c>
      <c r="B1450" s="389" t="s">
        <v>339</v>
      </c>
      <c r="C1450" s="389" t="s">
        <v>12</v>
      </c>
      <c r="D1450" s="389" t="s">
        <v>1968</v>
      </c>
      <c r="E1450" s="390" t="s">
        <v>30</v>
      </c>
      <c r="F1450" s="391">
        <v>56948.0</v>
      </c>
      <c r="G1450" s="391">
        <v>9618.0</v>
      </c>
      <c r="H1450" s="391">
        <v>16.89</v>
      </c>
      <c r="I1450" s="391">
        <v>1.15</v>
      </c>
      <c r="J1450" s="391">
        <v>1.06</v>
      </c>
      <c r="K1450" s="391">
        <v>514530.0</v>
      </c>
      <c r="L1450" s="391">
        <v>4.47792E7</v>
      </c>
      <c r="M1450" s="391">
        <v>9.0351</v>
      </c>
      <c r="N1450" s="38">
        <v>53.4966</v>
      </c>
    </row>
    <row r="1451">
      <c r="A1451" s="389" t="s">
        <v>1971</v>
      </c>
      <c r="B1451" s="389" t="s">
        <v>339</v>
      </c>
      <c r="C1451" s="389" t="s">
        <v>12</v>
      </c>
      <c r="D1451" s="389" t="s">
        <v>1968</v>
      </c>
      <c r="E1451" s="390" t="s">
        <v>163</v>
      </c>
      <c r="F1451" s="391">
        <v>56948.0</v>
      </c>
      <c r="G1451" s="391">
        <v>9956.0</v>
      </c>
      <c r="H1451" s="391">
        <v>17.48</v>
      </c>
      <c r="I1451" s="391">
        <v>1.07</v>
      </c>
      <c r="J1451" s="391">
        <v>1.01</v>
      </c>
      <c r="K1451" s="391">
        <v>481170.0</v>
      </c>
      <c r="L1451" s="391">
        <v>4.47792E7</v>
      </c>
      <c r="M1451" s="391">
        <v>8.4493</v>
      </c>
      <c r="N1451" s="38">
        <v>48.3297</v>
      </c>
    </row>
    <row r="1452">
      <c r="A1452" s="389" t="s">
        <v>1971</v>
      </c>
      <c r="B1452" s="389" t="s">
        <v>339</v>
      </c>
      <c r="C1452" s="389" t="s">
        <v>12</v>
      </c>
      <c r="D1452" s="389" t="s">
        <v>1968</v>
      </c>
      <c r="E1452" s="390" t="s">
        <v>363</v>
      </c>
      <c r="F1452" s="391">
        <v>56948.0</v>
      </c>
      <c r="G1452" s="391">
        <v>13679.0</v>
      </c>
      <c r="H1452" s="391">
        <v>24.02</v>
      </c>
      <c r="I1452" s="391">
        <v>1.02</v>
      </c>
      <c r="J1452" s="391">
        <v>0.85</v>
      </c>
      <c r="K1452" s="391">
        <v>456545.0</v>
      </c>
      <c r="L1452" s="391">
        <v>4.47792E7</v>
      </c>
      <c r="M1452" s="391">
        <v>8.0169</v>
      </c>
      <c r="N1452" s="38">
        <v>33.3756</v>
      </c>
    </row>
    <row r="1453">
      <c r="A1453" s="389" t="s">
        <v>1971</v>
      </c>
      <c r="B1453" s="389" t="s">
        <v>339</v>
      </c>
      <c r="C1453" s="389" t="s">
        <v>12</v>
      </c>
      <c r="D1453" s="389" t="s">
        <v>1968</v>
      </c>
      <c r="E1453" s="390" t="s">
        <v>27</v>
      </c>
      <c r="F1453" s="391">
        <v>56948.0</v>
      </c>
      <c r="G1453" s="391">
        <v>3717.0</v>
      </c>
      <c r="H1453" s="391">
        <v>6.53</v>
      </c>
      <c r="I1453" s="391">
        <v>0.31</v>
      </c>
      <c r="J1453" s="391">
        <v>0.25</v>
      </c>
      <c r="K1453" s="391">
        <v>137620.0</v>
      </c>
      <c r="L1453" s="391">
        <v>4.47792E7</v>
      </c>
      <c r="M1453" s="391">
        <v>2.4166</v>
      </c>
      <c r="N1453" s="38">
        <v>37.0245</v>
      </c>
    </row>
    <row r="1454">
      <c r="A1454" s="389" t="s">
        <v>1971</v>
      </c>
      <c r="B1454" s="389" t="s">
        <v>339</v>
      </c>
      <c r="C1454" s="389" t="s">
        <v>12</v>
      </c>
      <c r="D1454" s="389" t="s">
        <v>1968</v>
      </c>
      <c r="E1454" s="390" t="s">
        <v>108</v>
      </c>
      <c r="F1454" s="391">
        <v>56948.0</v>
      </c>
      <c r="G1454" s="391">
        <v>1952.0</v>
      </c>
      <c r="H1454" s="391">
        <v>3.43</v>
      </c>
      <c r="I1454" s="391">
        <v>0.12</v>
      </c>
      <c r="J1454" s="391">
        <v>0.12</v>
      </c>
      <c r="K1454" s="391">
        <v>51865.0</v>
      </c>
      <c r="L1454" s="391">
        <v>4.47792E7</v>
      </c>
      <c r="M1454" s="391">
        <v>0.9107</v>
      </c>
      <c r="N1454" s="38">
        <v>26.5702</v>
      </c>
    </row>
    <row r="1455">
      <c r="A1455" s="389" t="s">
        <v>1971</v>
      </c>
      <c r="B1455" s="389" t="s">
        <v>339</v>
      </c>
      <c r="C1455" s="389" t="s">
        <v>12</v>
      </c>
      <c r="D1455" s="389" t="s">
        <v>1968</v>
      </c>
      <c r="E1455" s="390" t="s">
        <v>45</v>
      </c>
      <c r="F1455" s="391">
        <v>56948.0</v>
      </c>
      <c r="G1455" s="391">
        <v>365.0</v>
      </c>
      <c r="H1455" s="391">
        <v>0.64</v>
      </c>
      <c r="I1455" s="391">
        <v>0.04</v>
      </c>
      <c r="J1455" s="391">
        <v>0.07</v>
      </c>
      <c r="K1455" s="391">
        <v>18610.0</v>
      </c>
      <c r="L1455" s="391">
        <v>4.47792E7</v>
      </c>
      <c r="M1455" s="391">
        <v>0.3268</v>
      </c>
      <c r="N1455" s="38">
        <v>50.9863</v>
      </c>
    </row>
    <row r="1456">
      <c r="A1456" s="389" t="s">
        <v>1971</v>
      </c>
      <c r="B1456" s="389" t="s">
        <v>339</v>
      </c>
      <c r="C1456" s="389" t="s">
        <v>12</v>
      </c>
      <c r="D1456" s="389" t="s">
        <v>1968</v>
      </c>
      <c r="E1456" s="390" t="s">
        <v>35</v>
      </c>
      <c r="F1456" s="391">
        <v>56948.0</v>
      </c>
      <c r="G1456" s="391">
        <v>1.0</v>
      </c>
      <c r="H1456" s="391">
        <v>0.0</v>
      </c>
      <c r="I1456" s="391">
        <v>0.0</v>
      </c>
      <c r="J1456" s="391">
        <v>0.0</v>
      </c>
      <c r="K1456" s="391">
        <v>65.0</v>
      </c>
      <c r="L1456" s="391">
        <v>4.47792E7</v>
      </c>
      <c r="M1456" s="391">
        <v>0.0011</v>
      </c>
      <c r="N1456" s="38">
        <v>65.0</v>
      </c>
    </row>
    <row r="1457">
      <c r="A1457" s="389" t="s">
        <v>1971</v>
      </c>
      <c r="B1457" s="389" t="s">
        <v>339</v>
      </c>
      <c r="C1457" s="389" t="s">
        <v>12</v>
      </c>
      <c r="D1457" s="389" t="s">
        <v>1968</v>
      </c>
      <c r="E1457" s="390" t="s">
        <v>37</v>
      </c>
      <c r="F1457" s="391">
        <v>56948.0</v>
      </c>
      <c r="G1457" s="391">
        <v>1.0</v>
      </c>
      <c r="H1457" s="391">
        <v>0.0</v>
      </c>
      <c r="I1457" s="391">
        <v>0.0</v>
      </c>
      <c r="J1457" s="391">
        <v>0.0</v>
      </c>
      <c r="K1457" s="391">
        <v>30.0</v>
      </c>
      <c r="L1457" s="391">
        <v>4.47792E7</v>
      </c>
      <c r="M1457" s="391">
        <v>5.0E-4</v>
      </c>
      <c r="N1457" s="38">
        <v>30.0</v>
      </c>
    </row>
    <row r="1458">
      <c r="A1458" s="389" t="s">
        <v>1971</v>
      </c>
      <c r="B1458" s="389" t="s">
        <v>339</v>
      </c>
      <c r="C1458" s="389" t="s">
        <v>12</v>
      </c>
      <c r="D1458" s="389" t="s">
        <v>1968</v>
      </c>
      <c r="E1458" s="390" t="s">
        <v>41</v>
      </c>
      <c r="F1458" s="391">
        <v>56948.0</v>
      </c>
      <c r="G1458" s="391">
        <v>1.0</v>
      </c>
      <c r="H1458" s="391">
        <v>0.0</v>
      </c>
      <c r="I1458" s="391">
        <v>0.0</v>
      </c>
      <c r="J1458" s="391">
        <v>0.0</v>
      </c>
      <c r="K1458" s="391">
        <v>15.0</v>
      </c>
      <c r="L1458" s="391">
        <v>4.47792E7</v>
      </c>
      <c r="M1458" s="391">
        <v>3.0E-4</v>
      </c>
      <c r="N1458" s="38">
        <v>15.0</v>
      </c>
    </row>
    <row r="1459">
      <c r="A1459" s="389" t="s">
        <v>1971</v>
      </c>
      <c r="B1459" s="389" t="s">
        <v>339</v>
      </c>
      <c r="C1459" s="389" t="s">
        <v>12</v>
      </c>
      <c r="D1459" s="389" t="s">
        <v>1968</v>
      </c>
      <c r="E1459" s="390" t="s">
        <v>373</v>
      </c>
      <c r="F1459" s="391">
        <v>56948.0</v>
      </c>
      <c r="G1459" s="391">
        <v>1.0</v>
      </c>
      <c r="H1459" s="391">
        <v>0.0</v>
      </c>
      <c r="I1459" s="391">
        <v>0.0</v>
      </c>
      <c r="J1459" s="391">
        <v>0.0</v>
      </c>
      <c r="K1459" s="391">
        <v>60.0</v>
      </c>
      <c r="L1459" s="391">
        <v>4.47792E7</v>
      </c>
      <c r="M1459" s="391">
        <v>0.0011</v>
      </c>
      <c r="N1459" s="38">
        <v>60.0</v>
      </c>
    </row>
    <row r="1460">
      <c r="A1460" s="389" t="s">
        <v>1971</v>
      </c>
      <c r="B1460" s="389" t="s">
        <v>339</v>
      </c>
      <c r="C1460" s="389" t="s">
        <v>12</v>
      </c>
      <c r="D1460" s="389" t="s">
        <v>1968</v>
      </c>
      <c r="E1460" s="390" t="s">
        <v>372</v>
      </c>
      <c r="F1460" s="391">
        <v>56948.0</v>
      </c>
      <c r="G1460" s="391">
        <v>5.0</v>
      </c>
      <c r="H1460" s="391">
        <v>0.01</v>
      </c>
      <c r="I1460" s="391">
        <v>0.0</v>
      </c>
      <c r="J1460" s="391">
        <v>0.0</v>
      </c>
      <c r="K1460" s="391">
        <v>135.0</v>
      </c>
      <c r="L1460" s="391">
        <v>4.47792E7</v>
      </c>
      <c r="M1460" s="391">
        <v>0.0024</v>
      </c>
      <c r="N1460" s="38">
        <v>27.0</v>
      </c>
    </row>
    <row r="1461">
      <c r="A1461" s="389" t="s">
        <v>1972</v>
      </c>
      <c r="B1461" s="389" t="s">
        <v>137</v>
      </c>
      <c r="C1461" s="389" t="s">
        <v>8</v>
      </c>
      <c r="D1461" s="389" t="s">
        <v>591</v>
      </c>
      <c r="E1461" s="390" t="s">
        <v>370</v>
      </c>
      <c r="F1461" s="391">
        <v>38403.0</v>
      </c>
      <c r="G1461" s="391">
        <v>32897.0</v>
      </c>
      <c r="H1461" s="391">
        <v>85.66</v>
      </c>
      <c r="I1461" s="391">
        <v>33.57</v>
      </c>
      <c r="J1461" s="391">
        <v>32.98</v>
      </c>
      <c r="K1461" s="391">
        <v>117288.0</v>
      </c>
      <c r="L1461" s="391">
        <v>349334.0</v>
      </c>
      <c r="M1461" s="391">
        <v>3.0541</v>
      </c>
      <c r="N1461" s="38">
        <v>3.5653</v>
      </c>
    </row>
    <row r="1462">
      <c r="A1462" s="389" t="s">
        <v>1972</v>
      </c>
      <c r="B1462" s="389" t="s">
        <v>137</v>
      </c>
      <c r="C1462" s="389" t="s">
        <v>8</v>
      </c>
      <c r="D1462" s="389" t="s">
        <v>591</v>
      </c>
      <c r="E1462" s="390" t="s">
        <v>369</v>
      </c>
      <c r="F1462" s="391">
        <v>38403.0</v>
      </c>
      <c r="G1462" s="391">
        <v>26156.0</v>
      </c>
      <c r="H1462" s="391">
        <v>68.11</v>
      </c>
      <c r="I1462" s="391">
        <v>14.42</v>
      </c>
      <c r="J1462" s="391">
        <v>18.81</v>
      </c>
      <c r="K1462" s="391">
        <v>50383.0</v>
      </c>
      <c r="L1462" s="391">
        <v>349334.0</v>
      </c>
      <c r="M1462" s="391">
        <v>1.312</v>
      </c>
      <c r="N1462" s="38">
        <v>1.9263</v>
      </c>
    </row>
    <row r="1463">
      <c r="A1463" s="389" t="s">
        <v>1972</v>
      </c>
      <c r="B1463" s="389" t="s">
        <v>137</v>
      </c>
      <c r="C1463" s="389" t="s">
        <v>8</v>
      </c>
      <c r="D1463" s="389" t="s">
        <v>591</v>
      </c>
      <c r="E1463" s="390" t="s">
        <v>44</v>
      </c>
      <c r="F1463" s="391">
        <v>38403.0</v>
      </c>
      <c r="G1463" s="391">
        <v>17969.0</v>
      </c>
      <c r="H1463" s="391">
        <v>46.79</v>
      </c>
      <c r="I1463" s="391">
        <v>12.37</v>
      </c>
      <c r="J1463" s="391">
        <v>10.71</v>
      </c>
      <c r="K1463" s="391">
        <v>43209.0</v>
      </c>
      <c r="L1463" s="391">
        <v>349334.0</v>
      </c>
      <c r="M1463" s="391">
        <v>1.1251</v>
      </c>
      <c r="N1463" s="38">
        <v>2.4046</v>
      </c>
    </row>
    <row r="1464">
      <c r="A1464" s="389" t="s">
        <v>1972</v>
      </c>
      <c r="B1464" s="389" t="s">
        <v>137</v>
      </c>
      <c r="C1464" s="389" t="s">
        <v>8</v>
      </c>
      <c r="D1464" s="389" t="s">
        <v>591</v>
      </c>
      <c r="E1464" s="390" t="s">
        <v>371</v>
      </c>
      <c r="F1464" s="391">
        <v>38403.0</v>
      </c>
      <c r="G1464" s="391">
        <v>18991.0</v>
      </c>
      <c r="H1464" s="391">
        <v>49.45</v>
      </c>
      <c r="I1464" s="391">
        <v>9.61</v>
      </c>
      <c r="J1464" s="391">
        <v>9.95</v>
      </c>
      <c r="K1464" s="391">
        <v>33567.0</v>
      </c>
      <c r="L1464" s="391">
        <v>349334.0</v>
      </c>
      <c r="M1464" s="391">
        <v>0.8741</v>
      </c>
      <c r="N1464" s="38">
        <v>1.7675</v>
      </c>
    </row>
    <row r="1465">
      <c r="A1465" s="389" t="s">
        <v>1972</v>
      </c>
      <c r="B1465" s="389" t="s">
        <v>137</v>
      </c>
      <c r="C1465" s="389" t="s">
        <v>8</v>
      </c>
      <c r="D1465" s="389" t="s">
        <v>591</v>
      </c>
      <c r="E1465" s="390" t="s">
        <v>39</v>
      </c>
      <c r="F1465" s="391">
        <v>38403.0</v>
      </c>
      <c r="G1465" s="391">
        <v>19331.0</v>
      </c>
      <c r="H1465" s="391">
        <v>50.34</v>
      </c>
      <c r="I1465" s="391">
        <v>9.32</v>
      </c>
      <c r="J1465" s="391">
        <v>8.71</v>
      </c>
      <c r="K1465" s="391">
        <v>32574.0</v>
      </c>
      <c r="L1465" s="391">
        <v>349334.0</v>
      </c>
      <c r="M1465" s="391">
        <v>0.8482</v>
      </c>
      <c r="N1465" s="38">
        <v>1.6851</v>
      </c>
    </row>
    <row r="1466">
      <c r="A1466" s="389" t="s">
        <v>1972</v>
      </c>
      <c r="B1466" s="389" t="s">
        <v>137</v>
      </c>
      <c r="C1466" s="389" t="s">
        <v>8</v>
      </c>
      <c r="D1466" s="389" t="s">
        <v>591</v>
      </c>
      <c r="E1466" s="390" t="s">
        <v>365</v>
      </c>
      <c r="F1466" s="391">
        <v>38403.0</v>
      </c>
      <c r="G1466" s="391">
        <v>17988.0</v>
      </c>
      <c r="H1466" s="391">
        <v>46.84</v>
      </c>
      <c r="I1466" s="391">
        <v>7.4</v>
      </c>
      <c r="J1466" s="391">
        <v>8.44</v>
      </c>
      <c r="K1466" s="391">
        <v>25866.0</v>
      </c>
      <c r="L1466" s="391">
        <v>349334.0</v>
      </c>
      <c r="M1466" s="391">
        <v>0.6735</v>
      </c>
      <c r="N1466" s="38">
        <v>1.438</v>
      </c>
    </row>
    <row r="1467">
      <c r="A1467" s="389" t="s">
        <v>1972</v>
      </c>
      <c r="B1467" s="389" t="s">
        <v>137</v>
      </c>
      <c r="C1467" s="389" t="s">
        <v>8</v>
      </c>
      <c r="D1467" s="389" t="s">
        <v>591</v>
      </c>
      <c r="E1467" s="390" t="s">
        <v>37</v>
      </c>
      <c r="F1467" s="391">
        <v>38403.0</v>
      </c>
      <c r="G1467" s="391">
        <v>8962.0</v>
      </c>
      <c r="H1467" s="391">
        <v>23.34</v>
      </c>
      <c r="I1467" s="391">
        <v>3.89</v>
      </c>
      <c r="J1467" s="391">
        <v>4.16</v>
      </c>
      <c r="K1467" s="391">
        <v>13601.0</v>
      </c>
      <c r="L1467" s="391">
        <v>349334.0</v>
      </c>
      <c r="M1467" s="391">
        <v>0.3542</v>
      </c>
      <c r="N1467" s="38">
        <v>1.5176</v>
      </c>
    </row>
    <row r="1468">
      <c r="A1468" s="389" t="s">
        <v>1972</v>
      </c>
      <c r="B1468" s="389" t="s">
        <v>137</v>
      </c>
      <c r="C1468" s="389" t="s">
        <v>8</v>
      </c>
      <c r="D1468" s="389" t="s">
        <v>591</v>
      </c>
      <c r="E1468" s="390" t="s">
        <v>108</v>
      </c>
      <c r="F1468" s="391">
        <v>38403.0</v>
      </c>
      <c r="G1468" s="391">
        <v>5773.0</v>
      </c>
      <c r="H1468" s="391">
        <v>15.03</v>
      </c>
      <c r="I1468" s="391">
        <v>3.26</v>
      </c>
      <c r="J1468" s="391">
        <v>2.13</v>
      </c>
      <c r="K1468" s="391">
        <v>11397.0</v>
      </c>
      <c r="L1468" s="391">
        <v>349334.0</v>
      </c>
      <c r="M1468" s="391">
        <v>0.2968</v>
      </c>
      <c r="N1468" s="38">
        <v>1.9742</v>
      </c>
    </row>
    <row r="1469">
      <c r="A1469" s="389" t="s">
        <v>1972</v>
      </c>
      <c r="B1469" s="389" t="s">
        <v>137</v>
      </c>
      <c r="C1469" s="389" t="s">
        <v>8</v>
      </c>
      <c r="D1469" s="389" t="s">
        <v>591</v>
      </c>
      <c r="E1469" s="390" t="s">
        <v>45</v>
      </c>
      <c r="F1469" s="391">
        <v>38403.0</v>
      </c>
      <c r="G1469" s="391">
        <v>6518.0</v>
      </c>
      <c r="H1469" s="391">
        <v>16.97</v>
      </c>
      <c r="I1469" s="391">
        <v>2.54</v>
      </c>
      <c r="J1469" s="391">
        <v>2.16</v>
      </c>
      <c r="K1469" s="391">
        <v>8888.0</v>
      </c>
      <c r="L1469" s="391">
        <v>349334.0</v>
      </c>
      <c r="M1469" s="391">
        <v>0.2314</v>
      </c>
      <c r="N1469" s="38">
        <v>1.3636</v>
      </c>
    </row>
    <row r="1470">
      <c r="A1470" s="389" t="s">
        <v>1972</v>
      </c>
      <c r="B1470" s="389" t="s">
        <v>137</v>
      </c>
      <c r="C1470" s="389" t="s">
        <v>8</v>
      </c>
      <c r="D1470" s="389" t="s">
        <v>591</v>
      </c>
      <c r="E1470" s="390" t="s">
        <v>368</v>
      </c>
      <c r="F1470" s="391">
        <v>38403.0</v>
      </c>
      <c r="G1470" s="391">
        <v>6349.0</v>
      </c>
      <c r="H1470" s="391">
        <v>16.53</v>
      </c>
      <c r="I1470" s="391">
        <v>2.39</v>
      </c>
      <c r="J1470" s="391">
        <v>1.31</v>
      </c>
      <c r="K1470" s="391">
        <v>8363.0</v>
      </c>
      <c r="L1470" s="391">
        <v>349334.0</v>
      </c>
      <c r="M1470" s="391">
        <v>0.2178</v>
      </c>
      <c r="N1470" s="38">
        <v>1.3172</v>
      </c>
    </row>
    <row r="1471">
      <c r="A1471" s="389" t="s">
        <v>1972</v>
      </c>
      <c r="B1471" s="389" t="s">
        <v>137</v>
      </c>
      <c r="C1471" s="389" t="s">
        <v>8</v>
      </c>
      <c r="D1471" s="389" t="s">
        <v>591</v>
      </c>
      <c r="E1471" s="390" t="s">
        <v>30</v>
      </c>
      <c r="F1471" s="391">
        <v>38403.0</v>
      </c>
      <c r="G1471" s="391">
        <v>2111.0</v>
      </c>
      <c r="H1471" s="391">
        <v>5.5</v>
      </c>
      <c r="I1471" s="391">
        <v>0.61</v>
      </c>
      <c r="J1471" s="391">
        <v>0.28</v>
      </c>
      <c r="K1471" s="391">
        <v>2139.0</v>
      </c>
      <c r="L1471" s="391">
        <v>349334.0</v>
      </c>
      <c r="M1471" s="391">
        <v>0.0557</v>
      </c>
      <c r="N1471" s="38">
        <v>1.0133</v>
      </c>
    </row>
    <row r="1472">
      <c r="A1472" s="389" t="s">
        <v>1972</v>
      </c>
      <c r="B1472" s="389" t="s">
        <v>137</v>
      </c>
      <c r="C1472" s="389" t="s">
        <v>8</v>
      </c>
      <c r="D1472" s="389" t="s">
        <v>591</v>
      </c>
      <c r="E1472" s="390" t="s">
        <v>163</v>
      </c>
      <c r="F1472" s="391">
        <v>38403.0</v>
      </c>
      <c r="G1472" s="391">
        <v>1323.0</v>
      </c>
      <c r="H1472" s="391">
        <v>3.45</v>
      </c>
      <c r="I1472" s="391">
        <v>0.39</v>
      </c>
      <c r="J1472" s="391">
        <v>0.15</v>
      </c>
      <c r="K1472" s="391">
        <v>1362.0</v>
      </c>
      <c r="L1472" s="391">
        <v>349334.0</v>
      </c>
      <c r="M1472" s="391">
        <v>0.0355</v>
      </c>
      <c r="N1472" s="38">
        <v>1.0295</v>
      </c>
    </row>
    <row r="1473">
      <c r="A1473" s="389" t="s">
        <v>1972</v>
      </c>
      <c r="B1473" s="389" t="s">
        <v>137</v>
      </c>
      <c r="C1473" s="389" t="s">
        <v>8</v>
      </c>
      <c r="D1473" s="389" t="s">
        <v>591</v>
      </c>
      <c r="E1473" s="390" t="s">
        <v>38</v>
      </c>
      <c r="F1473" s="391">
        <v>38403.0</v>
      </c>
      <c r="G1473" s="391">
        <v>652.0</v>
      </c>
      <c r="H1473" s="391">
        <v>1.7</v>
      </c>
      <c r="I1473" s="391">
        <v>0.19</v>
      </c>
      <c r="J1473" s="391">
        <v>0.2</v>
      </c>
      <c r="K1473" s="391">
        <v>671.0</v>
      </c>
      <c r="L1473" s="391">
        <v>349334.0</v>
      </c>
      <c r="M1473" s="391">
        <v>0.0175</v>
      </c>
      <c r="N1473" s="38">
        <v>1.0291</v>
      </c>
    </row>
    <row r="1474">
      <c r="A1474" s="389" t="s">
        <v>1972</v>
      </c>
      <c r="B1474" s="389" t="s">
        <v>137</v>
      </c>
      <c r="C1474" s="389" t="s">
        <v>8</v>
      </c>
      <c r="D1474" s="389" t="s">
        <v>591</v>
      </c>
      <c r="E1474" s="390" t="s">
        <v>372</v>
      </c>
      <c r="F1474" s="391">
        <v>38403.0</v>
      </c>
      <c r="G1474" s="391">
        <v>4.0</v>
      </c>
      <c r="H1474" s="391">
        <v>0.01</v>
      </c>
      <c r="I1474" s="391">
        <v>0.0</v>
      </c>
      <c r="J1474" s="391">
        <v>0.0</v>
      </c>
      <c r="K1474" s="391">
        <v>8.0</v>
      </c>
      <c r="L1474" s="391">
        <v>349334.0</v>
      </c>
      <c r="M1474" s="391">
        <v>2.0E-4</v>
      </c>
      <c r="N1474" s="38">
        <v>2.0</v>
      </c>
    </row>
    <row r="1475">
      <c r="A1475" s="389" t="s">
        <v>1972</v>
      </c>
      <c r="B1475" s="389" t="s">
        <v>137</v>
      </c>
      <c r="C1475" s="389" t="s">
        <v>8</v>
      </c>
      <c r="D1475" s="389" t="s">
        <v>591</v>
      </c>
      <c r="E1475" s="390" t="s">
        <v>284</v>
      </c>
      <c r="F1475" s="391">
        <v>38403.0</v>
      </c>
      <c r="G1475" s="391">
        <v>2.0</v>
      </c>
      <c r="H1475" s="391">
        <v>0.01</v>
      </c>
      <c r="I1475" s="391">
        <v>0.0</v>
      </c>
      <c r="J1475" s="391">
        <v>0.0</v>
      </c>
      <c r="K1475" s="391">
        <v>2.0</v>
      </c>
      <c r="L1475" s="391">
        <v>349334.0</v>
      </c>
      <c r="M1475" s="391">
        <v>1.0E-4</v>
      </c>
      <c r="N1475" s="38">
        <v>1.0</v>
      </c>
    </row>
    <row r="1476">
      <c r="A1476" s="389" t="s">
        <v>1972</v>
      </c>
      <c r="B1476" s="389" t="s">
        <v>137</v>
      </c>
      <c r="C1476" s="389" t="s">
        <v>8</v>
      </c>
      <c r="D1476" s="389" t="s">
        <v>591</v>
      </c>
      <c r="E1476" s="390" t="s">
        <v>367</v>
      </c>
      <c r="F1476" s="391">
        <v>38403.0</v>
      </c>
      <c r="G1476" s="391">
        <v>2.0</v>
      </c>
      <c r="H1476" s="391">
        <v>0.01</v>
      </c>
      <c r="I1476" s="391">
        <v>0.0</v>
      </c>
      <c r="J1476" s="391">
        <v>0.0</v>
      </c>
      <c r="K1476" s="391">
        <v>4.0</v>
      </c>
      <c r="L1476" s="391">
        <v>349334.0</v>
      </c>
      <c r="M1476" s="391">
        <v>1.0E-4</v>
      </c>
      <c r="N1476" s="38">
        <v>2.0</v>
      </c>
    </row>
    <row r="1477">
      <c r="A1477" s="389" t="s">
        <v>1972</v>
      </c>
      <c r="B1477" s="389" t="s">
        <v>137</v>
      </c>
      <c r="C1477" s="389" t="s">
        <v>8</v>
      </c>
      <c r="D1477" s="389" t="s">
        <v>591</v>
      </c>
      <c r="E1477" s="390" t="s">
        <v>27</v>
      </c>
      <c r="F1477" s="391">
        <v>38403.0</v>
      </c>
      <c r="G1477" s="391">
        <v>7.0</v>
      </c>
      <c r="H1477" s="391">
        <v>0.02</v>
      </c>
      <c r="I1477" s="391">
        <v>0.0</v>
      </c>
      <c r="J1477" s="391">
        <v>0.01</v>
      </c>
      <c r="K1477" s="391">
        <v>11.0</v>
      </c>
      <c r="L1477" s="391">
        <v>349334.0</v>
      </c>
      <c r="M1477" s="391">
        <v>3.0E-4</v>
      </c>
      <c r="N1477" s="38">
        <v>1.5714</v>
      </c>
    </row>
    <row r="1478">
      <c r="A1478" s="389" t="s">
        <v>1972</v>
      </c>
      <c r="B1478" s="389" t="s">
        <v>137</v>
      </c>
      <c r="C1478" s="389" t="s">
        <v>8</v>
      </c>
      <c r="D1478" s="389" t="s">
        <v>591</v>
      </c>
      <c r="E1478" s="390" t="s">
        <v>363</v>
      </c>
      <c r="F1478" s="391">
        <v>38403.0</v>
      </c>
      <c r="G1478" s="391">
        <v>1.0</v>
      </c>
      <c r="H1478" s="391">
        <v>0.0</v>
      </c>
      <c r="I1478" s="391">
        <v>0.0</v>
      </c>
      <c r="J1478" s="391">
        <v>0.0</v>
      </c>
      <c r="K1478" s="391">
        <v>1.0</v>
      </c>
      <c r="L1478" s="391">
        <v>349334.0</v>
      </c>
      <c r="M1478" s="391">
        <v>0.0</v>
      </c>
      <c r="N1478" s="38">
        <v>1.0</v>
      </c>
    </row>
    <row r="1479">
      <c r="A1479" s="389" t="s">
        <v>1972</v>
      </c>
      <c r="B1479" s="389" t="s">
        <v>137</v>
      </c>
      <c r="C1479" s="389" t="s">
        <v>7</v>
      </c>
      <c r="D1479" s="389" t="s">
        <v>591</v>
      </c>
      <c r="E1479" s="390" t="s">
        <v>370</v>
      </c>
      <c r="F1479" s="391">
        <v>39962.0</v>
      </c>
      <c r="G1479" s="391">
        <v>38235.0</v>
      </c>
      <c r="H1479" s="391">
        <v>95.68</v>
      </c>
      <c r="I1479" s="391">
        <v>57.13</v>
      </c>
      <c r="J1479" s="391">
        <v>51.42</v>
      </c>
      <c r="K1479" s="391">
        <v>465484.0</v>
      </c>
      <c r="L1479" s="391">
        <v>814766.0</v>
      </c>
      <c r="M1479" s="391">
        <v>11.6482</v>
      </c>
      <c r="N1479" s="38">
        <v>12.1743</v>
      </c>
    </row>
    <row r="1480">
      <c r="A1480" s="389" t="s">
        <v>1972</v>
      </c>
      <c r="B1480" s="389" t="s">
        <v>137</v>
      </c>
      <c r="C1480" s="389" t="s">
        <v>7</v>
      </c>
      <c r="D1480" s="389" t="s">
        <v>591</v>
      </c>
      <c r="E1480" s="390" t="s">
        <v>371</v>
      </c>
      <c r="F1480" s="391">
        <v>39962.0</v>
      </c>
      <c r="G1480" s="391">
        <v>28402.0</v>
      </c>
      <c r="H1480" s="391">
        <v>71.07</v>
      </c>
      <c r="I1480" s="391">
        <v>12.27</v>
      </c>
      <c r="J1480" s="391">
        <v>16.79</v>
      </c>
      <c r="K1480" s="391">
        <v>99935.0</v>
      </c>
      <c r="L1480" s="391">
        <v>814766.0</v>
      </c>
      <c r="M1480" s="391">
        <v>2.5008</v>
      </c>
      <c r="N1480" s="38">
        <v>3.5186</v>
      </c>
    </row>
    <row r="1481">
      <c r="A1481" s="389" t="s">
        <v>1972</v>
      </c>
      <c r="B1481" s="389" t="s">
        <v>137</v>
      </c>
      <c r="C1481" s="389" t="s">
        <v>7</v>
      </c>
      <c r="D1481" s="389" t="s">
        <v>591</v>
      </c>
      <c r="E1481" s="390" t="s">
        <v>369</v>
      </c>
      <c r="F1481" s="391">
        <v>39962.0</v>
      </c>
      <c r="G1481" s="391">
        <v>26188.0</v>
      </c>
      <c r="H1481" s="391">
        <v>65.53</v>
      </c>
      <c r="I1481" s="391">
        <v>6.14</v>
      </c>
      <c r="J1481" s="391">
        <v>7.58</v>
      </c>
      <c r="K1481" s="391">
        <v>49989.0</v>
      </c>
      <c r="L1481" s="391">
        <v>814766.0</v>
      </c>
      <c r="M1481" s="391">
        <v>1.2509</v>
      </c>
      <c r="N1481" s="38">
        <v>1.9089</v>
      </c>
    </row>
    <row r="1482">
      <c r="A1482" s="389" t="s">
        <v>1972</v>
      </c>
      <c r="B1482" s="389" t="s">
        <v>137</v>
      </c>
      <c r="C1482" s="389" t="s">
        <v>7</v>
      </c>
      <c r="D1482" s="389" t="s">
        <v>591</v>
      </c>
      <c r="E1482" s="390" t="s">
        <v>44</v>
      </c>
      <c r="F1482" s="391">
        <v>39962.0</v>
      </c>
      <c r="G1482" s="391">
        <v>17969.0</v>
      </c>
      <c r="H1482" s="391">
        <v>44.97</v>
      </c>
      <c r="I1482" s="391">
        <v>5.3</v>
      </c>
      <c r="J1482" s="391">
        <v>4.73</v>
      </c>
      <c r="K1482" s="391">
        <v>43209.0</v>
      </c>
      <c r="L1482" s="391">
        <v>814766.0</v>
      </c>
      <c r="M1482" s="391">
        <v>1.0813</v>
      </c>
      <c r="N1482" s="38">
        <v>2.4046</v>
      </c>
    </row>
    <row r="1483">
      <c r="A1483" s="389" t="s">
        <v>1972</v>
      </c>
      <c r="B1483" s="389" t="s">
        <v>137</v>
      </c>
      <c r="C1483" s="389" t="s">
        <v>7</v>
      </c>
      <c r="D1483" s="389" t="s">
        <v>591</v>
      </c>
      <c r="E1483" s="390" t="s">
        <v>39</v>
      </c>
      <c r="F1483" s="391">
        <v>39962.0</v>
      </c>
      <c r="G1483" s="391">
        <v>21614.0</v>
      </c>
      <c r="H1483" s="391">
        <v>54.09</v>
      </c>
      <c r="I1483" s="391">
        <v>4.41</v>
      </c>
      <c r="J1483" s="391">
        <v>4.79</v>
      </c>
      <c r="K1483" s="391">
        <v>35908.0</v>
      </c>
      <c r="L1483" s="391">
        <v>814766.0</v>
      </c>
      <c r="M1483" s="391">
        <v>0.8986</v>
      </c>
      <c r="N1483" s="38">
        <v>1.6613</v>
      </c>
    </row>
    <row r="1484">
      <c r="A1484" s="389" t="s">
        <v>1972</v>
      </c>
      <c r="B1484" s="389" t="s">
        <v>137</v>
      </c>
      <c r="C1484" s="389" t="s">
        <v>7</v>
      </c>
      <c r="D1484" s="389" t="s">
        <v>591</v>
      </c>
      <c r="E1484" s="390" t="s">
        <v>367</v>
      </c>
      <c r="F1484" s="391">
        <v>39962.0</v>
      </c>
      <c r="G1484" s="391">
        <v>10836.0</v>
      </c>
      <c r="H1484" s="391">
        <v>27.12</v>
      </c>
      <c r="I1484" s="391">
        <v>4.37</v>
      </c>
      <c r="J1484" s="391">
        <v>3.43</v>
      </c>
      <c r="K1484" s="391">
        <v>35577.0</v>
      </c>
      <c r="L1484" s="391">
        <v>814766.0</v>
      </c>
      <c r="M1484" s="391">
        <v>0.8903</v>
      </c>
      <c r="N1484" s="38">
        <v>3.2832</v>
      </c>
    </row>
    <row r="1485">
      <c r="A1485" s="389" t="s">
        <v>1972</v>
      </c>
      <c r="B1485" s="389" t="s">
        <v>137</v>
      </c>
      <c r="C1485" s="389" t="s">
        <v>7</v>
      </c>
      <c r="D1485" s="389" t="s">
        <v>591</v>
      </c>
      <c r="E1485" s="390" t="s">
        <v>365</v>
      </c>
      <c r="F1485" s="391">
        <v>39962.0</v>
      </c>
      <c r="G1485" s="391">
        <v>16445.0</v>
      </c>
      <c r="H1485" s="391">
        <v>41.15</v>
      </c>
      <c r="I1485" s="391">
        <v>3.72</v>
      </c>
      <c r="J1485" s="391">
        <v>3.37</v>
      </c>
      <c r="K1485" s="391">
        <v>30322.0</v>
      </c>
      <c r="L1485" s="391">
        <v>814766.0</v>
      </c>
      <c r="M1485" s="391">
        <v>0.7588</v>
      </c>
      <c r="N1485" s="38">
        <v>1.8438</v>
      </c>
    </row>
    <row r="1486">
      <c r="A1486" s="389" t="s">
        <v>1972</v>
      </c>
      <c r="B1486" s="389" t="s">
        <v>137</v>
      </c>
      <c r="C1486" s="389" t="s">
        <v>7</v>
      </c>
      <c r="D1486" s="389" t="s">
        <v>591</v>
      </c>
      <c r="E1486" s="390" t="s">
        <v>368</v>
      </c>
      <c r="F1486" s="391">
        <v>39962.0</v>
      </c>
      <c r="G1486" s="391">
        <v>16720.0</v>
      </c>
      <c r="H1486" s="391">
        <v>41.84</v>
      </c>
      <c r="I1486" s="391">
        <v>2.57</v>
      </c>
      <c r="J1486" s="391">
        <v>3.55</v>
      </c>
      <c r="K1486" s="391">
        <v>20959.0</v>
      </c>
      <c r="L1486" s="391">
        <v>814766.0</v>
      </c>
      <c r="M1486" s="391">
        <v>0.5245</v>
      </c>
      <c r="N1486" s="38">
        <v>1.2535</v>
      </c>
    </row>
    <row r="1487">
      <c r="A1487" s="389" t="s">
        <v>1972</v>
      </c>
      <c r="B1487" s="389" t="s">
        <v>137</v>
      </c>
      <c r="C1487" s="389" t="s">
        <v>7</v>
      </c>
      <c r="D1487" s="389" t="s">
        <v>591</v>
      </c>
      <c r="E1487" s="390" t="s">
        <v>163</v>
      </c>
      <c r="F1487" s="391">
        <v>39962.0</v>
      </c>
      <c r="G1487" s="391">
        <v>8506.0</v>
      </c>
      <c r="H1487" s="391">
        <v>21.29</v>
      </c>
      <c r="I1487" s="391">
        <v>1.06</v>
      </c>
      <c r="J1487" s="391">
        <v>1.37</v>
      </c>
      <c r="K1487" s="391">
        <v>8667.0</v>
      </c>
      <c r="L1487" s="391">
        <v>814766.0</v>
      </c>
      <c r="M1487" s="391">
        <v>0.2169</v>
      </c>
      <c r="N1487" s="38">
        <v>1.0189</v>
      </c>
    </row>
    <row r="1488">
      <c r="A1488" s="389" t="s">
        <v>1972</v>
      </c>
      <c r="B1488" s="389" t="s">
        <v>137</v>
      </c>
      <c r="C1488" s="389" t="s">
        <v>7</v>
      </c>
      <c r="D1488" s="389" t="s">
        <v>591</v>
      </c>
      <c r="E1488" s="390" t="s">
        <v>108</v>
      </c>
      <c r="F1488" s="391">
        <v>39962.0</v>
      </c>
      <c r="G1488" s="391">
        <v>4960.0</v>
      </c>
      <c r="H1488" s="391">
        <v>12.41</v>
      </c>
      <c r="I1488" s="391">
        <v>1.03</v>
      </c>
      <c r="J1488" s="391">
        <v>0.73</v>
      </c>
      <c r="K1488" s="391">
        <v>8419.0</v>
      </c>
      <c r="L1488" s="391">
        <v>814766.0</v>
      </c>
      <c r="M1488" s="391">
        <v>0.2107</v>
      </c>
      <c r="N1488" s="38">
        <v>1.6974</v>
      </c>
    </row>
    <row r="1489">
      <c r="A1489" s="389" t="s">
        <v>1972</v>
      </c>
      <c r="B1489" s="389" t="s">
        <v>137</v>
      </c>
      <c r="C1489" s="389" t="s">
        <v>7</v>
      </c>
      <c r="D1489" s="389" t="s">
        <v>591</v>
      </c>
      <c r="E1489" s="390" t="s">
        <v>30</v>
      </c>
      <c r="F1489" s="391">
        <v>39962.0</v>
      </c>
      <c r="G1489" s="391">
        <v>7818.0</v>
      </c>
      <c r="H1489" s="391">
        <v>19.56</v>
      </c>
      <c r="I1489" s="391">
        <v>0.97</v>
      </c>
      <c r="J1489" s="391">
        <v>1.22</v>
      </c>
      <c r="K1489" s="391">
        <v>7864.0</v>
      </c>
      <c r="L1489" s="391">
        <v>814766.0</v>
      </c>
      <c r="M1489" s="391">
        <v>0.1968</v>
      </c>
      <c r="N1489" s="38">
        <v>1.0059</v>
      </c>
    </row>
    <row r="1490">
      <c r="A1490" s="389" t="s">
        <v>1972</v>
      </c>
      <c r="B1490" s="389" t="s">
        <v>137</v>
      </c>
      <c r="C1490" s="389" t="s">
        <v>7</v>
      </c>
      <c r="D1490" s="389" t="s">
        <v>591</v>
      </c>
      <c r="E1490" s="390" t="s">
        <v>45</v>
      </c>
      <c r="F1490" s="391">
        <v>39962.0</v>
      </c>
      <c r="G1490" s="391">
        <v>3544.0</v>
      </c>
      <c r="H1490" s="391">
        <v>8.87</v>
      </c>
      <c r="I1490" s="391">
        <v>0.53</v>
      </c>
      <c r="J1490" s="391">
        <v>0.47</v>
      </c>
      <c r="K1490" s="391">
        <v>4322.0</v>
      </c>
      <c r="L1490" s="391">
        <v>814766.0</v>
      </c>
      <c r="M1490" s="391">
        <v>0.1082</v>
      </c>
      <c r="N1490" s="38">
        <v>1.2195</v>
      </c>
    </row>
    <row r="1491">
      <c r="A1491" s="389" t="s">
        <v>1972</v>
      </c>
      <c r="B1491" s="389" t="s">
        <v>137</v>
      </c>
      <c r="C1491" s="389" t="s">
        <v>7</v>
      </c>
      <c r="D1491" s="389" t="s">
        <v>591</v>
      </c>
      <c r="E1491" s="390" t="s">
        <v>37</v>
      </c>
      <c r="F1491" s="391">
        <v>39962.0</v>
      </c>
      <c r="G1491" s="391">
        <v>3054.0</v>
      </c>
      <c r="H1491" s="391">
        <v>7.64</v>
      </c>
      <c r="I1491" s="391">
        <v>0.44</v>
      </c>
      <c r="J1491" s="391">
        <v>0.49</v>
      </c>
      <c r="K1491" s="391">
        <v>3588.0</v>
      </c>
      <c r="L1491" s="391">
        <v>814766.0</v>
      </c>
      <c r="M1491" s="391">
        <v>0.0898</v>
      </c>
      <c r="N1491" s="38">
        <v>1.1749</v>
      </c>
    </row>
    <row r="1492">
      <c r="A1492" s="389" t="s">
        <v>1972</v>
      </c>
      <c r="B1492" s="389" t="s">
        <v>137</v>
      </c>
      <c r="C1492" s="389" t="s">
        <v>7</v>
      </c>
      <c r="D1492" s="389" t="s">
        <v>591</v>
      </c>
      <c r="E1492" s="390" t="s">
        <v>38</v>
      </c>
      <c r="F1492" s="391">
        <v>39962.0</v>
      </c>
      <c r="G1492" s="391">
        <v>490.0</v>
      </c>
      <c r="H1492" s="391">
        <v>1.23</v>
      </c>
      <c r="I1492" s="391">
        <v>0.06</v>
      </c>
      <c r="J1492" s="391">
        <v>0.07</v>
      </c>
      <c r="K1492" s="391">
        <v>504.0</v>
      </c>
      <c r="L1492" s="391">
        <v>814766.0</v>
      </c>
      <c r="M1492" s="391">
        <v>0.0126</v>
      </c>
      <c r="N1492" s="38">
        <v>1.0286</v>
      </c>
    </row>
    <row r="1493">
      <c r="A1493" s="389" t="s">
        <v>1972</v>
      </c>
      <c r="B1493" s="389" t="s">
        <v>137</v>
      </c>
      <c r="C1493" s="389" t="s">
        <v>7</v>
      </c>
      <c r="D1493" s="389" t="s">
        <v>591</v>
      </c>
      <c r="E1493" s="390" t="s">
        <v>283</v>
      </c>
      <c r="F1493" s="391">
        <v>39962.0</v>
      </c>
      <c r="G1493" s="391">
        <v>1.0</v>
      </c>
      <c r="H1493" s="391">
        <v>0.0</v>
      </c>
      <c r="I1493" s="391">
        <v>0.0</v>
      </c>
      <c r="J1493" s="391">
        <v>0.0</v>
      </c>
      <c r="K1493" s="391">
        <v>2.0</v>
      </c>
      <c r="L1493" s="391">
        <v>814766.0</v>
      </c>
      <c r="M1493" s="391">
        <v>1.0E-4</v>
      </c>
      <c r="N1493" s="38">
        <v>2.0</v>
      </c>
    </row>
    <row r="1494">
      <c r="A1494" s="389" t="s">
        <v>1972</v>
      </c>
      <c r="B1494" s="389" t="s">
        <v>137</v>
      </c>
      <c r="C1494" s="389" t="s">
        <v>7</v>
      </c>
      <c r="D1494" s="389" t="s">
        <v>591</v>
      </c>
      <c r="E1494" s="390" t="s">
        <v>372</v>
      </c>
      <c r="F1494" s="391">
        <v>39962.0</v>
      </c>
      <c r="G1494" s="391">
        <v>2.0</v>
      </c>
      <c r="H1494" s="391">
        <v>0.01</v>
      </c>
      <c r="I1494" s="391">
        <v>0.0</v>
      </c>
      <c r="J1494" s="391">
        <v>0.0</v>
      </c>
      <c r="K1494" s="391">
        <v>4.0</v>
      </c>
      <c r="L1494" s="391">
        <v>814766.0</v>
      </c>
      <c r="M1494" s="391">
        <v>1.0E-4</v>
      </c>
      <c r="N1494" s="38">
        <v>2.0</v>
      </c>
    </row>
    <row r="1495">
      <c r="A1495" s="389" t="s">
        <v>1972</v>
      </c>
      <c r="B1495" s="389" t="s">
        <v>137</v>
      </c>
      <c r="C1495" s="389" t="s">
        <v>7</v>
      </c>
      <c r="D1495" s="389" t="s">
        <v>591</v>
      </c>
      <c r="E1495" s="390" t="s">
        <v>363</v>
      </c>
      <c r="F1495" s="391">
        <v>39962.0</v>
      </c>
      <c r="G1495" s="391">
        <v>1.0</v>
      </c>
      <c r="H1495" s="391">
        <v>0.0</v>
      </c>
      <c r="I1495" s="391">
        <v>0.0</v>
      </c>
      <c r="J1495" s="391">
        <v>0.0</v>
      </c>
      <c r="K1495" s="391">
        <v>1.0</v>
      </c>
      <c r="L1495" s="391">
        <v>814766.0</v>
      </c>
      <c r="M1495" s="391">
        <v>0.0</v>
      </c>
      <c r="N1495" s="38">
        <v>1.0</v>
      </c>
    </row>
    <row r="1496">
      <c r="A1496" s="389" t="s">
        <v>1972</v>
      </c>
      <c r="B1496" s="389" t="s">
        <v>137</v>
      </c>
      <c r="C1496" s="389" t="s">
        <v>7</v>
      </c>
      <c r="D1496" s="389" t="s">
        <v>591</v>
      </c>
      <c r="E1496" s="390" t="s">
        <v>27</v>
      </c>
      <c r="F1496" s="391">
        <v>39962.0</v>
      </c>
      <c r="G1496" s="391">
        <v>12.0</v>
      </c>
      <c r="H1496" s="391">
        <v>0.03</v>
      </c>
      <c r="I1496" s="391">
        <v>0.0</v>
      </c>
      <c r="J1496" s="391">
        <v>0.0</v>
      </c>
      <c r="K1496" s="391">
        <v>12.0</v>
      </c>
      <c r="L1496" s="391">
        <v>814766.0</v>
      </c>
      <c r="M1496" s="391">
        <v>3.0E-4</v>
      </c>
      <c r="N1496" s="38">
        <v>1.0</v>
      </c>
    </row>
    <row r="1497">
      <c r="A1497" s="389" t="s">
        <v>1972</v>
      </c>
      <c r="B1497" s="389" t="s">
        <v>137</v>
      </c>
      <c r="C1497" s="389" t="s">
        <v>11</v>
      </c>
      <c r="D1497" s="389" t="s">
        <v>591</v>
      </c>
      <c r="E1497" s="390" t="s">
        <v>370</v>
      </c>
      <c r="F1497" s="391">
        <v>37217.0</v>
      </c>
      <c r="G1497" s="391">
        <v>32894.0</v>
      </c>
      <c r="H1497" s="391">
        <v>88.38</v>
      </c>
      <c r="I1497" s="391">
        <v>36.2</v>
      </c>
      <c r="J1497" s="391">
        <v>42.27</v>
      </c>
      <c r="K1497" s="391">
        <v>117273.0</v>
      </c>
      <c r="L1497" s="391">
        <v>323930.0</v>
      </c>
      <c r="M1497" s="391">
        <v>3.1511</v>
      </c>
      <c r="N1497" s="38">
        <v>3.5652</v>
      </c>
    </row>
    <row r="1498">
      <c r="A1498" s="389" t="s">
        <v>1972</v>
      </c>
      <c r="B1498" s="389" t="s">
        <v>137</v>
      </c>
      <c r="C1498" s="389" t="s">
        <v>11</v>
      </c>
      <c r="D1498" s="389" t="s">
        <v>591</v>
      </c>
      <c r="E1498" s="390" t="s">
        <v>365</v>
      </c>
      <c r="F1498" s="391">
        <v>37217.0</v>
      </c>
      <c r="G1498" s="391">
        <v>19240.0</v>
      </c>
      <c r="H1498" s="391">
        <v>51.7</v>
      </c>
      <c r="I1498" s="391">
        <v>10.12</v>
      </c>
      <c r="J1498" s="391">
        <v>12.26</v>
      </c>
      <c r="K1498" s="391">
        <v>32792.0</v>
      </c>
      <c r="L1498" s="391">
        <v>323930.0</v>
      </c>
      <c r="M1498" s="391">
        <v>0.8811</v>
      </c>
      <c r="N1498" s="38">
        <v>1.7044</v>
      </c>
    </row>
    <row r="1499">
      <c r="A1499" s="389" t="s">
        <v>1972</v>
      </c>
      <c r="B1499" s="389" t="s">
        <v>137</v>
      </c>
      <c r="C1499" s="389" t="s">
        <v>11</v>
      </c>
      <c r="D1499" s="389" t="s">
        <v>591</v>
      </c>
      <c r="E1499" s="390" t="s">
        <v>37</v>
      </c>
      <c r="F1499" s="391">
        <v>37217.0</v>
      </c>
      <c r="G1499" s="391">
        <v>13011.0</v>
      </c>
      <c r="H1499" s="391">
        <v>34.96</v>
      </c>
      <c r="I1499" s="391">
        <v>9.46</v>
      </c>
      <c r="J1499" s="391">
        <v>9.56</v>
      </c>
      <c r="K1499" s="391">
        <v>30649.0</v>
      </c>
      <c r="L1499" s="391">
        <v>323930.0</v>
      </c>
      <c r="M1499" s="391">
        <v>0.8235</v>
      </c>
      <c r="N1499" s="38">
        <v>2.3556</v>
      </c>
    </row>
    <row r="1500">
      <c r="A1500" s="389" t="s">
        <v>1972</v>
      </c>
      <c r="B1500" s="389" t="s">
        <v>137</v>
      </c>
      <c r="C1500" s="389" t="s">
        <v>11</v>
      </c>
      <c r="D1500" s="389" t="s">
        <v>591</v>
      </c>
      <c r="E1500" s="390" t="s">
        <v>108</v>
      </c>
      <c r="F1500" s="391">
        <v>37217.0</v>
      </c>
      <c r="G1500" s="391">
        <v>10124.0</v>
      </c>
      <c r="H1500" s="391">
        <v>27.2</v>
      </c>
      <c r="I1500" s="391">
        <v>7.27</v>
      </c>
      <c r="J1500" s="391">
        <v>6.48</v>
      </c>
      <c r="K1500" s="391">
        <v>23565.0</v>
      </c>
      <c r="L1500" s="391">
        <v>323930.0</v>
      </c>
      <c r="M1500" s="391">
        <v>0.6332</v>
      </c>
      <c r="N1500" s="38">
        <v>2.3276</v>
      </c>
    </row>
    <row r="1501">
      <c r="A1501" s="389" t="s">
        <v>1972</v>
      </c>
      <c r="B1501" s="389" t="s">
        <v>137</v>
      </c>
      <c r="C1501" s="389" t="s">
        <v>11</v>
      </c>
      <c r="D1501" s="389" t="s">
        <v>591</v>
      </c>
      <c r="E1501" s="390" t="s">
        <v>39</v>
      </c>
      <c r="F1501" s="391">
        <v>37217.0</v>
      </c>
      <c r="G1501" s="391">
        <v>13642.0</v>
      </c>
      <c r="H1501" s="391">
        <v>36.66</v>
      </c>
      <c r="I1501" s="391">
        <v>7.13</v>
      </c>
      <c r="J1501" s="391">
        <v>5.52</v>
      </c>
      <c r="K1501" s="391">
        <v>23101.0</v>
      </c>
      <c r="L1501" s="391">
        <v>323930.0</v>
      </c>
      <c r="M1501" s="391">
        <v>0.6207</v>
      </c>
      <c r="N1501" s="38">
        <v>1.6934</v>
      </c>
    </row>
    <row r="1502">
      <c r="A1502" s="389" t="s">
        <v>1972</v>
      </c>
      <c r="B1502" s="389" t="s">
        <v>137</v>
      </c>
      <c r="C1502" s="389" t="s">
        <v>11</v>
      </c>
      <c r="D1502" s="389" t="s">
        <v>591</v>
      </c>
      <c r="E1502" s="390" t="s">
        <v>45</v>
      </c>
      <c r="F1502" s="391">
        <v>37217.0</v>
      </c>
      <c r="G1502" s="391">
        <v>12834.0</v>
      </c>
      <c r="H1502" s="391">
        <v>34.48</v>
      </c>
      <c r="I1502" s="391">
        <v>7.11</v>
      </c>
      <c r="J1502" s="391">
        <v>7.0</v>
      </c>
      <c r="K1502" s="391">
        <v>23041.0</v>
      </c>
      <c r="L1502" s="391">
        <v>323930.0</v>
      </c>
      <c r="M1502" s="391">
        <v>0.6191</v>
      </c>
      <c r="N1502" s="38">
        <v>1.7953</v>
      </c>
    </row>
    <row r="1503">
      <c r="A1503" s="389" t="s">
        <v>1972</v>
      </c>
      <c r="B1503" s="389" t="s">
        <v>137</v>
      </c>
      <c r="C1503" s="389" t="s">
        <v>11</v>
      </c>
      <c r="D1503" s="389" t="s">
        <v>591</v>
      </c>
      <c r="E1503" s="390" t="s">
        <v>369</v>
      </c>
      <c r="F1503" s="391">
        <v>37217.0</v>
      </c>
      <c r="G1503" s="391">
        <v>11746.0</v>
      </c>
      <c r="H1503" s="391">
        <v>31.56</v>
      </c>
      <c r="I1503" s="391">
        <v>5.81</v>
      </c>
      <c r="J1503" s="391">
        <v>4.68</v>
      </c>
      <c r="K1503" s="391">
        <v>18824.0</v>
      </c>
      <c r="L1503" s="391">
        <v>323930.0</v>
      </c>
      <c r="M1503" s="391">
        <v>0.5058</v>
      </c>
      <c r="N1503" s="38">
        <v>1.6026</v>
      </c>
    </row>
    <row r="1504">
      <c r="A1504" s="389" t="s">
        <v>1972</v>
      </c>
      <c r="B1504" s="389" t="s">
        <v>137</v>
      </c>
      <c r="C1504" s="389" t="s">
        <v>11</v>
      </c>
      <c r="D1504" s="389" t="s">
        <v>591</v>
      </c>
      <c r="E1504" s="390" t="s">
        <v>363</v>
      </c>
      <c r="F1504" s="391">
        <v>37217.0</v>
      </c>
      <c r="G1504" s="391">
        <v>5244.0</v>
      </c>
      <c r="H1504" s="391">
        <v>14.09</v>
      </c>
      <c r="I1504" s="391">
        <v>3.83</v>
      </c>
      <c r="J1504" s="391">
        <v>2.58</v>
      </c>
      <c r="K1504" s="391">
        <v>12404.0</v>
      </c>
      <c r="L1504" s="391">
        <v>323930.0</v>
      </c>
      <c r="M1504" s="391">
        <v>0.3333</v>
      </c>
      <c r="N1504" s="38">
        <v>2.3654</v>
      </c>
    </row>
    <row r="1505">
      <c r="A1505" s="389" t="s">
        <v>1972</v>
      </c>
      <c r="B1505" s="389" t="s">
        <v>137</v>
      </c>
      <c r="C1505" s="389" t="s">
        <v>11</v>
      </c>
      <c r="D1505" s="389" t="s">
        <v>591</v>
      </c>
      <c r="E1505" s="390" t="s">
        <v>368</v>
      </c>
      <c r="F1505" s="391">
        <v>37217.0</v>
      </c>
      <c r="G1505" s="391">
        <v>6349.0</v>
      </c>
      <c r="H1505" s="391">
        <v>17.06</v>
      </c>
      <c r="I1505" s="391">
        <v>2.58</v>
      </c>
      <c r="J1505" s="391">
        <v>1.49</v>
      </c>
      <c r="K1505" s="391">
        <v>8363.0</v>
      </c>
      <c r="L1505" s="391">
        <v>323930.0</v>
      </c>
      <c r="M1505" s="391">
        <v>0.2247</v>
      </c>
      <c r="N1505" s="38">
        <v>1.3172</v>
      </c>
    </row>
    <row r="1506">
      <c r="A1506" s="389" t="s">
        <v>1972</v>
      </c>
      <c r="B1506" s="389" t="s">
        <v>137</v>
      </c>
      <c r="C1506" s="389" t="s">
        <v>11</v>
      </c>
      <c r="D1506" s="389" t="s">
        <v>591</v>
      </c>
      <c r="E1506" s="390" t="s">
        <v>282</v>
      </c>
      <c r="F1506" s="391">
        <v>37217.0</v>
      </c>
      <c r="G1506" s="391">
        <v>5812.0</v>
      </c>
      <c r="H1506" s="391">
        <v>15.62</v>
      </c>
      <c r="I1506" s="391">
        <v>2.3</v>
      </c>
      <c r="J1506" s="391">
        <v>1.95</v>
      </c>
      <c r="K1506" s="391">
        <v>7448.0</v>
      </c>
      <c r="L1506" s="391">
        <v>323930.0</v>
      </c>
      <c r="M1506" s="391">
        <v>0.2001</v>
      </c>
      <c r="N1506" s="38">
        <v>1.2815</v>
      </c>
    </row>
    <row r="1507">
      <c r="A1507" s="389" t="s">
        <v>1972</v>
      </c>
      <c r="B1507" s="389" t="s">
        <v>137</v>
      </c>
      <c r="C1507" s="389" t="s">
        <v>11</v>
      </c>
      <c r="D1507" s="389" t="s">
        <v>591</v>
      </c>
      <c r="E1507" s="390" t="s">
        <v>283</v>
      </c>
      <c r="F1507" s="391">
        <v>37217.0</v>
      </c>
      <c r="G1507" s="391">
        <v>5778.0</v>
      </c>
      <c r="H1507" s="391">
        <v>15.53</v>
      </c>
      <c r="I1507" s="391">
        <v>2.23</v>
      </c>
      <c r="J1507" s="391">
        <v>1.87</v>
      </c>
      <c r="K1507" s="391">
        <v>7219.0</v>
      </c>
      <c r="L1507" s="391">
        <v>323930.0</v>
      </c>
      <c r="M1507" s="391">
        <v>0.194</v>
      </c>
      <c r="N1507" s="38">
        <v>1.2494</v>
      </c>
    </row>
    <row r="1508">
      <c r="A1508" s="389" t="s">
        <v>1972</v>
      </c>
      <c r="B1508" s="389" t="s">
        <v>137</v>
      </c>
      <c r="C1508" s="389" t="s">
        <v>11</v>
      </c>
      <c r="D1508" s="389" t="s">
        <v>591</v>
      </c>
      <c r="E1508" s="390" t="s">
        <v>284</v>
      </c>
      <c r="F1508" s="391">
        <v>37217.0</v>
      </c>
      <c r="G1508" s="391">
        <v>4894.0</v>
      </c>
      <c r="H1508" s="391">
        <v>13.15</v>
      </c>
      <c r="I1508" s="391">
        <v>1.98</v>
      </c>
      <c r="J1508" s="391">
        <v>1.49</v>
      </c>
      <c r="K1508" s="391">
        <v>6421.0</v>
      </c>
      <c r="L1508" s="391">
        <v>323930.0</v>
      </c>
      <c r="M1508" s="391">
        <v>0.1725</v>
      </c>
      <c r="N1508" s="38">
        <v>1.312</v>
      </c>
    </row>
    <row r="1509">
      <c r="A1509" s="389" t="s">
        <v>1972</v>
      </c>
      <c r="B1509" s="389" t="s">
        <v>137</v>
      </c>
      <c r="C1509" s="389" t="s">
        <v>11</v>
      </c>
      <c r="D1509" s="389" t="s">
        <v>591</v>
      </c>
      <c r="E1509" s="390" t="s">
        <v>35</v>
      </c>
      <c r="F1509" s="391">
        <v>37217.0</v>
      </c>
      <c r="G1509" s="391">
        <v>2823.0</v>
      </c>
      <c r="H1509" s="391">
        <v>7.59</v>
      </c>
      <c r="I1509" s="391">
        <v>1.39</v>
      </c>
      <c r="J1509" s="391">
        <v>1.29</v>
      </c>
      <c r="K1509" s="391">
        <v>4517.0</v>
      </c>
      <c r="L1509" s="391">
        <v>323930.0</v>
      </c>
      <c r="M1509" s="391">
        <v>0.1214</v>
      </c>
      <c r="N1509" s="38">
        <v>1.6001</v>
      </c>
    </row>
    <row r="1510">
      <c r="A1510" s="389" t="s">
        <v>1972</v>
      </c>
      <c r="B1510" s="389" t="s">
        <v>137</v>
      </c>
      <c r="C1510" s="389" t="s">
        <v>11</v>
      </c>
      <c r="D1510" s="389" t="s">
        <v>591</v>
      </c>
      <c r="E1510" s="390" t="s">
        <v>366</v>
      </c>
      <c r="F1510" s="391">
        <v>37217.0</v>
      </c>
      <c r="G1510" s="391">
        <v>3751.0</v>
      </c>
      <c r="H1510" s="391">
        <v>10.08</v>
      </c>
      <c r="I1510" s="391">
        <v>1.21</v>
      </c>
      <c r="J1510" s="391">
        <v>0.73</v>
      </c>
      <c r="K1510" s="391">
        <v>3926.0</v>
      </c>
      <c r="L1510" s="391">
        <v>323930.0</v>
      </c>
      <c r="M1510" s="391">
        <v>0.1055</v>
      </c>
      <c r="N1510" s="38">
        <v>1.0467</v>
      </c>
    </row>
    <row r="1511">
      <c r="A1511" s="389" t="s">
        <v>1972</v>
      </c>
      <c r="B1511" s="389" t="s">
        <v>137</v>
      </c>
      <c r="C1511" s="389" t="s">
        <v>11</v>
      </c>
      <c r="D1511" s="389" t="s">
        <v>591</v>
      </c>
      <c r="E1511" s="390" t="s">
        <v>38</v>
      </c>
      <c r="F1511" s="391">
        <v>37217.0</v>
      </c>
      <c r="G1511" s="391">
        <v>1474.0</v>
      </c>
      <c r="H1511" s="391">
        <v>3.96</v>
      </c>
      <c r="I1511" s="391">
        <v>0.49</v>
      </c>
      <c r="J1511" s="391">
        <v>0.32</v>
      </c>
      <c r="K1511" s="391">
        <v>1597.0</v>
      </c>
      <c r="L1511" s="391">
        <v>323930.0</v>
      </c>
      <c r="M1511" s="391">
        <v>0.0429</v>
      </c>
      <c r="N1511" s="38">
        <v>1.0834</v>
      </c>
    </row>
    <row r="1512">
      <c r="A1512" s="389" t="s">
        <v>1972</v>
      </c>
      <c r="B1512" s="389" t="s">
        <v>137</v>
      </c>
      <c r="C1512" s="389" t="s">
        <v>11</v>
      </c>
      <c r="D1512" s="389" t="s">
        <v>591</v>
      </c>
      <c r="E1512" s="390" t="s">
        <v>27</v>
      </c>
      <c r="F1512" s="391">
        <v>37217.0</v>
      </c>
      <c r="G1512" s="391">
        <v>1385.0</v>
      </c>
      <c r="H1512" s="391">
        <v>3.72</v>
      </c>
      <c r="I1512" s="391">
        <v>0.43</v>
      </c>
      <c r="J1512" s="391">
        <v>0.36</v>
      </c>
      <c r="K1512" s="391">
        <v>1409.0</v>
      </c>
      <c r="L1512" s="391">
        <v>323930.0</v>
      </c>
      <c r="M1512" s="391">
        <v>0.0379</v>
      </c>
      <c r="N1512" s="38">
        <v>1.0173</v>
      </c>
    </row>
    <row r="1513">
      <c r="A1513" s="389" t="s">
        <v>1972</v>
      </c>
      <c r="B1513" s="389" t="s">
        <v>137</v>
      </c>
      <c r="C1513" s="389" t="s">
        <v>11</v>
      </c>
      <c r="D1513" s="389" t="s">
        <v>591</v>
      </c>
      <c r="E1513" s="390" t="s">
        <v>163</v>
      </c>
      <c r="F1513" s="391">
        <v>37217.0</v>
      </c>
      <c r="G1513" s="391">
        <v>1323.0</v>
      </c>
      <c r="H1513" s="391">
        <v>3.55</v>
      </c>
      <c r="I1513" s="391">
        <v>0.42</v>
      </c>
      <c r="J1513" s="391">
        <v>0.15</v>
      </c>
      <c r="K1513" s="391">
        <v>1362.0</v>
      </c>
      <c r="L1513" s="391">
        <v>323930.0</v>
      </c>
      <c r="M1513" s="391">
        <v>0.0366</v>
      </c>
      <c r="N1513" s="38">
        <v>1.0295</v>
      </c>
    </row>
    <row r="1514">
      <c r="A1514" s="389" t="s">
        <v>1972</v>
      </c>
      <c r="B1514" s="389" t="s">
        <v>137</v>
      </c>
      <c r="C1514" s="389" t="s">
        <v>11</v>
      </c>
      <c r="D1514" s="389" t="s">
        <v>591</v>
      </c>
      <c r="E1514" s="390" t="s">
        <v>371</v>
      </c>
      <c r="F1514" s="391">
        <v>37217.0</v>
      </c>
      <c r="G1514" s="391">
        <v>2.0</v>
      </c>
      <c r="H1514" s="391">
        <v>0.01</v>
      </c>
      <c r="I1514" s="391">
        <v>0.0</v>
      </c>
      <c r="J1514" s="391">
        <v>0.0</v>
      </c>
      <c r="K1514" s="391">
        <v>3.0</v>
      </c>
      <c r="L1514" s="391">
        <v>323930.0</v>
      </c>
      <c r="M1514" s="391">
        <v>1.0E-4</v>
      </c>
      <c r="N1514" s="38">
        <v>1.5</v>
      </c>
    </row>
    <row r="1515">
      <c r="A1515" s="389" t="s">
        <v>1972</v>
      </c>
      <c r="B1515" s="389" t="s">
        <v>137</v>
      </c>
      <c r="C1515" s="389" t="s">
        <v>11</v>
      </c>
      <c r="D1515" s="389" t="s">
        <v>591</v>
      </c>
      <c r="E1515" s="390" t="s">
        <v>367</v>
      </c>
      <c r="F1515" s="391">
        <v>37217.0</v>
      </c>
      <c r="G1515" s="391">
        <v>3.0</v>
      </c>
      <c r="H1515" s="391">
        <v>0.01</v>
      </c>
      <c r="I1515" s="391">
        <v>0.0</v>
      </c>
      <c r="J1515" s="391">
        <v>0.0</v>
      </c>
      <c r="K1515" s="391">
        <v>12.0</v>
      </c>
      <c r="L1515" s="391">
        <v>323930.0</v>
      </c>
      <c r="M1515" s="391">
        <v>3.0E-4</v>
      </c>
      <c r="N1515" s="38">
        <v>4.0</v>
      </c>
    </row>
    <row r="1516">
      <c r="A1516" s="389" t="s">
        <v>1972</v>
      </c>
      <c r="B1516" s="389" t="s">
        <v>137</v>
      </c>
      <c r="C1516" s="389" t="s">
        <v>11</v>
      </c>
      <c r="D1516" s="389" t="s">
        <v>591</v>
      </c>
      <c r="E1516" s="390" t="s">
        <v>372</v>
      </c>
      <c r="F1516" s="391">
        <v>37217.0</v>
      </c>
      <c r="G1516" s="391">
        <v>2.0</v>
      </c>
      <c r="H1516" s="391">
        <v>0.01</v>
      </c>
      <c r="I1516" s="391">
        <v>0.0</v>
      </c>
      <c r="J1516" s="391">
        <v>0.0</v>
      </c>
      <c r="K1516" s="391">
        <v>4.0</v>
      </c>
      <c r="L1516" s="391">
        <v>323930.0</v>
      </c>
      <c r="M1516" s="391">
        <v>1.0E-4</v>
      </c>
      <c r="N1516" s="38">
        <v>2.0</v>
      </c>
    </row>
    <row r="1517">
      <c r="A1517" s="389" t="s">
        <v>1972</v>
      </c>
      <c r="B1517" s="389" t="s">
        <v>137</v>
      </c>
      <c r="C1517" s="389" t="s">
        <v>357</v>
      </c>
      <c r="D1517" s="389" t="s">
        <v>357</v>
      </c>
      <c r="E1517" s="390" t="s">
        <v>370</v>
      </c>
      <c r="F1517" s="391">
        <v>40536.0</v>
      </c>
      <c r="G1517" s="391">
        <v>40350.0</v>
      </c>
      <c r="H1517" s="391">
        <v>99.54</v>
      </c>
      <c r="I1517" s="391">
        <v>32.34</v>
      </c>
      <c r="J1517" s="391">
        <v>34.44</v>
      </c>
      <c r="K1517" s="391">
        <v>2.138081E7</v>
      </c>
      <c r="L1517" s="391">
        <v>6.610677E7</v>
      </c>
      <c r="M1517" s="391">
        <v>527.4524</v>
      </c>
      <c r="N1517" s="38">
        <v>529.8838</v>
      </c>
    </row>
    <row r="1518">
      <c r="A1518" s="389" t="s">
        <v>1972</v>
      </c>
      <c r="B1518" s="389" t="s">
        <v>137</v>
      </c>
      <c r="C1518" s="389" t="s">
        <v>357</v>
      </c>
      <c r="D1518" s="389" t="s">
        <v>357</v>
      </c>
      <c r="E1518" s="390" t="s">
        <v>365</v>
      </c>
      <c r="F1518" s="391">
        <v>40536.0</v>
      </c>
      <c r="G1518" s="391">
        <v>36050.0</v>
      </c>
      <c r="H1518" s="391">
        <v>88.93</v>
      </c>
      <c r="I1518" s="391">
        <v>11.22</v>
      </c>
      <c r="J1518" s="391">
        <v>13.56</v>
      </c>
      <c r="K1518" s="391">
        <v>7416825.0</v>
      </c>
      <c r="L1518" s="391">
        <v>6.610677E7</v>
      </c>
      <c r="M1518" s="391">
        <v>182.9688</v>
      </c>
      <c r="N1518" s="38">
        <v>205.7372</v>
      </c>
    </row>
    <row r="1519">
      <c r="A1519" s="389" t="s">
        <v>1972</v>
      </c>
      <c r="B1519" s="389" t="s">
        <v>137</v>
      </c>
      <c r="C1519" s="389" t="s">
        <v>357</v>
      </c>
      <c r="D1519" s="389" t="s">
        <v>357</v>
      </c>
      <c r="E1519" s="390" t="s">
        <v>369</v>
      </c>
      <c r="F1519" s="391">
        <v>40536.0</v>
      </c>
      <c r="G1519" s="391">
        <v>20388.0</v>
      </c>
      <c r="H1519" s="391">
        <v>50.3</v>
      </c>
      <c r="I1519" s="391">
        <v>7.13</v>
      </c>
      <c r="J1519" s="391">
        <v>5.73</v>
      </c>
      <c r="K1519" s="391">
        <v>4711200.0</v>
      </c>
      <c r="L1519" s="391">
        <v>6.610677E7</v>
      </c>
      <c r="M1519" s="391">
        <v>116.2226</v>
      </c>
      <c r="N1519" s="38">
        <v>231.0771</v>
      </c>
    </row>
    <row r="1520">
      <c r="A1520" s="389" t="s">
        <v>1972</v>
      </c>
      <c r="B1520" s="389" t="s">
        <v>137</v>
      </c>
      <c r="C1520" s="389" t="s">
        <v>357</v>
      </c>
      <c r="D1520" s="389" t="s">
        <v>357</v>
      </c>
      <c r="E1520" s="390" t="s">
        <v>366</v>
      </c>
      <c r="F1520" s="391">
        <v>40536.0</v>
      </c>
      <c r="G1520" s="391">
        <v>33394.0</v>
      </c>
      <c r="H1520" s="391">
        <v>82.38</v>
      </c>
      <c r="I1520" s="391">
        <v>7.07</v>
      </c>
      <c r="J1520" s="391">
        <v>7.58</v>
      </c>
      <c r="K1520" s="391">
        <v>4671905.0</v>
      </c>
      <c r="L1520" s="391">
        <v>6.610677E7</v>
      </c>
      <c r="M1520" s="391">
        <v>115.2532</v>
      </c>
      <c r="N1520" s="38">
        <v>139.9025</v>
      </c>
    </row>
    <row r="1521">
      <c r="A1521" s="389" t="s">
        <v>1972</v>
      </c>
      <c r="B1521" s="389" t="s">
        <v>137</v>
      </c>
      <c r="C1521" s="389" t="s">
        <v>357</v>
      </c>
      <c r="D1521" s="389" t="s">
        <v>357</v>
      </c>
      <c r="E1521" s="390" t="s">
        <v>45</v>
      </c>
      <c r="F1521" s="391">
        <v>40536.0</v>
      </c>
      <c r="G1521" s="391">
        <v>22444.0</v>
      </c>
      <c r="H1521" s="391">
        <v>55.37</v>
      </c>
      <c r="I1521" s="391">
        <v>5.52</v>
      </c>
      <c r="J1521" s="391">
        <v>5.38</v>
      </c>
      <c r="K1521" s="391">
        <v>3645875.0</v>
      </c>
      <c r="L1521" s="391">
        <v>6.610677E7</v>
      </c>
      <c r="M1521" s="391">
        <v>89.9417</v>
      </c>
      <c r="N1521" s="38">
        <v>162.4432</v>
      </c>
    </row>
    <row r="1522">
      <c r="A1522" s="389" t="s">
        <v>1972</v>
      </c>
      <c r="B1522" s="389" t="s">
        <v>137</v>
      </c>
      <c r="C1522" s="389" t="s">
        <v>357</v>
      </c>
      <c r="D1522" s="389" t="s">
        <v>357</v>
      </c>
      <c r="E1522" s="390" t="s">
        <v>367</v>
      </c>
      <c r="F1522" s="391">
        <v>40536.0</v>
      </c>
      <c r="G1522" s="391">
        <v>13368.0</v>
      </c>
      <c r="H1522" s="391">
        <v>32.98</v>
      </c>
      <c r="I1522" s="391">
        <v>4.42</v>
      </c>
      <c r="J1522" s="391">
        <v>3.69</v>
      </c>
      <c r="K1522" s="391">
        <v>2922125.0</v>
      </c>
      <c r="L1522" s="391">
        <v>6.610677E7</v>
      </c>
      <c r="M1522" s="391">
        <v>72.0872</v>
      </c>
      <c r="N1522" s="38">
        <v>218.591</v>
      </c>
    </row>
    <row r="1523">
      <c r="A1523" s="389" t="s">
        <v>1972</v>
      </c>
      <c r="B1523" s="389" t="s">
        <v>137</v>
      </c>
      <c r="C1523" s="389" t="s">
        <v>357</v>
      </c>
      <c r="D1523" s="389" t="s">
        <v>357</v>
      </c>
      <c r="E1523" s="390" t="s">
        <v>371</v>
      </c>
      <c r="F1523" s="391">
        <v>40536.0</v>
      </c>
      <c r="G1523" s="391">
        <v>30394.0</v>
      </c>
      <c r="H1523" s="391">
        <v>74.98</v>
      </c>
      <c r="I1523" s="391">
        <v>3.52</v>
      </c>
      <c r="J1523" s="391">
        <v>5.82</v>
      </c>
      <c r="K1523" s="391">
        <v>2323695.0</v>
      </c>
      <c r="L1523" s="391">
        <v>6.610677E7</v>
      </c>
      <c r="M1523" s="391">
        <v>57.3242</v>
      </c>
      <c r="N1523" s="38">
        <v>76.4524</v>
      </c>
    </row>
    <row r="1524">
      <c r="A1524" s="389" t="s">
        <v>1972</v>
      </c>
      <c r="B1524" s="389" t="s">
        <v>137</v>
      </c>
      <c r="C1524" s="389" t="s">
        <v>357</v>
      </c>
      <c r="D1524" s="389" t="s">
        <v>357</v>
      </c>
      <c r="E1524" s="390" t="s">
        <v>37</v>
      </c>
      <c r="F1524" s="391">
        <v>40536.0</v>
      </c>
      <c r="G1524" s="391">
        <v>13183.0</v>
      </c>
      <c r="H1524" s="391">
        <v>32.52</v>
      </c>
      <c r="I1524" s="391">
        <v>3.43</v>
      </c>
      <c r="J1524" s="391">
        <v>3.59</v>
      </c>
      <c r="K1524" s="391">
        <v>2265555.0</v>
      </c>
      <c r="L1524" s="391">
        <v>6.610677E7</v>
      </c>
      <c r="M1524" s="391">
        <v>55.8899</v>
      </c>
      <c r="N1524" s="38">
        <v>171.8543</v>
      </c>
    </row>
    <row r="1525">
      <c r="A1525" s="389" t="s">
        <v>1972</v>
      </c>
      <c r="B1525" s="389" t="s">
        <v>137</v>
      </c>
      <c r="C1525" s="389" t="s">
        <v>357</v>
      </c>
      <c r="D1525" s="389" t="s">
        <v>357</v>
      </c>
      <c r="E1525" s="390" t="s">
        <v>282</v>
      </c>
      <c r="F1525" s="391">
        <v>40536.0</v>
      </c>
      <c r="G1525" s="391">
        <v>11093.0</v>
      </c>
      <c r="H1525" s="391">
        <v>27.37</v>
      </c>
      <c r="I1525" s="391">
        <v>3.31</v>
      </c>
      <c r="J1525" s="391">
        <v>2.51</v>
      </c>
      <c r="K1525" s="391">
        <v>2188300.0</v>
      </c>
      <c r="L1525" s="391">
        <v>6.610677E7</v>
      </c>
      <c r="M1525" s="391">
        <v>53.9841</v>
      </c>
      <c r="N1525" s="38">
        <v>197.2685</v>
      </c>
    </row>
    <row r="1526">
      <c r="A1526" s="389" t="s">
        <v>1972</v>
      </c>
      <c r="B1526" s="389" t="s">
        <v>137</v>
      </c>
      <c r="C1526" s="389" t="s">
        <v>357</v>
      </c>
      <c r="D1526" s="389" t="s">
        <v>357</v>
      </c>
      <c r="E1526" s="390" t="s">
        <v>108</v>
      </c>
      <c r="F1526" s="391">
        <v>40536.0</v>
      </c>
      <c r="G1526" s="391">
        <v>11200.0</v>
      </c>
      <c r="H1526" s="391">
        <v>27.63</v>
      </c>
      <c r="I1526" s="391">
        <v>3.31</v>
      </c>
      <c r="J1526" s="391">
        <v>2.44</v>
      </c>
      <c r="K1526" s="391">
        <v>2185120.0</v>
      </c>
      <c r="L1526" s="391">
        <v>6.610677E7</v>
      </c>
      <c r="M1526" s="391">
        <v>53.9057</v>
      </c>
      <c r="N1526" s="38">
        <v>195.1</v>
      </c>
    </row>
    <row r="1527">
      <c r="A1527" s="389" t="s">
        <v>1972</v>
      </c>
      <c r="B1527" s="389" t="s">
        <v>137</v>
      </c>
      <c r="C1527" s="389" t="s">
        <v>357</v>
      </c>
      <c r="D1527" s="389" t="s">
        <v>357</v>
      </c>
      <c r="E1527" s="390" t="s">
        <v>283</v>
      </c>
      <c r="F1527" s="391">
        <v>40536.0</v>
      </c>
      <c r="G1527" s="391">
        <v>10965.0</v>
      </c>
      <c r="H1527" s="391">
        <v>27.05</v>
      </c>
      <c r="I1527" s="391">
        <v>3.21</v>
      </c>
      <c r="J1527" s="391">
        <v>2.49</v>
      </c>
      <c r="K1527" s="391">
        <v>2125100.0</v>
      </c>
      <c r="L1527" s="391">
        <v>6.610677E7</v>
      </c>
      <c r="M1527" s="391">
        <v>52.425</v>
      </c>
      <c r="N1527" s="38">
        <v>193.8076</v>
      </c>
    </row>
    <row r="1528">
      <c r="A1528" s="389" t="s">
        <v>1972</v>
      </c>
      <c r="B1528" s="389" t="s">
        <v>137</v>
      </c>
      <c r="C1528" s="389" t="s">
        <v>357</v>
      </c>
      <c r="D1528" s="389" t="s">
        <v>357</v>
      </c>
      <c r="E1528" s="390" t="s">
        <v>284</v>
      </c>
      <c r="F1528" s="391">
        <v>40536.0</v>
      </c>
      <c r="G1528" s="391">
        <v>10166.0</v>
      </c>
      <c r="H1528" s="391">
        <v>25.08</v>
      </c>
      <c r="I1528" s="391">
        <v>3.02</v>
      </c>
      <c r="J1528" s="391">
        <v>2.23</v>
      </c>
      <c r="K1528" s="391">
        <v>1993650.0</v>
      </c>
      <c r="L1528" s="391">
        <v>6.610677E7</v>
      </c>
      <c r="M1528" s="391">
        <v>49.1822</v>
      </c>
      <c r="N1528" s="38">
        <v>196.1096</v>
      </c>
    </row>
    <row r="1529">
      <c r="A1529" s="389" t="s">
        <v>1972</v>
      </c>
      <c r="B1529" s="389" t="s">
        <v>137</v>
      </c>
      <c r="C1529" s="389" t="s">
        <v>357</v>
      </c>
      <c r="D1529" s="389" t="s">
        <v>357</v>
      </c>
      <c r="E1529" s="390" t="s">
        <v>35</v>
      </c>
      <c r="F1529" s="391">
        <v>40536.0</v>
      </c>
      <c r="G1529" s="391">
        <v>12894.0</v>
      </c>
      <c r="H1529" s="391">
        <v>31.81</v>
      </c>
      <c r="I1529" s="391">
        <v>2.66</v>
      </c>
      <c r="J1529" s="391">
        <v>2.38</v>
      </c>
      <c r="K1529" s="391">
        <v>1757470.0</v>
      </c>
      <c r="L1529" s="391">
        <v>6.610677E7</v>
      </c>
      <c r="M1529" s="391">
        <v>43.3558</v>
      </c>
      <c r="N1529" s="38">
        <v>136.3014</v>
      </c>
    </row>
    <row r="1530">
      <c r="A1530" s="389" t="s">
        <v>1972</v>
      </c>
      <c r="B1530" s="389" t="s">
        <v>137</v>
      </c>
      <c r="C1530" s="389" t="s">
        <v>357</v>
      </c>
      <c r="D1530" s="389" t="s">
        <v>357</v>
      </c>
      <c r="E1530" s="390" t="s">
        <v>39</v>
      </c>
      <c r="F1530" s="391">
        <v>40536.0</v>
      </c>
      <c r="G1530" s="391">
        <v>23477.0</v>
      </c>
      <c r="H1530" s="391">
        <v>57.92</v>
      </c>
      <c r="I1530" s="391">
        <v>2.58</v>
      </c>
      <c r="J1530" s="391">
        <v>2.41</v>
      </c>
      <c r="K1530" s="391">
        <v>1705700.0</v>
      </c>
      <c r="L1530" s="391">
        <v>6.610677E7</v>
      </c>
      <c r="M1530" s="391">
        <v>42.0786</v>
      </c>
      <c r="N1530" s="38">
        <v>72.6541</v>
      </c>
    </row>
    <row r="1531">
      <c r="A1531" s="389" t="s">
        <v>1972</v>
      </c>
      <c r="B1531" s="389" t="s">
        <v>137</v>
      </c>
      <c r="C1531" s="389" t="s">
        <v>357</v>
      </c>
      <c r="D1531" s="389" t="s">
        <v>357</v>
      </c>
      <c r="E1531" s="390" t="s">
        <v>368</v>
      </c>
      <c r="F1531" s="391">
        <v>40536.0</v>
      </c>
      <c r="G1531" s="391">
        <v>18150.0</v>
      </c>
      <c r="H1531" s="391">
        <v>44.78</v>
      </c>
      <c r="I1531" s="391">
        <v>1.95</v>
      </c>
      <c r="J1531" s="391">
        <v>1.84</v>
      </c>
      <c r="K1531" s="391">
        <v>1287375.0</v>
      </c>
      <c r="L1531" s="391">
        <v>6.610677E7</v>
      </c>
      <c r="M1531" s="391">
        <v>31.7588</v>
      </c>
      <c r="N1531" s="38">
        <v>70.9298</v>
      </c>
    </row>
    <row r="1532">
      <c r="A1532" s="389" t="s">
        <v>1972</v>
      </c>
      <c r="B1532" s="389" t="s">
        <v>137</v>
      </c>
      <c r="C1532" s="389" t="s">
        <v>357</v>
      </c>
      <c r="D1532" s="389" t="s">
        <v>357</v>
      </c>
      <c r="E1532" s="390" t="s">
        <v>363</v>
      </c>
      <c r="F1532" s="391">
        <v>40536.0</v>
      </c>
      <c r="G1532" s="391">
        <v>12541.0</v>
      </c>
      <c r="H1532" s="391">
        <v>30.94</v>
      </c>
      <c r="I1532" s="391">
        <v>1.83</v>
      </c>
      <c r="J1532" s="391">
        <v>1.42</v>
      </c>
      <c r="K1532" s="391">
        <v>1212885.0</v>
      </c>
      <c r="L1532" s="391">
        <v>6.610677E7</v>
      </c>
      <c r="M1532" s="391">
        <v>29.9212</v>
      </c>
      <c r="N1532" s="38">
        <v>96.7136</v>
      </c>
    </row>
    <row r="1533">
      <c r="A1533" s="389" t="s">
        <v>1972</v>
      </c>
      <c r="B1533" s="389" t="s">
        <v>137</v>
      </c>
      <c r="C1533" s="389" t="s">
        <v>357</v>
      </c>
      <c r="D1533" s="389" t="s">
        <v>357</v>
      </c>
      <c r="E1533" s="390" t="s">
        <v>38</v>
      </c>
      <c r="F1533" s="391">
        <v>40536.0</v>
      </c>
      <c r="G1533" s="391">
        <v>5038.0</v>
      </c>
      <c r="H1533" s="391">
        <v>12.43</v>
      </c>
      <c r="I1533" s="391">
        <v>1.72</v>
      </c>
      <c r="J1533" s="391">
        <v>1.02</v>
      </c>
      <c r="K1533" s="391">
        <v>1135700.0</v>
      </c>
      <c r="L1533" s="391">
        <v>6.610677E7</v>
      </c>
      <c r="M1533" s="391">
        <v>28.0171</v>
      </c>
      <c r="N1533" s="38">
        <v>225.4268</v>
      </c>
    </row>
    <row r="1534">
      <c r="A1534" s="389" t="s">
        <v>1972</v>
      </c>
      <c r="B1534" s="389" t="s">
        <v>137</v>
      </c>
      <c r="C1534" s="389" t="s">
        <v>357</v>
      </c>
      <c r="D1534" s="389" t="s">
        <v>357</v>
      </c>
      <c r="E1534" s="390" t="s">
        <v>27</v>
      </c>
      <c r="F1534" s="391">
        <v>40536.0</v>
      </c>
      <c r="G1534" s="391">
        <v>3040.0</v>
      </c>
      <c r="H1534" s="391">
        <v>7.5</v>
      </c>
      <c r="I1534" s="391">
        <v>0.63</v>
      </c>
      <c r="J1534" s="391">
        <v>0.48</v>
      </c>
      <c r="K1534" s="391">
        <v>416980.0</v>
      </c>
      <c r="L1534" s="391">
        <v>6.610677E7</v>
      </c>
      <c r="M1534" s="391">
        <v>10.2867</v>
      </c>
      <c r="N1534" s="38">
        <v>137.1645</v>
      </c>
    </row>
    <row r="1535">
      <c r="A1535" s="389" t="s">
        <v>1972</v>
      </c>
      <c r="B1535" s="389" t="s">
        <v>137</v>
      </c>
      <c r="C1535" s="389" t="s">
        <v>357</v>
      </c>
      <c r="D1535" s="389" t="s">
        <v>357</v>
      </c>
      <c r="E1535" s="390" t="s">
        <v>30</v>
      </c>
      <c r="F1535" s="391">
        <v>40536.0</v>
      </c>
      <c r="G1535" s="391">
        <v>7759.0</v>
      </c>
      <c r="H1535" s="391">
        <v>19.14</v>
      </c>
      <c r="I1535" s="391">
        <v>0.59</v>
      </c>
      <c r="J1535" s="391">
        <v>0.49</v>
      </c>
      <c r="K1535" s="391">
        <v>392550.0</v>
      </c>
      <c r="L1535" s="391">
        <v>6.610677E7</v>
      </c>
      <c r="M1535" s="391">
        <v>9.684</v>
      </c>
      <c r="N1535" s="38">
        <v>50.5929</v>
      </c>
    </row>
    <row r="1536">
      <c r="A1536" s="389" t="s">
        <v>1972</v>
      </c>
      <c r="B1536" s="389" t="s">
        <v>137</v>
      </c>
      <c r="C1536" s="389" t="s">
        <v>357</v>
      </c>
      <c r="D1536" s="389" t="s">
        <v>357</v>
      </c>
      <c r="E1536" s="390" t="s">
        <v>163</v>
      </c>
      <c r="F1536" s="391">
        <v>40536.0</v>
      </c>
      <c r="G1536" s="391">
        <v>8178.0</v>
      </c>
      <c r="H1536" s="391">
        <v>20.17</v>
      </c>
      <c r="I1536" s="391">
        <v>0.56</v>
      </c>
      <c r="J1536" s="391">
        <v>0.49</v>
      </c>
      <c r="K1536" s="391">
        <v>367950.0</v>
      </c>
      <c r="L1536" s="391">
        <v>6.610677E7</v>
      </c>
      <c r="M1536" s="391">
        <v>9.0771</v>
      </c>
      <c r="N1536" s="38">
        <v>44.9927</v>
      </c>
    </row>
    <row r="1537">
      <c r="A1537" s="389" t="s">
        <v>1972</v>
      </c>
      <c r="B1537" s="389" t="s">
        <v>137</v>
      </c>
      <c r="C1537" s="389" t="s">
        <v>6</v>
      </c>
      <c r="D1537" s="389" t="s">
        <v>591</v>
      </c>
      <c r="E1537" s="390" t="s">
        <v>370</v>
      </c>
      <c r="F1537" s="391">
        <v>39941.0</v>
      </c>
      <c r="G1537" s="391">
        <v>38346.0</v>
      </c>
      <c r="H1537" s="391">
        <v>96.01</v>
      </c>
      <c r="I1537" s="391">
        <v>57.59</v>
      </c>
      <c r="J1537" s="391">
        <v>52.17</v>
      </c>
      <c r="K1537" s="391">
        <v>464621.0</v>
      </c>
      <c r="L1537" s="391">
        <v>806770.0</v>
      </c>
      <c r="M1537" s="391">
        <v>11.6327</v>
      </c>
      <c r="N1537" s="38">
        <v>12.1165</v>
      </c>
    </row>
    <row r="1538">
      <c r="A1538" s="389" t="s">
        <v>1972</v>
      </c>
      <c r="B1538" s="389" t="s">
        <v>137</v>
      </c>
      <c r="C1538" s="389" t="s">
        <v>6</v>
      </c>
      <c r="D1538" s="389" t="s">
        <v>591</v>
      </c>
      <c r="E1538" s="390" t="s">
        <v>371</v>
      </c>
      <c r="F1538" s="391">
        <v>39941.0</v>
      </c>
      <c r="G1538" s="391">
        <v>25133.0</v>
      </c>
      <c r="H1538" s="391">
        <v>62.93</v>
      </c>
      <c r="I1538" s="391">
        <v>10.52</v>
      </c>
      <c r="J1538" s="391">
        <v>14.54</v>
      </c>
      <c r="K1538" s="391">
        <v>84881.0</v>
      </c>
      <c r="L1538" s="391">
        <v>806770.0</v>
      </c>
      <c r="M1538" s="391">
        <v>2.1252</v>
      </c>
      <c r="N1538" s="38">
        <v>3.3773</v>
      </c>
    </row>
    <row r="1539">
      <c r="A1539" s="389" t="s">
        <v>1972</v>
      </c>
      <c r="B1539" s="389" t="s">
        <v>137</v>
      </c>
      <c r="C1539" s="389" t="s">
        <v>6</v>
      </c>
      <c r="D1539" s="389" t="s">
        <v>591</v>
      </c>
      <c r="E1539" s="390" t="s">
        <v>369</v>
      </c>
      <c r="F1539" s="391">
        <v>39941.0</v>
      </c>
      <c r="G1539" s="391">
        <v>26360.0</v>
      </c>
      <c r="H1539" s="391">
        <v>66.0</v>
      </c>
      <c r="I1539" s="391">
        <v>6.27</v>
      </c>
      <c r="J1539" s="391">
        <v>7.92</v>
      </c>
      <c r="K1539" s="391">
        <v>50575.0</v>
      </c>
      <c r="L1539" s="391">
        <v>806770.0</v>
      </c>
      <c r="M1539" s="391">
        <v>1.2662</v>
      </c>
      <c r="N1539" s="38">
        <v>1.9186</v>
      </c>
    </row>
    <row r="1540">
      <c r="A1540" s="389" t="s">
        <v>1972</v>
      </c>
      <c r="B1540" s="389" t="s">
        <v>137</v>
      </c>
      <c r="C1540" s="389" t="s">
        <v>6</v>
      </c>
      <c r="D1540" s="389" t="s">
        <v>591</v>
      </c>
      <c r="E1540" s="390" t="s">
        <v>367</v>
      </c>
      <c r="F1540" s="391">
        <v>39941.0</v>
      </c>
      <c r="G1540" s="391">
        <v>12535.0</v>
      </c>
      <c r="H1540" s="391">
        <v>31.38</v>
      </c>
      <c r="I1540" s="391">
        <v>6.09</v>
      </c>
      <c r="J1540" s="391">
        <v>4.87</v>
      </c>
      <c r="K1540" s="391">
        <v>49115.0</v>
      </c>
      <c r="L1540" s="391">
        <v>806770.0</v>
      </c>
      <c r="M1540" s="391">
        <v>1.2297</v>
      </c>
      <c r="N1540" s="38">
        <v>3.9182</v>
      </c>
    </row>
    <row r="1541">
      <c r="A1541" s="389" t="s">
        <v>1972</v>
      </c>
      <c r="B1541" s="389" t="s">
        <v>137</v>
      </c>
      <c r="C1541" s="389" t="s">
        <v>6</v>
      </c>
      <c r="D1541" s="389" t="s">
        <v>591</v>
      </c>
      <c r="E1541" s="390" t="s">
        <v>44</v>
      </c>
      <c r="F1541" s="391">
        <v>39941.0</v>
      </c>
      <c r="G1541" s="391">
        <v>17969.0</v>
      </c>
      <c r="H1541" s="391">
        <v>44.99</v>
      </c>
      <c r="I1541" s="391">
        <v>5.36</v>
      </c>
      <c r="J1541" s="391">
        <v>4.84</v>
      </c>
      <c r="K1541" s="391">
        <v>43209.0</v>
      </c>
      <c r="L1541" s="391">
        <v>806770.0</v>
      </c>
      <c r="M1541" s="391">
        <v>1.0818</v>
      </c>
      <c r="N1541" s="38">
        <v>2.4046</v>
      </c>
    </row>
    <row r="1542">
      <c r="A1542" s="389" t="s">
        <v>1972</v>
      </c>
      <c r="B1542" s="389" t="s">
        <v>137</v>
      </c>
      <c r="C1542" s="389" t="s">
        <v>6</v>
      </c>
      <c r="D1542" s="389" t="s">
        <v>591</v>
      </c>
      <c r="E1542" s="390" t="s">
        <v>39</v>
      </c>
      <c r="F1542" s="391">
        <v>39941.0</v>
      </c>
      <c r="G1542" s="391">
        <v>23539.0</v>
      </c>
      <c r="H1542" s="391">
        <v>58.93</v>
      </c>
      <c r="I1542" s="391">
        <v>4.86</v>
      </c>
      <c r="J1542" s="391">
        <v>5.98</v>
      </c>
      <c r="K1542" s="391">
        <v>39201.0</v>
      </c>
      <c r="L1542" s="391">
        <v>806770.0</v>
      </c>
      <c r="M1542" s="391">
        <v>0.9815</v>
      </c>
      <c r="N1542" s="38">
        <v>1.6654</v>
      </c>
    </row>
    <row r="1543">
      <c r="A1543" s="389" t="s">
        <v>1972</v>
      </c>
      <c r="B1543" s="389" t="s">
        <v>137</v>
      </c>
      <c r="C1543" s="389" t="s">
        <v>6</v>
      </c>
      <c r="D1543" s="389" t="s">
        <v>591</v>
      </c>
      <c r="E1543" s="390" t="s">
        <v>365</v>
      </c>
      <c r="F1543" s="391">
        <v>39941.0</v>
      </c>
      <c r="G1543" s="391">
        <v>17488.0</v>
      </c>
      <c r="H1543" s="391">
        <v>43.78</v>
      </c>
      <c r="I1543" s="391">
        <v>3.41</v>
      </c>
      <c r="J1543" s="391">
        <v>4.01</v>
      </c>
      <c r="K1543" s="391">
        <v>27505.0</v>
      </c>
      <c r="L1543" s="391">
        <v>806770.0</v>
      </c>
      <c r="M1543" s="391">
        <v>0.6886</v>
      </c>
      <c r="N1543" s="38">
        <v>1.5728</v>
      </c>
    </row>
    <row r="1544">
      <c r="A1544" s="389" t="s">
        <v>1972</v>
      </c>
      <c r="B1544" s="389" t="s">
        <v>137</v>
      </c>
      <c r="C1544" s="389" t="s">
        <v>6</v>
      </c>
      <c r="D1544" s="389" t="s">
        <v>591</v>
      </c>
      <c r="E1544" s="390" t="s">
        <v>368</v>
      </c>
      <c r="F1544" s="391">
        <v>39941.0</v>
      </c>
      <c r="G1544" s="391">
        <v>13967.0</v>
      </c>
      <c r="H1544" s="391">
        <v>34.97</v>
      </c>
      <c r="I1544" s="391">
        <v>2.25</v>
      </c>
      <c r="J1544" s="391">
        <v>2.44</v>
      </c>
      <c r="K1544" s="391">
        <v>18152.0</v>
      </c>
      <c r="L1544" s="391">
        <v>806770.0</v>
      </c>
      <c r="M1544" s="391">
        <v>0.4545</v>
      </c>
      <c r="N1544" s="38">
        <v>1.2996</v>
      </c>
    </row>
    <row r="1545">
      <c r="A1545" s="389" t="s">
        <v>1972</v>
      </c>
      <c r="B1545" s="389" t="s">
        <v>137</v>
      </c>
      <c r="C1545" s="389" t="s">
        <v>6</v>
      </c>
      <c r="D1545" s="389" t="s">
        <v>591</v>
      </c>
      <c r="E1545" s="390" t="s">
        <v>108</v>
      </c>
      <c r="F1545" s="391">
        <v>39941.0</v>
      </c>
      <c r="G1545" s="391">
        <v>7925.0</v>
      </c>
      <c r="H1545" s="391">
        <v>19.84</v>
      </c>
      <c r="I1545" s="391">
        <v>1.71</v>
      </c>
      <c r="J1545" s="391">
        <v>1.42</v>
      </c>
      <c r="K1545" s="391">
        <v>13815.0</v>
      </c>
      <c r="L1545" s="391">
        <v>806770.0</v>
      </c>
      <c r="M1545" s="391">
        <v>0.3459</v>
      </c>
      <c r="N1545" s="38">
        <v>1.7432</v>
      </c>
    </row>
    <row r="1546">
      <c r="A1546" s="389" t="s">
        <v>1972</v>
      </c>
      <c r="B1546" s="389" t="s">
        <v>137</v>
      </c>
      <c r="C1546" s="389" t="s">
        <v>6</v>
      </c>
      <c r="D1546" s="389" t="s">
        <v>591</v>
      </c>
      <c r="E1546" s="390" t="s">
        <v>163</v>
      </c>
      <c r="F1546" s="391">
        <v>39941.0</v>
      </c>
      <c r="G1546" s="391">
        <v>6144.0</v>
      </c>
      <c r="H1546" s="391">
        <v>15.38</v>
      </c>
      <c r="I1546" s="391">
        <v>0.77</v>
      </c>
      <c r="J1546" s="391">
        <v>0.73</v>
      </c>
      <c r="K1546" s="391">
        <v>6247.0</v>
      </c>
      <c r="L1546" s="391">
        <v>806770.0</v>
      </c>
      <c r="M1546" s="391">
        <v>0.1564</v>
      </c>
      <c r="N1546" s="38">
        <v>1.0168</v>
      </c>
    </row>
    <row r="1547">
      <c r="A1547" s="389" t="s">
        <v>1972</v>
      </c>
      <c r="B1547" s="389" t="s">
        <v>137</v>
      </c>
      <c r="C1547" s="389" t="s">
        <v>6</v>
      </c>
      <c r="D1547" s="389" t="s">
        <v>591</v>
      </c>
      <c r="E1547" s="390" t="s">
        <v>30</v>
      </c>
      <c r="F1547" s="391">
        <v>39941.0</v>
      </c>
      <c r="G1547" s="391">
        <v>5633.0</v>
      </c>
      <c r="H1547" s="391">
        <v>14.1</v>
      </c>
      <c r="I1547" s="391">
        <v>0.7</v>
      </c>
      <c r="J1547" s="391">
        <v>0.58</v>
      </c>
      <c r="K1547" s="391">
        <v>5676.0</v>
      </c>
      <c r="L1547" s="391">
        <v>806770.0</v>
      </c>
      <c r="M1547" s="391">
        <v>0.1421</v>
      </c>
      <c r="N1547" s="38">
        <v>1.0076</v>
      </c>
    </row>
    <row r="1548">
      <c r="A1548" s="389" t="s">
        <v>1972</v>
      </c>
      <c r="B1548" s="389" t="s">
        <v>137</v>
      </c>
      <c r="C1548" s="389" t="s">
        <v>6</v>
      </c>
      <c r="D1548" s="389" t="s">
        <v>591</v>
      </c>
      <c r="E1548" s="390" t="s">
        <v>37</v>
      </c>
      <c r="F1548" s="391">
        <v>39941.0</v>
      </c>
      <c r="G1548" s="391">
        <v>1507.0</v>
      </c>
      <c r="H1548" s="391">
        <v>3.77</v>
      </c>
      <c r="I1548" s="391">
        <v>0.21</v>
      </c>
      <c r="J1548" s="391">
        <v>0.25</v>
      </c>
      <c r="K1548" s="391">
        <v>1679.0</v>
      </c>
      <c r="L1548" s="391">
        <v>806770.0</v>
      </c>
      <c r="M1548" s="391">
        <v>0.042</v>
      </c>
      <c r="N1548" s="38">
        <v>1.1141</v>
      </c>
    </row>
    <row r="1549">
      <c r="A1549" s="389" t="s">
        <v>1972</v>
      </c>
      <c r="B1549" s="389" t="s">
        <v>137</v>
      </c>
      <c r="C1549" s="389" t="s">
        <v>6</v>
      </c>
      <c r="D1549" s="389" t="s">
        <v>591</v>
      </c>
      <c r="E1549" s="390" t="s">
        <v>45</v>
      </c>
      <c r="F1549" s="391">
        <v>39941.0</v>
      </c>
      <c r="G1549" s="391">
        <v>1476.0</v>
      </c>
      <c r="H1549" s="391">
        <v>3.7</v>
      </c>
      <c r="I1549" s="391">
        <v>0.2</v>
      </c>
      <c r="J1549" s="391">
        <v>0.18</v>
      </c>
      <c r="K1549" s="391">
        <v>1637.0</v>
      </c>
      <c r="L1549" s="391">
        <v>806770.0</v>
      </c>
      <c r="M1549" s="391">
        <v>0.041</v>
      </c>
      <c r="N1549" s="38">
        <v>1.1091</v>
      </c>
    </row>
    <row r="1550">
      <c r="A1550" s="389" t="s">
        <v>1972</v>
      </c>
      <c r="B1550" s="389" t="s">
        <v>137</v>
      </c>
      <c r="C1550" s="389" t="s">
        <v>6</v>
      </c>
      <c r="D1550" s="389" t="s">
        <v>591</v>
      </c>
      <c r="E1550" s="390" t="s">
        <v>38</v>
      </c>
      <c r="F1550" s="391">
        <v>39941.0</v>
      </c>
      <c r="G1550" s="391">
        <v>415.0</v>
      </c>
      <c r="H1550" s="391">
        <v>1.04</v>
      </c>
      <c r="I1550" s="391">
        <v>0.05</v>
      </c>
      <c r="J1550" s="391">
        <v>0.07</v>
      </c>
      <c r="K1550" s="391">
        <v>425.0</v>
      </c>
      <c r="L1550" s="391">
        <v>806770.0</v>
      </c>
      <c r="M1550" s="391">
        <v>0.0106</v>
      </c>
      <c r="N1550" s="38">
        <v>1.0241</v>
      </c>
    </row>
    <row r="1551">
      <c r="A1551" s="389" t="s">
        <v>1972</v>
      </c>
      <c r="B1551" s="389" t="s">
        <v>137</v>
      </c>
      <c r="C1551" s="389" t="s">
        <v>6</v>
      </c>
      <c r="D1551" s="389" t="s">
        <v>591</v>
      </c>
      <c r="E1551" s="390" t="s">
        <v>284</v>
      </c>
      <c r="F1551" s="391">
        <v>39941.0</v>
      </c>
      <c r="G1551" s="391">
        <v>3.0</v>
      </c>
      <c r="H1551" s="391">
        <v>0.01</v>
      </c>
      <c r="I1551" s="391">
        <v>0.0</v>
      </c>
      <c r="J1551" s="391">
        <v>0.0</v>
      </c>
      <c r="K1551" s="391">
        <v>3.0</v>
      </c>
      <c r="L1551" s="391">
        <v>806770.0</v>
      </c>
      <c r="M1551" s="391">
        <v>1.0E-4</v>
      </c>
      <c r="N1551" s="38">
        <v>1.0</v>
      </c>
    </row>
    <row r="1552">
      <c r="A1552" s="389" t="s">
        <v>1972</v>
      </c>
      <c r="B1552" s="389" t="s">
        <v>137</v>
      </c>
      <c r="C1552" s="389" t="s">
        <v>6</v>
      </c>
      <c r="D1552" s="389" t="s">
        <v>591</v>
      </c>
      <c r="E1552" s="390" t="s">
        <v>27</v>
      </c>
      <c r="F1552" s="391">
        <v>39941.0</v>
      </c>
      <c r="G1552" s="391">
        <v>22.0</v>
      </c>
      <c r="H1552" s="391">
        <v>0.06</v>
      </c>
      <c r="I1552" s="391">
        <v>0.0</v>
      </c>
      <c r="J1552" s="391">
        <v>0.01</v>
      </c>
      <c r="K1552" s="391">
        <v>25.0</v>
      </c>
      <c r="L1552" s="391">
        <v>806770.0</v>
      </c>
      <c r="M1552" s="391">
        <v>6.0E-4</v>
      </c>
      <c r="N1552" s="38">
        <v>1.1364</v>
      </c>
    </row>
    <row r="1553">
      <c r="A1553" s="389" t="s">
        <v>1972</v>
      </c>
      <c r="B1553" s="389" t="s">
        <v>137</v>
      </c>
      <c r="C1553" s="389" t="s">
        <v>6</v>
      </c>
      <c r="D1553" s="389" t="s">
        <v>591</v>
      </c>
      <c r="E1553" s="390" t="s">
        <v>282</v>
      </c>
      <c r="F1553" s="391">
        <v>39941.0</v>
      </c>
      <c r="G1553" s="391">
        <v>2.0</v>
      </c>
      <c r="H1553" s="391">
        <v>0.01</v>
      </c>
      <c r="I1553" s="391">
        <v>0.0</v>
      </c>
      <c r="J1553" s="391">
        <v>0.0</v>
      </c>
      <c r="K1553" s="391">
        <v>2.0</v>
      </c>
      <c r="L1553" s="391">
        <v>806770.0</v>
      </c>
      <c r="M1553" s="391">
        <v>1.0E-4</v>
      </c>
      <c r="N1553" s="38">
        <v>1.0</v>
      </c>
    </row>
    <row r="1554">
      <c r="A1554" s="389" t="s">
        <v>1972</v>
      </c>
      <c r="B1554" s="389" t="s">
        <v>137</v>
      </c>
      <c r="C1554" s="389" t="s">
        <v>6</v>
      </c>
      <c r="D1554" s="389" t="s">
        <v>591</v>
      </c>
      <c r="E1554" s="390" t="s">
        <v>363</v>
      </c>
      <c r="F1554" s="391">
        <v>39941.0</v>
      </c>
      <c r="G1554" s="391">
        <v>2.0</v>
      </c>
      <c r="H1554" s="391">
        <v>0.01</v>
      </c>
      <c r="I1554" s="391">
        <v>0.0</v>
      </c>
      <c r="J1554" s="391">
        <v>0.0</v>
      </c>
      <c r="K1554" s="391">
        <v>2.0</v>
      </c>
      <c r="L1554" s="391">
        <v>806770.0</v>
      </c>
      <c r="M1554" s="391">
        <v>1.0E-4</v>
      </c>
      <c r="N1554" s="38">
        <v>1.0</v>
      </c>
    </row>
    <row r="1555">
      <c r="A1555" s="389" t="s">
        <v>1972</v>
      </c>
      <c r="B1555" s="389" t="s">
        <v>137</v>
      </c>
      <c r="C1555" s="389" t="s">
        <v>10</v>
      </c>
      <c r="D1555" s="389" t="s">
        <v>591</v>
      </c>
      <c r="E1555" s="390" t="s">
        <v>370</v>
      </c>
      <c r="F1555" s="391">
        <v>39384.0</v>
      </c>
      <c r="G1555" s="391">
        <v>35020.0</v>
      </c>
      <c r="H1555" s="391">
        <v>88.92</v>
      </c>
      <c r="I1555" s="391">
        <v>39.11</v>
      </c>
      <c r="J1555" s="391">
        <v>37.67</v>
      </c>
      <c r="K1555" s="391">
        <v>230681.0</v>
      </c>
      <c r="L1555" s="391">
        <v>589771.0</v>
      </c>
      <c r="M1555" s="391">
        <v>5.8572</v>
      </c>
      <c r="N1555" s="38">
        <v>6.5871</v>
      </c>
    </row>
    <row r="1556">
      <c r="A1556" s="389" t="s">
        <v>1972</v>
      </c>
      <c r="B1556" s="389" t="s">
        <v>137</v>
      </c>
      <c r="C1556" s="389" t="s">
        <v>10</v>
      </c>
      <c r="D1556" s="389" t="s">
        <v>591</v>
      </c>
      <c r="E1556" s="390" t="s">
        <v>365</v>
      </c>
      <c r="F1556" s="391">
        <v>39384.0</v>
      </c>
      <c r="G1556" s="391">
        <v>28663.0</v>
      </c>
      <c r="H1556" s="391">
        <v>72.78</v>
      </c>
      <c r="I1556" s="391">
        <v>13.85</v>
      </c>
      <c r="J1556" s="391">
        <v>16.46</v>
      </c>
      <c r="K1556" s="391">
        <v>81665.0</v>
      </c>
      <c r="L1556" s="391">
        <v>589771.0</v>
      </c>
      <c r="M1556" s="391">
        <v>2.0736</v>
      </c>
      <c r="N1556" s="38">
        <v>2.8491</v>
      </c>
    </row>
    <row r="1557">
      <c r="A1557" s="389" t="s">
        <v>1972</v>
      </c>
      <c r="B1557" s="389" t="s">
        <v>137</v>
      </c>
      <c r="C1557" s="389" t="s">
        <v>10</v>
      </c>
      <c r="D1557" s="389" t="s">
        <v>591</v>
      </c>
      <c r="E1557" s="390" t="s">
        <v>371</v>
      </c>
      <c r="F1557" s="391">
        <v>39384.0</v>
      </c>
      <c r="G1557" s="391">
        <v>21558.0</v>
      </c>
      <c r="H1557" s="391">
        <v>54.74</v>
      </c>
      <c r="I1557" s="391">
        <v>5.9</v>
      </c>
      <c r="J1557" s="391">
        <v>8.17</v>
      </c>
      <c r="K1557" s="391">
        <v>34796.0</v>
      </c>
      <c r="L1557" s="391">
        <v>589771.0</v>
      </c>
      <c r="M1557" s="391">
        <v>0.8835</v>
      </c>
      <c r="N1557" s="38">
        <v>1.6141</v>
      </c>
    </row>
    <row r="1558">
      <c r="A1558" s="389" t="s">
        <v>1972</v>
      </c>
      <c r="B1558" s="389" t="s">
        <v>137</v>
      </c>
      <c r="C1558" s="389" t="s">
        <v>10</v>
      </c>
      <c r="D1558" s="389" t="s">
        <v>591</v>
      </c>
      <c r="E1558" s="390" t="s">
        <v>39</v>
      </c>
      <c r="F1558" s="391">
        <v>39384.0</v>
      </c>
      <c r="G1558" s="391">
        <v>19331.0</v>
      </c>
      <c r="H1558" s="391">
        <v>49.08</v>
      </c>
      <c r="I1558" s="391">
        <v>5.52</v>
      </c>
      <c r="J1558" s="391">
        <v>5.67</v>
      </c>
      <c r="K1558" s="391">
        <v>32574.0</v>
      </c>
      <c r="L1558" s="391">
        <v>589771.0</v>
      </c>
      <c r="M1558" s="391">
        <v>0.8271</v>
      </c>
      <c r="N1558" s="38">
        <v>1.6851</v>
      </c>
    </row>
    <row r="1559">
      <c r="A1559" s="389" t="s">
        <v>1972</v>
      </c>
      <c r="B1559" s="389" t="s">
        <v>137</v>
      </c>
      <c r="C1559" s="389" t="s">
        <v>10</v>
      </c>
      <c r="D1559" s="389" t="s">
        <v>591</v>
      </c>
      <c r="E1559" s="390" t="s">
        <v>369</v>
      </c>
      <c r="F1559" s="391">
        <v>39384.0</v>
      </c>
      <c r="G1559" s="391">
        <v>15852.0</v>
      </c>
      <c r="H1559" s="391">
        <v>40.25</v>
      </c>
      <c r="I1559" s="391">
        <v>5.07</v>
      </c>
      <c r="J1559" s="391">
        <v>4.95</v>
      </c>
      <c r="K1559" s="391">
        <v>29912.0</v>
      </c>
      <c r="L1559" s="391">
        <v>589771.0</v>
      </c>
      <c r="M1559" s="391">
        <v>0.7595</v>
      </c>
      <c r="N1559" s="38">
        <v>1.887</v>
      </c>
    </row>
    <row r="1560">
      <c r="A1560" s="389" t="s">
        <v>1972</v>
      </c>
      <c r="B1560" s="389" t="s">
        <v>137</v>
      </c>
      <c r="C1560" s="389" t="s">
        <v>10</v>
      </c>
      <c r="D1560" s="389" t="s">
        <v>591</v>
      </c>
      <c r="E1560" s="390" t="s">
        <v>366</v>
      </c>
      <c r="F1560" s="391">
        <v>39384.0</v>
      </c>
      <c r="G1560" s="391">
        <v>16655.0</v>
      </c>
      <c r="H1560" s="391">
        <v>42.29</v>
      </c>
      <c r="I1560" s="391">
        <v>4.87</v>
      </c>
      <c r="J1560" s="391">
        <v>4.44</v>
      </c>
      <c r="K1560" s="391">
        <v>28732.0</v>
      </c>
      <c r="L1560" s="391">
        <v>589771.0</v>
      </c>
      <c r="M1560" s="391">
        <v>0.7295</v>
      </c>
      <c r="N1560" s="38">
        <v>1.7251</v>
      </c>
    </row>
    <row r="1561">
      <c r="A1561" s="389" t="s">
        <v>1972</v>
      </c>
      <c r="B1561" s="389" t="s">
        <v>137</v>
      </c>
      <c r="C1561" s="389" t="s">
        <v>10</v>
      </c>
      <c r="D1561" s="389" t="s">
        <v>591</v>
      </c>
      <c r="E1561" s="390" t="s">
        <v>363</v>
      </c>
      <c r="F1561" s="391">
        <v>39384.0</v>
      </c>
      <c r="G1561" s="391">
        <v>7814.0</v>
      </c>
      <c r="H1561" s="391">
        <v>19.84</v>
      </c>
      <c r="I1561" s="391">
        <v>4.57</v>
      </c>
      <c r="J1561" s="391">
        <v>3.05</v>
      </c>
      <c r="K1561" s="391">
        <v>26943.0</v>
      </c>
      <c r="L1561" s="391">
        <v>589771.0</v>
      </c>
      <c r="M1561" s="391">
        <v>0.6841</v>
      </c>
      <c r="N1561" s="38">
        <v>3.448</v>
      </c>
    </row>
    <row r="1562">
      <c r="A1562" s="389" t="s">
        <v>1972</v>
      </c>
      <c r="B1562" s="389" t="s">
        <v>137</v>
      </c>
      <c r="C1562" s="389" t="s">
        <v>10</v>
      </c>
      <c r="D1562" s="389" t="s">
        <v>591</v>
      </c>
      <c r="E1562" s="390" t="s">
        <v>108</v>
      </c>
      <c r="F1562" s="391">
        <v>39384.0</v>
      </c>
      <c r="G1562" s="391">
        <v>9338.0</v>
      </c>
      <c r="H1562" s="391">
        <v>23.71</v>
      </c>
      <c r="I1562" s="391">
        <v>3.87</v>
      </c>
      <c r="J1562" s="391">
        <v>3.63</v>
      </c>
      <c r="K1562" s="391">
        <v>22808.0</v>
      </c>
      <c r="L1562" s="391">
        <v>589771.0</v>
      </c>
      <c r="M1562" s="391">
        <v>0.5791</v>
      </c>
      <c r="N1562" s="38">
        <v>2.4425</v>
      </c>
    </row>
    <row r="1563">
      <c r="A1563" s="389" t="s">
        <v>1972</v>
      </c>
      <c r="B1563" s="389" t="s">
        <v>137</v>
      </c>
      <c r="C1563" s="389" t="s">
        <v>10</v>
      </c>
      <c r="D1563" s="389" t="s">
        <v>591</v>
      </c>
      <c r="E1563" s="390" t="s">
        <v>45</v>
      </c>
      <c r="F1563" s="391">
        <v>39384.0</v>
      </c>
      <c r="G1563" s="391">
        <v>12068.0</v>
      </c>
      <c r="H1563" s="391">
        <v>30.64</v>
      </c>
      <c r="I1563" s="391">
        <v>3.32</v>
      </c>
      <c r="J1563" s="391">
        <v>3.15</v>
      </c>
      <c r="K1563" s="391">
        <v>19578.0</v>
      </c>
      <c r="L1563" s="391">
        <v>589771.0</v>
      </c>
      <c r="M1563" s="391">
        <v>0.4971</v>
      </c>
      <c r="N1563" s="38">
        <v>1.6223</v>
      </c>
    </row>
    <row r="1564">
      <c r="A1564" s="389" t="s">
        <v>1972</v>
      </c>
      <c r="B1564" s="389" t="s">
        <v>137</v>
      </c>
      <c r="C1564" s="389" t="s">
        <v>10</v>
      </c>
      <c r="D1564" s="389" t="s">
        <v>591</v>
      </c>
      <c r="E1564" s="390" t="s">
        <v>37</v>
      </c>
      <c r="F1564" s="391">
        <v>39384.0</v>
      </c>
      <c r="G1564" s="391">
        <v>10598.0</v>
      </c>
      <c r="H1564" s="391">
        <v>26.91</v>
      </c>
      <c r="I1564" s="391">
        <v>3.06</v>
      </c>
      <c r="J1564" s="391">
        <v>3.42</v>
      </c>
      <c r="K1564" s="391">
        <v>18050.0</v>
      </c>
      <c r="L1564" s="391">
        <v>589771.0</v>
      </c>
      <c r="M1564" s="391">
        <v>0.4583</v>
      </c>
      <c r="N1564" s="38">
        <v>1.7032</v>
      </c>
    </row>
    <row r="1565">
      <c r="A1565" s="389" t="s">
        <v>1972</v>
      </c>
      <c r="B1565" s="389" t="s">
        <v>137</v>
      </c>
      <c r="C1565" s="389" t="s">
        <v>10</v>
      </c>
      <c r="D1565" s="389" t="s">
        <v>591</v>
      </c>
      <c r="E1565" s="390" t="s">
        <v>284</v>
      </c>
      <c r="F1565" s="391">
        <v>39384.0</v>
      </c>
      <c r="G1565" s="391">
        <v>10412.0</v>
      </c>
      <c r="H1565" s="391">
        <v>26.44</v>
      </c>
      <c r="I1565" s="391">
        <v>2.47</v>
      </c>
      <c r="J1565" s="391">
        <v>2.24</v>
      </c>
      <c r="K1565" s="391">
        <v>14545.0</v>
      </c>
      <c r="L1565" s="391">
        <v>589771.0</v>
      </c>
      <c r="M1565" s="391">
        <v>0.3693</v>
      </c>
      <c r="N1565" s="38">
        <v>1.3969</v>
      </c>
    </row>
    <row r="1566">
      <c r="A1566" s="389" t="s">
        <v>1972</v>
      </c>
      <c r="B1566" s="389" t="s">
        <v>137</v>
      </c>
      <c r="C1566" s="389" t="s">
        <v>10</v>
      </c>
      <c r="D1566" s="389" t="s">
        <v>591</v>
      </c>
      <c r="E1566" s="390" t="s">
        <v>282</v>
      </c>
      <c r="F1566" s="391">
        <v>39384.0</v>
      </c>
      <c r="G1566" s="391">
        <v>9709.0</v>
      </c>
      <c r="H1566" s="391">
        <v>24.65</v>
      </c>
      <c r="I1566" s="391">
        <v>2.2</v>
      </c>
      <c r="J1566" s="391">
        <v>2.1</v>
      </c>
      <c r="K1566" s="391">
        <v>12948.0</v>
      </c>
      <c r="L1566" s="391">
        <v>589771.0</v>
      </c>
      <c r="M1566" s="391">
        <v>0.3288</v>
      </c>
      <c r="N1566" s="38">
        <v>1.3336</v>
      </c>
    </row>
    <row r="1567">
      <c r="A1567" s="389" t="s">
        <v>1972</v>
      </c>
      <c r="B1567" s="389" t="s">
        <v>137</v>
      </c>
      <c r="C1567" s="389" t="s">
        <v>10</v>
      </c>
      <c r="D1567" s="389" t="s">
        <v>591</v>
      </c>
      <c r="E1567" s="390" t="s">
        <v>283</v>
      </c>
      <c r="F1567" s="391">
        <v>39384.0</v>
      </c>
      <c r="G1567" s="391">
        <v>9599.0</v>
      </c>
      <c r="H1567" s="391">
        <v>24.37</v>
      </c>
      <c r="I1567" s="391">
        <v>2.16</v>
      </c>
      <c r="J1567" s="391">
        <v>2.18</v>
      </c>
      <c r="K1567" s="391">
        <v>12716.0</v>
      </c>
      <c r="L1567" s="391">
        <v>589771.0</v>
      </c>
      <c r="M1567" s="391">
        <v>0.3229</v>
      </c>
      <c r="N1567" s="38">
        <v>1.3247</v>
      </c>
    </row>
    <row r="1568">
      <c r="A1568" s="389" t="s">
        <v>1972</v>
      </c>
      <c r="B1568" s="389" t="s">
        <v>137</v>
      </c>
      <c r="C1568" s="389" t="s">
        <v>10</v>
      </c>
      <c r="D1568" s="389" t="s">
        <v>591</v>
      </c>
      <c r="E1568" s="390" t="s">
        <v>35</v>
      </c>
      <c r="F1568" s="391">
        <v>39384.0</v>
      </c>
      <c r="G1568" s="391">
        <v>3968.0</v>
      </c>
      <c r="H1568" s="391">
        <v>10.08</v>
      </c>
      <c r="I1568" s="391">
        <v>2.1</v>
      </c>
      <c r="J1568" s="391">
        <v>1.5</v>
      </c>
      <c r="K1568" s="391">
        <v>12399.0</v>
      </c>
      <c r="L1568" s="391">
        <v>589771.0</v>
      </c>
      <c r="M1568" s="391">
        <v>0.3148</v>
      </c>
      <c r="N1568" s="38">
        <v>3.1247</v>
      </c>
    </row>
    <row r="1569">
      <c r="A1569" s="389" t="s">
        <v>1972</v>
      </c>
      <c r="B1569" s="389" t="s">
        <v>137</v>
      </c>
      <c r="C1569" s="389" t="s">
        <v>10</v>
      </c>
      <c r="D1569" s="389" t="s">
        <v>591</v>
      </c>
      <c r="E1569" s="390" t="s">
        <v>38</v>
      </c>
      <c r="F1569" s="391">
        <v>39384.0</v>
      </c>
      <c r="G1569" s="391">
        <v>4116.0</v>
      </c>
      <c r="H1569" s="391">
        <v>10.45</v>
      </c>
      <c r="I1569" s="391">
        <v>0.77</v>
      </c>
      <c r="J1569" s="391">
        <v>0.62</v>
      </c>
      <c r="K1569" s="391">
        <v>4554.0</v>
      </c>
      <c r="L1569" s="391">
        <v>589771.0</v>
      </c>
      <c r="M1569" s="391">
        <v>0.1156</v>
      </c>
      <c r="N1569" s="38">
        <v>1.1064</v>
      </c>
    </row>
    <row r="1570">
      <c r="A1570" s="389" t="s">
        <v>1972</v>
      </c>
      <c r="B1570" s="389" t="s">
        <v>137</v>
      </c>
      <c r="C1570" s="389" t="s">
        <v>10</v>
      </c>
      <c r="D1570" s="389" t="s">
        <v>591</v>
      </c>
      <c r="E1570" s="390" t="s">
        <v>30</v>
      </c>
      <c r="F1570" s="391">
        <v>39384.0</v>
      </c>
      <c r="G1570" s="391">
        <v>2972.0</v>
      </c>
      <c r="H1570" s="391">
        <v>7.55</v>
      </c>
      <c r="I1570" s="391">
        <v>0.51</v>
      </c>
      <c r="J1570" s="391">
        <v>0.26</v>
      </c>
      <c r="K1570" s="391">
        <v>3013.0</v>
      </c>
      <c r="L1570" s="391">
        <v>589771.0</v>
      </c>
      <c r="M1570" s="391">
        <v>0.0765</v>
      </c>
      <c r="N1570" s="38">
        <v>1.0138</v>
      </c>
    </row>
    <row r="1571">
      <c r="A1571" s="389" t="s">
        <v>1972</v>
      </c>
      <c r="B1571" s="389" t="s">
        <v>137</v>
      </c>
      <c r="C1571" s="389" t="s">
        <v>10</v>
      </c>
      <c r="D1571" s="389" t="s">
        <v>591</v>
      </c>
      <c r="E1571" s="390" t="s">
        <v>27</v>
      </c>
      <c r="F1571" s="391">
        <v>39384.0</v>
      </c>
      <c r="G1571" s="391">
        <v>2438.0</v>
      </c>
      <c r="H1571" s="391">
        <v>6.19</v>
      </c>
      <c r="I1571" s="391">
        <v>0.42</v>
      </c>
      <c r="J1571" s="391">
        <v>0.4</v>
      </c>
      <c r="K1571" s="391">
        <v>2490.0</v>
      </c>
      <c r="L1571" s="391">
        <v>589771.0</v>
      </c>
      <c r="M1571" s="391">
        <v>0.0632</v>
      </c>
      <c r="N1571" s="38">
        <v>1.0213</v>
      </c>
    </row>
    <row r="1572">
      <c r="A1572" s="389" t="s">
        <v>1972</v>
      </c>
      <c r="B1572" s="389" t="s">
        <v>137</v>
      </c>
      <c r="C1572" s="389" t="s">
        <v>10</v>
      </c>
      <c r="D1572" s="389" t="s">
        <v>591</v>
      </c>
      <c r="E1572" s="390" t="s">
        <v>163</v>
      </c>
      <c r="F1572" s="391">
        <v>39384.0</v>
      </c>
      <c r="G1572" s="391">
        <v>1319.0</v>
      </c>
      <c r="H1572" s="391">
        <v>3.35</v>
      </c>
      <c r="I1572" s="391">
        <v>0.23</v>
      </c>
      <c r="J1572" s="391">
        <v>0.08</v>
      </c>
      <c r="K1572" s="391">
        <v>1347.0</v>
      </c>
      <c r="L1572" s="391">
        <v>589771.0</v>
      </c>
      <c r="M1572" s="391">
        <v>0.0342</v>
      </c>
      <c r="N1572" s="38">
        <v>1.0212</v>
      </c>
    </row>
    <row r="1573">
      <c r="A1573" s="389" t="s">
        <v>1972</v>
      </c>
      <c r="B1573" s="389" t="s">
        <v>137</v>
      </c>
      <c r="C1573" s="389" t="s">
        <v>10</v>
      </c>
      <c r="D1573" s="389" t="s">
        <v>591</v>
      </c>
      <c r="E1573" s="390" t="s">
        <v>367</v>
      </c>
      <c r="F1573" s="391">
        <v>39384.0</v>
      </c>
      <c r="G1573" s="391">
        <v>4.0</v>
      </c>
      <c r="H1573" s="391">
        <v>0.01</v>
      </c>
      <c r="I1573" s="391">
        <v>0.0</v>
      </c>
      <c r="J1573" s="391">
        <v>0.01</v>
      </c>
      <c r="K1573" s="391">
        <v>20.0</v>
      </c>
      <c r="L1573" s="391">
        <v>589771.0</v>
      </c>
      <c r="M1573" s="391">
        <v>5.0E-4</v>
      </c>
      <c r="N1573" s="38">
        <v>5.0</v>
      </c>
    </row>
    <row r="1574">
      <c r="A1574" s="389" t="s">
        <v>1972</v>
      </c>
      <c r="B1574" s="389" t="s">
        <v>137</v>
      </c>
      <c r="C1574" s="389" t="s">
        <v>9</v>
      </c>
      <c r="D1574" s="389" t="s">
        <v>591</v>
      </c>
      <c r="E1574" s="390" t="s">
        <v>370</v>
      </c>
      <c r="F1574" s="391">
        <v>39014.0</v>
      </c>
      <c r="G1574" s="391">
        <v>35069.0</v>
      </c>
      <c r="H1574" s="391">
        <v>89.89</v>
      </c>
      <c r="I1574" s="391">
        <v>39.07</v>
      </c>
      <c r="J1574" s="391">
        <v>40.33</v>
      </c>
      <c r="K1574" s="391">
        <v>230889.0</v>
      </c>
      <c r="L1574" s="391">
        <v>590943.0</v>
      </c>
      <c r="M1574" s="391">
        <v>5.9181</v>
      </c>
      <c r="N1574" s="38">
        <v>6.5838</v>
      </c>
    </row>
    <row r="1575">
      <c r="A1575" s="389" t="s">
        <v>1972</v>
      </c>
      <c r="B1575" s="389" t="s">
        <v>137</v>
      </c>
      <c r="C1575" s="389" t="s">
        <v>9</v>
      </c>
      <c r="D1575" s="389" t="s">
        <v>591</v>
      </c>
      <c r="E1575" s="390" t="s">
        <v>365</v>
      </c>
      <c r="F1575" s="391">
        <v>39014.0</v>
      </c>
      <c r="G1575" s="391">
        <v>24000.0</v>
      </c>
      <c r="H1575" s="391">
        <v>61.52</v>
      </c>
      <c r="I1575" s="391">
        <v>9.19</v>
      </c>
      <c r="J1575" s="391">
        <v>11.12</v>
      </c>
      <c r="K1575" s="391">
        <v>54309.0</v>
      </c>
      <c r="L1575" s="391">
        <v>590943.0</v>
      </c>
      <c r="M1575" s="391">
        <v>1.392</v>
      </c>
      <c r="N1575" s="38">
        <v>2.2629</v>
      </c>
    </row>
    <row r="1576">
      <c r="A1576" s="389" t="s">
        <v>1972</v>
      </c>
      <c r="B1576" s="389" t="s">
        <v>137</v>
      </c>
      <c r="C1576" s="389" t="s">
        <v>9</v>
      </c>
      <c r="D1576" s="389" t="s">
        <v>591</v>
      </c>
      <c r="E1576" s="390" t="s">
        <v>44</v>
      </c>
      <c r="F1576" s="391">
        <v>39014.0</v>
      </c>
      <c r="G1576" s="391">
        <v>17969.0</v>
      </c>
      <c r="H1576" s="391">
        <v>46.06</v>
      </c>
      <c r="I1576" s="391">
        <v>7.31</v>
      </c>
      <c r="J1576" s="391">
        <v>7.47</v>
      </c>
      <c r="K1576" s="391">
        <v>43209.0</v>
      </c>
      <c r="L1576" s="391">
        <v>590943.0</v>
      </c>
      <c r="M1576" s="391">
        <v>1.1075</v>
      </c>
      <c r="N1576" s="38">
        <v>2.4046</v>
      </c>
    </row>
    <row r="1577">
      <c r="A1577" s="389" t="s">
        <v>1972</v>
      </c>
      <c r="B1577" s="389" t="s">
        <v>137</v>
      </c>
      <c r="C1577" s="389" t="s">
        <v>9</v>
      </c>
      <c r="D1577" s="389" t="s">
        <v>591</v>
      </c>
      <c r="E1577" s="390" t="s">
        <v>366</v>
      </c>
      <c r="F1577" s="391">
        <v>39014.0</v>
      </c>
      <c r="G1577" s="391">
        <v>18789.0</v>
      </c>
      <c r="H1577" s="391">
        <v>48.16</v>
      </c>
      <c r="I1577" s="391">
        <v>6.73</v>
      </c>
      <c r="J1577" s="391">
        <v>6.34</v>
      </c>
      <c r="K1577" s="391">
        <v>39798.0</v>
      </c>
      <c r="L1577" s="391">
        <v>590943.0</v>
      </c>
      <c r="M1577" s="391">
        <v>1.0201</v>
      </c>
      <c r="N1577" s="38">
        <v>2.1182</v>
      </c>
    </row>
    <row r="1578">
      <c r="A1578" s="389" t="s">
        <v>1972</v>
      </c>
      <c r="B1578" s="389" t="s">
        <v>137</v>
      </c>
      <c r="C1578" s="389" t="s">
        <v>9</v>
      </c>
      <c r="D1578" s="389" t="s">
        <v>591</v>
      </c>
      <c r="E1578" s="390" t="s">
        <v>367</v>
      </c>
      <c r="F1578" s="391">
        <v>39014.0</v>
      </c>
      <c r="G1578" s="391">
        <v>10838.0</v>
      </c>
      <c r="H1578" s="391">
        <v>27.78</v>
      </c>
      <c r="I1578" s="391">
        <v>6.02</v>
      </c>
      <c r="J1578" s="391">
        <v>5.37</v>
      </c>
      <c r="K1578" s="391">
        <v>35575.0</v>
      </c>
      <c r="L1578" s="391">
        <v>590943.0</v>
      </c>
      <c r="M1578" s="391">
        <v>0.9119</v>
      </c>
      <c r="N1578" s="38">
        <v>3.2824</v>
      </c>
    </row>
    <row r="1579">
      <c r="A1579" s="389" t="s">
        <v>1972</v>
      </c>
      <c r="B1579" s="389" t="s">
        <v>137</v>
      </c>
      <c r="C1579" s="389" t="s">
        <v>9</v>
      </c>
      <c r="D1579" s="389" t="s">
        <v>591</v>
      </c>
      <c r="E1579" s="390" t="s">
        <v>39</v>
      </c>
      <c r="F1579" s="391">
        <v>39014.0</v>
      </c>
      <c r="G1579" s="391">
        <v>16521.0</v>
      </c>
      <c r="H1579" s="391">
        <v>42.35</v>
      </c>
      <c r="I1579" s="391">
        <v>4.77</v>
      </c>
      <c r="J1579" s="391">
        <v>4.38</v>
      </c>
      <c r="K1579" s="391">
        <v>28172.0</v>
      </c>
      <c r="L1579" s="391">
        <v>590943.0</v>
      </c>
      <c r="M1579" s="391">
        <v>0.7221</v>
      </c>
      <c r="N1579" s="38">
        <v>1.7052</v>
      </c>
    </row>
    <row r="1580">
      <c r="A1580" s="389" t="s">
        <v>1972</v>
      </c>
      <c r="B1580" s="389" t="s">
        <v>137</v>
      </c>
      <c r="C1580" s="389" t="s">
        <v>9</v>
      </c>
      <c r="D1580" s="389" t="s">
        <v>591</v>
      </c>
      <c r="E1580" s="390" t="s">
        <v>363</v>
      </c>
      <c r="F1580" s="391">
        <v>39014.0</v>
      </c>
      <c r="G1580" s="391">
        <v>7823.0</v>
      </c>
      <c r="H1580" s="391">
        <v>20.05</v>
      </c>
      <c r="I1580" s="391">
        <v>4.63</v>
      </c>
      <c r="J1580" s="391">
        <v>3.07</v>
      </c>
      <c r="K1580" s="391">
        <v>27334.0</v>
      </c>
      <c r="L1580" s="391">
        <v>590943.0</v>
      </c>
      <c r="M1580" s="391">
        <v>0.7006</v>
      </c>
      <c r="N1580" s="38">
        <v>3.4941</v>
      </c>
    </row>
    <row r="1581">
      <c r="A1581" s="389" t="s">
        <v>1972</v>
      </c>
      <c r="B1581" s="389" t="s">
        <v>137</v>
      </c>
      <c r="C1581" s="389" t="s">
        <v>9</v>
      </c>
      <c r="D1581" s="389" t="s">
        <v>591</v>
      </c>
      <c r="E1581" s="390" t="s">
        <v>108</v>
      </c>
      <c r="F1581" s="391">
        <v>39014.0</v>
      </c>
      <c r="G1581" s="391">
        <v>6741.0</v>
      </c>
      <c r="H1581" s="391">
        <v>17.28</v>
      </c>
      <c r="I1581" s="391">
        <v>3.69</v>
      </c>
      <c r="J1581" s="391">
        <v>2.06</v>
      </c>
      <c r="K1581" s="391">
        <v>21788.0</v>
      </c>
      <c r="L1581" s="391">
        <v>590943.0</v>
      </c>
      <c r="M1581" s="391">
        <v>0.5585</v>
      </c>
      <c r="N1581" s="38">
        <v>3.2322</v>
      </c>
    </row>
    <row r="1582">
      <c r="A1582" s="389" t="s">
        <v>1972</v>
      </c>
      <c r="B1582" s="389" t="s">
        <v>137</v>
      </c>
      <c r="C1582" s="389" t="s">
        <v>9</v>
      </c>
      <c r="D1582" s="389" t="s">
        <v>591</v>
      </c>
      <c r="E1582" s="390" t="s">
        <v>35</v>
      </c>
      <c r="F1582" s="391">
        <v>39014.0</v>
      </c>
      <c r="G1582" s="391">
        <v>10345.0</v>
      </c>
      <c r="H1582" s="391">
        <v>26.52</v>
      </c>
      <c r="I1582" s="391">
        <v>3.55</v>
      </c>
      <c r="J1582" s="391">
        <v>3.66</v>
      </c>
      <c r="K1582" s="391">
        <v>20972.0</v>
      </c>
      <c r="L1582" s="391">
        <v>590943.0</v>
      </c>
      <c r="M1582" s="391">
        <v>0.5376</v>
      </c>
      <c r="N1582" s="38">
        <v>2.0273</v>
      </c>
    </row>
    <row r="1583">
      <c r="A1583" s="389" t="s">
        <v>1972</v>
      </c>
      <c r="B1583" s="389" t="s">
        <v>137</v>
      </c>
      <c r="C1583" s="389" t="s">
        <v>9</v>
      </c>
      <c r="D1583" s="389" t="s">
        <v>591</v>
      </c>
      <c r="E1583" s="390" t="s">
        <v>371</v>
      </c>
      <c r="F1583" s="391">
        <v>39014.0</v>
      </c>
      <c r="G1583" s="391">
        <v>13791.0</v>
      </c>
      <c r="H1583" s="391">
        <v>35.35</v>
      </c>
      <c r="I1583" s="391">
        <v>2.79</v>
      </c>
      <c r="J1583" s="391">
        <v>3.34</v>
      </c>
      <c r="K1583" s="391">
        <v>16466.0</v>
      </c>
      <c r="L1583" s="391">
        <v>590943.0</v>
      </c>
      <c r="M1583" s="391">
        <v>0.4221</v>
      </c>
      <c r="N1583" s="38">
        <v>1.194</v>
      </c>
    </row>
    <row r="1584">
      <c r="A1584" s="389" t="s">
        <v>1972</v>
      </c>
      <c r="B1584" s="389" t="s">
        <v>137</v>
      </c>
      <c r="C1584" s="389" t="s">
        <v>9</v>
      </c>
      <c r="D1584" s="389" t="s">
        <v>591</v>
      </c>
      <c r="E1584" s="390" t="s">
        <v>369</v>
      </c>
      <c r="F1584" s="391">
        <v>39014.0</v>
      </c>
      <c r="G1584" s="391">
        <v>11345.0</v>
      </c>
      <c r="H1584" s="391">
        <v>29.08</v>
      </c>
      <c r="I1584" s="391">
        <v>2.75</v>
      </c>
      <c r="J1584" s="391">
        <v>2.87</v>
      </c>
      <c r="K1584" s="391">
        <v>16262.0</v>
      </c>
      <c r="L1584" s="391">
        <v>590943.0</v>
      </c>
      <c r="M1584" s="391">
        <v>0.4168</v>
      </c>
      <c r="N1584" s="38">
        <v>1.4334</v>
      </c>
    </row>
    <row r="1585">
      <c r="A1585" s="389" t="s">
        <v>1972</v>
      </c>
      <c r="B1585" s="389" t="s">
        <v>137</v>
      </c>
      <c r="C1585" s="389" t="s">
        <v>9</v>
      </c>
      <c r="D1585" s="389" t="s">
        <v>591</v>
      </c>
      <c r="E1585" s="390" t="s">
        <v>45</v>
      </c>
      <c r="F1585" s="391">
        <v>39014.0</v>
      </c>
      <c r="G1585" s="391">
        <v>9491.0</v>
      </c>
      <c r="H1585" s="391">
        <v>24.33</v>
      </c>
      <c r="I1585" s="391">
        <v>2.46</v>
      </c>
      <c r="J1585" s="391">
        <v>2.41</v>
      </c>
      <c r="K1585" s="391">
        <v>14515.0</v>
      </c>
      <c r="L1585" s="391">
        <v>590943.0</v>
      </c>
      <c r="M1585" s="391">
        <v>0.372</v>
      </c>
      <c r="N1585" s="38">
        <v>1.5293</v>
      </c>
    </row>
    <row r="1586">
      <c r="A1586" s="389" t="s">
        <v>1972</v>
      </c>
      <c r="B1586" s="389" t="s">
        <v>137</v>
      </c>
      <c r="C1586" s="389" t="s">
        <v>9</v>
      </c>
      <c r="D1586" s="389" t="s">
        <v>591</v>
      </c>
      <c r="E1586" s="390" t="s">
        <v>368</v>
      </c>
      <c r="F1586" s="391">
        <v>39014.0</v>
      </c>
      <c r="G1586" s="391">
        <v>8336.0</v>
      </c>
      <c r="H1586" s="391">
        <v>21.37</v>
      </c>
      <c r="I1586" s="391">
        <v>1.93</v>
      </c>
      <c r="J1586" s="391">
        <v>1.32</v>
      </c>
      <c r="K1586" s="391">
        <v>11401.0</v>
      </c>
      <c r="L1586" s="391">
        <v>590943.0</v>
      </c>
      <c r="M1586" s="391">
        <v>0.2922</v>
      </c>
      <c r="N1586" s="38">
        <v>1.3677</v>
      </c>
    </row>
    <row r="1587">
      <c r="A1587" s="389" t="s">
        <v>1972</v>
      </c>
      <c r="B1587" s="389" t="s">
        <v>137</v>
      </c>
      <c r="C1587" s="389" t="s">
        <v>9</v>
      </c>
      <c r="D1587" s="389" t="s">
        <v>591</v>
      </c>
      <c r="E1587" s="390" t="s">
        <v>37</v>
      </c>
      <c r="F1587" s="391">
        <v>39014.0</v>
      </c>
      <c r="G1587" s="391">
        <v>7030.0</v>
      </c>
      <c r="H1587" s="391">
        <v>18.02</v>
      </c>
      <c r="I1587" s="391">
        <v>1.6</v>
      </c>
      <c r="J1587" s="391">
        <v>1.95</v>
      </c>
      <c r="K1587" s="391">
        <v>9461.0</v>
      </c>
      <c r="L1587" s="391">
        <v>590943.0</v>
      </c>
      <c r="M1587" s="391">
        <v>0.2425</v>
      </c>
      <c r="N1587" s="38">
        <v>1.3458</v>
      </c>
    </row>
    <row r="1588">
      <c r="A1588" s="389" t="s">
        <v>1972</v>
      </c>
      <c r="B1588" s="389" t="s">
        <v>137</v>
      </c>
      <c r="C1588" s="389" t="s">
        <v>9</v>
      </c>
      <c r="D1588" s="389" t="s">
        <v>591</v>
      </c>
      <c r="E1588" s="390" t="s">
        <v>284</v>
      </c>
      <c r="F1588" s="391">
        <v>39014.0</v>
      </c>
      <c r="G1588" s="391">
        <v>5659.0</v>
      </c>
      <c r="H1588" s="391">
        <v>14.51</v>
      </c>
      <c r="I1588" s="391">
        <v>1.14</v>
      </c>
      <c r="J1588" s="391">
        <v>1.45</v>
      </c>
      <c r="K1588" s="391">
        <v>6719.0</v>
      </c>
      <c r="L1588" s="391">
        <v>590943.0</v>
      </c>
      <c r="M1588" s="391">
        <v>0.1722</v>
      </c>
      <c r="N1588" s="38">
        <v>1.1873</v>
      </c>
    </row>
    <row r="1589">
      <c r="A1589" s="389" t="s">
        <v>1972</v>
      </c>
      <c r="B1589" s="389" t="s">
        <v>137</v>
      </c>
      <c r="C1589" s="389" t="s">
        <v>9</v>
      </c>
      <c r="D1589" s="389" t="s">
        <v>591</v>
      </c>
      <c r="E1589" s="390" t="s">
        <v>282</v>
      </c>
      <c r="F1589" s="391">
        <v>39014.0</v>
      </c>
      <c r="G1589" s="391">
        <v>3799.0</v>
      </c>
      <c r="H1589" s="391">
        <v>9.74</v>
      </c>
      <c r="I1589" s="391">
        <v>0.72</v>
      </c>
      <c r="J1589" s="391">
        <v>1.02</v>
      </c>
      <c r="K1589" s="391">
        <v>4238.0</v>
      </c>
      <c r="L1589" s="391">
        <v>590943.0</v>
      </c>
      <c r="M1589" s="391">
        <v>0.1086</v>
      </c>
      <c r="N1589" s="38">
        <v>1.1156</v>
      </c>
    </row>
    <row r="1590">
      <c r="A1590" s="389" t="s">
        <v>1972</v>
      </c>
      <c r="B1590" s="389" t="s">
        <v>137</v>
      </c>
      <c r="C1590" s="389" t="s">
        <v>9</v>
      </c>
      <c r="D1590" s="389" t="s">
        <v>591</v>
      </c>
      <c r="E1590" s="390" t="s">
        <v>283</v>
      </c>
      <c r="F1590" s="391">
        <v>39014.0</v>
      </c>
      <c r="G1590" s="391">
        <v>3588.0</v>
      </c>
      <c r="H1590" s="391">
        <v>9.2</v>
      </c>
      <c r="I1590" s="391">
        <v>0.67</v>
      </c>
      <c r="J1590" s="391">
        <v>1.0</v>
      </c>
      <c r="K1590" s="391">
        <v>3987.0</v>
      </c>
      <c r="L1590" s="391">
        <v>590943.0</v>
      </c>
      <c r="M1590" s="391">
        <v>0.1022</v>
      </c>
      <c r="N1590" s="38">
        <v>1.1112</v>
      </c>
    </row>
    <row r="1591">
      <c r="A1591" s="389" t="s">
        <v>1972</v>
      </c>
      <c r="B1591" s="389" t="s">
        <v>137</v>
      </c>
      <c r="C1591" s="389" t="s">
        <v>9</v>
      </c>
      <c r="D1591" s="389" t="s">
        <v>591</v>
      </c>
      <c r="E1591" s="390" t="s">
        <v>163</v>
      </c>
      <c r="F1591" s="391">
        <v>39014.0</v>
      </c>
      <c r="G1591" s="391">
        <v>2573.0</v>
      </c>
      <c r="H1591" s="391">
        <v>6.6</v>
      </c>
      <c r="I1591" s="391">
        <v>0.45</v>
      </c>
      <c r="J1591" s="391">
        <v>0.21</v>
      </c>
      <c r="K1591" s="391">
        <v>2631.0</v>
      </c>
      <c r="L1591" s="391">
        <v>590943.0</v>
      </c>
      <c r="M1591" s="391">
        <v>0.0674</v>
      </c>
      <c r="N1591" s="38">
        <v>1.0225</v>
      </c>
    </row>
    <row r="1592">
      <c r="A1592" s="389" t="s">
        <v>1972</v>
      </c>
      <c r="B1592" s="389" t="s">
        <v>137</v>
      </c>
      <c r="C1592" s="389" t="s">
        <v>9</v>
      </c>
      <c r="D1592" s="389" t="s">
        <v>591</v>
      </c>
      <c r="E1592" s="390" t="s">
        <v>38</v>
      </c>
      <c r="F1592" s="391">
        <v>39014.0</v>
      </c>
      <c r="G1592" s="391">
        <v>2358.0</v>
      </c>
      <c r="H1592" s="391">
        <v>6.04</v>
      </c>
      <c r="I1592" s="391">
        <v>0.42</v>
      </c>
      <c r="J1592" s="391">
        <v>0.47</v>
      </c>
      <c r="K1592" s="391">
        <v>2478.0</v>
      </c>
      <c r="L1592" s="391">
        <v>590943.0</v>
      </c>
      <c r="M1592" s="391">
        <v>0.0635</v>
      </c>
      <c r="N1592" s="38">
        <v>1.0509</v>
      </c>
    </row>
    <row r="1593">
      <c r="A1593" s="389" t="s">
        <v>1972</v>
      </c>
      <c r="B1593" s="389" t="s">
        <v>137</v>
      </c>
      <c r="C1593" s="389" t="s">
        <v>9</v>
      </c>
      <c r="D1593" s="389" t="s">
        <v>591</v>
      </c>
      <c r="E1593" s="390" t="s">
        <v>27</v>
      </c>
      <c r="F1593" s="391">
        <v>39014.0</v>
      </c>
      <c r="G1593" s="391">
        <v>729.0</v>
      </c>
      <c r="H1593" s="391">
        <v>1.87</v>
      </c>
      <c r="I1593" s="391">
        <v>0.13</v>
      </c>
      <c r="J1593" s="391">
        <v>0.17</v>
      </c>
      <c r="K1593" s="391">
        <v>739.0</v>
      </c>
      <c r="L1593" s="391">
        <v>590943.0</v>
      </c>
      <c r="M1593" s="391">
        <v>0.0189</v>
      </c>
      <c r="N1593" s="38">
        <v>1.0137</v>
      </c>
    </row>
    <row r="1594">
      <c r="A1594" s="389" t="s">
        <v>1972</v>
      </c>
      <c r="B1594" s="389" t="s">
        <v>137</v>
      </c>
      <c r="C1594" s="389" t="s">
        <v>358</v>
      </c>
      <c r="D1594" s="389" t="s">
        <v>1968</v>
      </c>
      <c r="E1594" s="390" t="s">
        <v>368</v>
      </c>
      <c r="F1594" s="391">
        <v>21541.0</v>
      </c>
      <c r="G1594" s="391">
        <v>15296.0</v>
      </c>
      <c r="H1594" s="391">
        <v>71.01</v>
      </c>
      <c r="I1594" s="391">
        <v>39.54</v>
      </c>
      <c r="J1594" s="391">
        <v>48.64</v>
      </c>
      <c r="K1594" s="391">
        <v>305785.0</v>
      </c>
      <c r="L1594" s="391">
        <v>773320.0</v>
      </c>
      <c r="M1594" s="391">
        <v>14.1955</v>
      </c>
      <c r="N1594" s="38">
        <v>19.9912</v>
      </c>
    </row>
    <row r="1595">
      <c r="A1595" s="389" t="s">
        <v>1972</v>
      </c>
      <c r="B1595" s="389" t="s">
        <v>137</v>
      </c>
      <c r="C1595" s="389" t="s">
        <v>358</v>
      </c>
      <c r="D1595" s="389" t="s">
        <v>1968</v>
      </c>
      <c r="E1595" s="390" t="s">
        <v>108</v>
      </c>
      <c r="F1595" s="391">
        <v>21541.0</v>
      </c>
      <c r="G1595" s="391">
        <v>6486.0</v>
      </c>
      <c r="H1595" s="391">
        <v>30.11</v>
      </c>
      <c r="I1595" s="391">
        <v>19.68</v>
      </c>
      <c r="J1595" s="391">
        <v>17.38</v>
      </c>
      <c r="K1595" s="391">
        <v>152205.0</v>
      </c>
      <c r="L1595" s="391">
        <v>773320.0</v>
      </c>
      <c r="M1595" s="391">
        <v>7.0658</v>
      </c>
      <c r="N1595" s="38">
        <v>23.4667</v>
      </c>
    </row>
    <row r="1596">
      <c r="A1596" s="389" t="s">
        <v>1972</v>
      </c>
      <c r="B1596" s="389" t="s">
        <v>137</v>
      </c>
      <c r="C1596" s="389" t="s">
        <v>358</v>
      </c>
      <c r="D1596" s="389" t="s">
        <v>1968</v>
      </c>
      <c r="E1596" s="390" t="s">
        <v>366</v>
      </c>
      <c r="F1596" s="391">
        <v>21541.0</v>
      </c>
      <c r="G1596" s="391">
        <v>4052.0</v>
      </c>
      <c r="H1596" s="391">
        <v>18.81</v>
      </c>
      <c r="I1596" s="391">
        <v>16.02</v>
      </c>
      <c r="J1596" s="391">
        <v>8.8</v>
      </c>
      <c r="K1596" s="391">
        <v>123900.0</v>
      </c>
      <c r="L1596" s="391">
        <v>773320.0</v>
      </c>
      <c r="M1596" s="391">
        <v>5.7518</v>
      </c>
      <c r="N1596" s="38">
        <v>30.5775</v>
      </c>
    </row>
    <row r="1597">
      <c r="A1597" s="389" t="s">
        <v>1972</v>
      </c>
      <c r="B1597" s="389" t="s">
        <v>137</v>
      </c>
      <c r="C1597" s="389" t="s">
        <v>358</v>
      </c>
      <c r="D1597" s="389" t="s">
        <v>1968</v>
      </c>
      <c r="E1597" s="390" t="s">
        <v>163</v>
      </c>
      <c r="F1597" s="391">
        <v>21541.0</v>
      </c>
      <c r="G1597" s="391">
        <v>7251.0</v>
      </c>
      <c r="H1597" s="391">
        <v>33.66</v>
      </c>
      <c r="I1597" s="391">
        <v>15.05</v>
      </c>
      <c r="J1597" s="391">
        <v>16.32</v>
      </c>
      <c r="K1597" s="391">
        <v>116400.0</v>
      </c>
      <c r="L1597" s="391">
        <v>773320.0</v>
      </c>
      <c r="M1597" s="391">
        <v>5.4036</v>
      </c>
      <c r="N1597" s="38">
        <v>16.053</v>
      </c>
    </row>
    <row r="1598">
      <c r="A1598" s="389" t="s">
        <v>1972</v>
      </c>
      <c r="B1598" s="389" t="s">
        <v>137</v>
      </c>
      <c r="C1598" s="389" t="s">
        <v>358</v>
      </c>
      <c r="D1598" s="389" t="s">
        <v>1968</v>
      </c>
      <c r="E1598" s="390" t="s">
        <v>30</v>
      </c>
      <c r="F1598" s="391">
        <v>21541.0</v>
      </c>
      <c r="G1598" s="391">
        <v>3696.0</v>
      </c>
      <c r="H1598" s="391">
        <v>17.16</v>
      </c>
      <c r="I1598" s="391">
        <v>7.19</v>
      </c>
      <c r="J1598" s="391">
        <v>6.25</v>
      </c>
      <c r="K1598" s="391">
        <v>55635.0</v>
      </c>
      <c r="L1598" s="391">
        <v>773320.0</v>
      </c>
      <c r="M1598" s="391">
        <v>2.5827</v>
      </c>
      <c r="N1598" s="38">
        <v>15.0528</v>
      </c>
    </row>
    <row r="1599">
      <c r="A1599" s="389" t="s">
        <v>1972</v>
      </c>
      <c r="B1599" s="389" t="s">
        <v>137</v>
      </c>
      <c r="C1599" s="389" t="s">
        <v>358</v>
      </c>
      <c r="D1599" s="389" t="s">
        <v>1968</v>
      </c>
      <c r="E1599" s="390" t="s">
        <v>369</v>
      </c>
      <c r="F1599" s="391">
        <v>21541.0</v>
      </c>
      <c r="G1599" s="391">
        <v>565.0</v>
      </c>
      <c r="H1599" s="391">
        <v>2.62</v>
      </c>
      <c r="I1599" s="391">
        <v>2.37</v>
      </c>
      <c r="J1599" s="391">
        <v>2.31</v>
      </c>
      <c r="K1599" s="391">
        <v>18300.0</v>
      </c>
      <c r="L1599" s="391">
        <v>773320.0</v>
      </c>
      <c r="M1599" s="391">
        <v>0.8495</v>
      </c>
      <c r="N1599" s="38">
        <v>32.3894</v>
      </c>
    </row>
    <row r="1600">
      <c r="A1600" s="389" t="s">
        <v>1972</v>
      </c>
      <c r="B1600" s="389" t="s">
        <v>137</v>
      </c>
      <c r="C1600" s="389" t="s">
        <v>358</v>
      </c>
      <c r="D1600" s="389" t="s">
        <v>1968</v>
      </c>
      <c r="E1600" s="390" t="s">
        <v>371</v>
      </c>
      <c r="F1600" s="391">
        <v>21541.0</v>
      </c>
      <c r="G1600" s="391">
        <v>81.0</v>
      </c>
      <c r="H1600" s="391">
        <v>0.38</v>
      </c>
      <c r="I1600" s="391">
        <v>0.14</v>
      </c>
      <c r="J1600" s="391">
        <v>0.29</v>
      </c>
      <c r="K1600" s="391">
        <v>1095.0</v>
      </c>
      <c r="L1600" s="391">
        <v>773320.0</v>
      </c>
      <c r="M1600" s="391">
        <v>0.0508</v>
      </c>
      <c r="N1600" s="38">
        <v>13.5185</v>
      </c>
    </row>
    <row r="1601">
      <c r="A1601" s="389" t="s">
        <v>1972</v>
      </c>
      <c r="B1601" s="389" t="s">
        <v>137</v>
      </c>
      <c r="C1601" s="389" t="s">
        <v>359</v>
      </c>
      <c r="D1601" s="389" t="s">
        <v>1968</v>
      </c>
      <c r="E1601" s="390" t="s">
        <v>368</v>
      </c>
      <c r="F1601" s="391">
        <v>32458.0</v>
      </c>
      <c r="G1601" s="391">
        <v>18957.0</v>
      </c>
      <c r="H1601" s="391">
        <v>58.4</v>
      </c>
      <c r="I1601" s="391">
        <v>23.82</v>
      </c>
      <c r="J1601" s="391">
        <v>26.67</v>
      </c>
      <c r="K1601" s="391">
        <v>408020.0</v>
      </c>
      <c r="L1601" s="391">
        <v>1712880.0</v>
      </c>
      <c r="M1601" s="391">
        <v>12.5707</v>
      </c>
      <c r="N1601" s="38">
        <v>21.5234</v>
      </c>
    </row>
    <row r="1602">
      <c r="A1602" s="389" t="s">
        <v>1972</v>
      </c>
      <c r="B1602" s="389" t="s">
        <v>137</v>
      </c>
      <c r="C1602" s="389" t="s">
        <v>359</v>
      </c>
      <c r="D1602" s="389" t="s">
        <v>1968</v>
      </c>
      <c r="E1602" s="390" t="s">
        <v>371</v>
      </c>
      <c r="F1602" s="391">
        <v>32458.0</v>
      </c>
      <c r="G1602" s="391">
        <v>17674.0</v>
      </c>
      <c r="H1602" s="391">
        <v>54.45</v>
      </c>
      <c r="I1602" s="391">
        <v>18.13</v>
      </c>
      <c r="J1602" s="391">
        <v>28.34</v>
      </c>
      <c r="K1602" s="391">
        <v>310500.0</v>
      </c>
      <c r="L1602" s="391">
        <v>1712880.0</v>
      </c>
      <c r="M1602" s="391">
        <v>9.5662</v>
      </c>
      <c r="N1602" s="38">
        <v>17.5682</v>
      </c>
    </row>
    <row r="1603">
      <c r="A1603" s="389" t="s">
        <v>1972</v>
      </c>
      <c r="B1603" s="389" t="s">
        <v>137</v>
      </c>
      <c r="C1603" s="389" t="s">
        <v>359</v>
      </c>
      <c r="D1603" s="389" t="s">
        <v>1968</v>
      </c>
      <c r="E1603" s="390" t="s">
        <v>108</v>
      </c>
      <c r="F1603" s="391">
        <v>32458.0</v>
      </c>
      <c r="G1603" s="391">
        <v>8189.0</v>
      </c>
      <c r="H1603" s="391">
        <v>25.23</v>
      </c>
      <c r="I1603" s="391">
        <v>15.52</v>
      </c>
      <c r="J1603" s="391">
        <v>9.67</v>
      </c>
      <c r="K1603" s="391">
        <v>265810.0</v>
      </c>
      <c r="L1603" s="391">
        <v>1712880.0</v>
      </c>
      <c r="M1603" s="391">
        <v>8.1894</v>
      </c>
      <c r="N1603" s="38">
        <v>32.4594</v>
      </c>
    </row>
    <row r="1604">
      <c r="A1604" s="389" t="s">
        <v>1972</v>
      </c>
      <c r="B1604" s="389" t="s">
        <v>137</v>
      </c>
      <c r="C1604" s="389" t="s">
        <v>359</v>
      </c>
      <c r="D1604" s="389" t="s">
        <v>1968</v>
      </c>
      <c r="E1604" s="390" t="s">
        <v>366</v>
      </c>
      <c r="F1604" s="391">
        <v>32458.0</v>
      </c>
      <c r="G1604" s="391">
        <v>4349.0</v>
      </c>
      <c r="H1604" s="391">
        <v>13.4</v>
      </c>
      <c r="I1604" s="391">
        <v>15.5</v>
      </c>
      <c r="J1604" s="391">
        <v>6.17</v>
      </c>
      <c r="K1604" s="391">
        <v>265500.0</v>
      </c>
      <c r="L1604" s="391">
        <v>1712880.0</v>
      </c>
      <c r="M1604" s="391">
        <v>8.1798</v>
      </c>
      <c r="N1604" s="38">
        <v>61.0485</v>
      </c>
    </row>
    <row r="1605">
      <c r="A1605" s="389" t="s">
        <v>1972</v>
      </c>
      <c r="B1605" s="389" t="s">
        <v>137</v>
      </c>
      <c r="C1605" s="389" t="s">
        <v>359</v>
      </c>
      <c r="D1605" s="389" t="s">
        <v>1968</v>
      </c>
      <c r="E1605" s="390" t="s">
        <v>39</v>
      </c>
      <c r="F1605" s="391">
        <v>32458.0</v>
      </c>
      <c r="G1605" s="391">
        <v>13642.0</v>
      </c>
      <c r="H1605" s="391">
        <v>42.03</v>
      </c>
      <c r="I1605" s="391">
        <v>13.35</v>
      </c>
      <c r="J1605" s="391">
        <v>14.63</v>
      </c>
      <c r="K1605" s="391">
        <v>228670.0</v>
      </c>
      <c r="L1605" s="391">
        <v>1712880.0</v>
      </c>
      <c r="M1605" s="391">
        <v>7.0451</v>
      </c>
      <c r="N1605" s="38">
        <v>16.7622</v>
      </c>
    </row>
    <row r="1606">
      <c r="A1606" s="389" t="s">
        <v>1972</v>
      </c>
      <c r="B1606" s="389" t="s">
        <v>137</v>
      </c>
      <c r="C1606" s="389" t="s">
        <v>359</v>
      </c>
      <c r="D1606" s="389" t="s">
        <v>1968</v>
      </c>
      <c r="E1606" s="390" t="s">
        <v>163</v>
      </c>
      <c r="F1606" s="391">
        <v>32458.0</v>
      </c>
      <c r="G1606" s="391">
        <v>8907.0</v>
      </c>
      <c r="H1606" s="391">
        <v>27.44</v>
      </c>
      <c r="I1606" s="391">
        <v>8.2</v>
      </c>
      <c r="J1606" s="391">
        <v>9.19</v>
      </c>
      <c r="K1606" s="391">
        <v>140535.0</v>
      </c>
      <c r="L1606" s="391">
        <v>1712880.0</v>
      </c>
      <c r="M1606" s="391">
        <v>4.3297</v>
      </c>
      <c r="N1606" s="38">
        <v>15.778</v>
      </c>
    </row>
    <row r="1607">
      <c r="A1607" s="389" t="s">
        <v>1972</v>
      </c>
      <c r="B1607" s="389" t="s">
        <v>137</v>
      </c>
      <c r="C1607" s="389" t="s">
        <v>359</v>
      </c>
      <c r="D1607" s="389" t="s">
        <v>1968</v>
      </c>
      <c r="E1607" s="390" t="s">
        <v>30</v>
      </c>
      <c r="F1607" s="391">
        <v>32458.0</v>
      </c>
      <c r="G1607" s="391">
        <v>5019.0</v>
      </c>
      <c r="H1607" s="391">
        <v>15.46</v>
      </c>
      <c r="I1607" s="391">
        <v>4.41</v>
      </c>
      <c r="J1607" s="391">
        <v>4.21</v>
      </c>
      <c r="K1607" s="391">
        <v>75585.0</v>
      </c>
      <c r="L1607" s="391">
        <v>1712880.0</v>
      </c>
      <c r="M1607" s="391">
        <v>2.3287</v>
      </c>
      <c r="N1607" s="38">
        <v>15.0598</v>
      </c>
    </row>
    <row r="1608">
      <c r="A1608" s="389" t="s">
        <v>1972</v>
      </c>
      <c r="B1608" s="389" t="s">
        <v>137</v>
      </c>
      <c r="C1608" s="389" t="s">
        <v>359</v>
      </c>
      <c r="D1608" s="389" t="s">
        <v>1968</v>
      </c>
      <c r="E1608" s="390" t="s">
        <v>369</v>
      </c>
      <c r="F1608" s="391">
        <v>32458.0</v>
      </c>
      <c r="G1608" s="391">
        <v>563.0</v>
      </c>
      <c r="H1608" s="391">
        <v>1.73</v>
      </c>
      <c r="I1608" s="391">
        <v>1.07</v>
      </c>
      <c r="J1608" s="391">
        <v>1.11</v>
      </c>
      <c r="K1608" s="391">
        <v>18260.0</v>
      </c>
      <c r="L1608" s="391">
        <v>1712880.0</v>
      </c>
      <c r="M1608" s="391">
        <v>0.5626</v>
      </c>
      <c r="N1608" s="38">
        <v>32.4334</v>
      </c>
    </row>
    <row r="1609">
      <c r="A1609" s="389" t="s">
        <v>1972</v>
      </c>
      <c r="B1609" s="389" t="s">
        <v>137</v>
      </c>
      <c r="C1609" s="389" t="s">
        <v>360</v>
      </c>
      <c r="D1609" s="389" t="s">
        <v>1968</v>
      </c>
      <c r="E1609" s="390" t="s">
        <v>371</v>
      </c>
      <c r="F1609" s="391">
        <v>35386.0</v>
      </c>
      <c r="G1609" s="391">
        <v>26138.0</v>
      </c>
      <c r="H1609" s="391">
        <v>73.87</v>
      </c>
      <c r="I1609" s="391">
        <v>26.98</v>
      </c>
      <c r="J1609" s="391">
        <v>38.55</v>
      </c>
      <c r="K1609" s="391">
        <v>650825.0</v>
      </c>
      <c r="L1609" s="391">
        <v>2412570.0</v>
      </c>
      <c r="M1609" s="391">
        <v>18.3922</v>
      </c>
      <c r="N1609" s="38">
        <v>24.8996</v>
      </c>
    </row>
    <row r="1610">
      <c r="A1610" s="389" t="s">
        <v>1972</v>
      </c>
      <c r="B1610" s="389" t="s">
        <v>137</v>
      </c>
      <c r="C1610" s="389" t="s">
        <v>360</v>
      </c>
      <c r="D1610" s="389" t="s">
        <v>1968</v>
      </c>
      <c r="E1610" s="390" t="s">
        <v>368</v>
      </c>
      <c r="F1610" s="391">
        <v>35386.0</v>
      </c>
      <c r="G1610" s="391">
        <v>19258.0</v>
      </c>
      <c r="H1610" s="391">
        <v>54.42</v>
      </c>
      <c r="I1610" s="391">
        <v>18.63</v>
      </c>
      <c r="J1610" s="391">
        <v>20.13</v>
      </c>
      <c r="K1610" s="391">
        <v>449445.0</v>
      </c>
      <c r="L1610" s="391">
        <v>2412570.0</v>
      </c>
      <c r="M1610" s="391">
        <v>12.7012</v>
      </c>
      <c r="N1610" s="38">
        <v>23.3381</v>
      </c>
    </row>
    <row r="1611">
      <c r="A1611" s="389" t="s">
        <v>1972</v>
      </c>
      <c r="B1611" s="389" t="s">
        <v>137</v>
      </c>
      <c r="C1611" s="389" t="s">
        <v>360</v>
      </c>
      <c r="D1611" s="389" t="s">
        <v>1968</v>
      </c>
      <c r="E1611" s="390" t="s">
        <v>108</v>
      </c>
      <c r="F1611" s="391">
        <v>35386.0</v>
      </c>
      <c r="G1611" s="391">
        <v>7675.0</v>
      </c>
      <c r="H1611" s="391">
        <v>21.69</v>
      </c>
      <c r="I1611" s="391">
        <v>16.76</v>
      </c>
      <c r="J1611" s="391">
        <v>8.38</v>
      </c>
      <c r="K1611" s="391">
        <v>404270.0</v>
      </c>
      <c r="L1611" s="391">
        <v>2412570.0</v>
      </c>
      <c r="M1611" s="391">
        <v>11.4246</v>
      </c>
      <c r="N1611" s="38">
        <v>52.6736</v>
      </c>
    </row>
    <row r="1612">
      <c r="A1612" s="389" t="s">
        <v>1972</v>
      </c>
      <c r="B1612" s="389" t="s">
        <v>137</v>
      </c>
      <c r="C1612" s="389" t="s">
        <v>360</v>
      </c>
      <c r="D1612" s="389" t="s">
        <v>1968</v>
      </c>
      <c r="E1612" s="390" t="s">
        <v>366</v>
      </c>
      <c r="F1612" s="391">
        <v>35386.0</v>
      </c>
      <c r="G1612" s="391">
        <v>5818.0</v>
      </c>
      <c r="H1612" s="391">
        <v>16.44</v>
      </c>
      <c r="I1612" s="391">
        <v>14.73</v>
      </c>
      <c r="J1612" s="391">
        <v>7.87</v>
      </c>
      <c r="K1612" s="391">
        <v>355470.0</v>
      </c>
      <c r="L1612" s="391">
        <v>2412570.0</v>
      </c>
      <c r="M1612" s="391">
        <v>10.0455</v>
      </c>
      <c r="N1612" s="38">
        <v>61.0983</v>
      </c>
    </row>
    <row r="1613">
      <c r="A1613" s="389" t="s">
        <v>1972</v>
      </c>
      <c r="B1613" s="389" t="s">
        <v>137</v>
      </c>
      <c r="C1613" s="389" t="s">
        <v>360</v>
      </c>
      <c r="D1613" s="389" t="s">
        <v>1968</v>
      </c>
      <c r="E1613" s="390" t="s">
        <v>39</v>
      </c>
      <c r="F1613" s="391">
        <v>35386.0</v>
      </c>
      <c r="G1613" s="391">
        <v>16521.0</v>
      </c>
      <c r="H1613" s="391">
        <v>46.69</v>
      </c>
      <c r="I1613" s="391">
        <v>11.58</v>
      </c>
      <c r="J1613" s="391">
        <v>12.75</v>
      </c>
      <c r="K1613" s="391">
        <v>279400.0</v>
      </c>
      <c r="L1613" s="391">
        <v>2412570.0</v>
      </c>
      <c r="M1613" s="391">
        <v>7.8958</v>
      </c>
      <c r="N1613" s="38">
        <v>16.9118</v>
      </c>
    </row>
    <row r="1614">
      <c r="A1614" s="389" t="s">
        <v>1972</v>
      </c>
      <c r="B1614" s="389" t="s">
        <v>137</v>
      </c>
      <c r="C1614" s="389" t="s">
        <v>360</v>
      </c>
      <c r="D1614" s="389" t="s">
        <v>1968</v>
      </c>
      <c r="E1614" s="390" t="s">
        <v>163</v>
      </c>
      <c r="F1614" s="391">
        <v>35386.0</v>
      </c>
      <c r="G1614" s="391">
        <v>9137.0</v>
      </c>
      <c r="H1614" s="391">
        <v>25.82</v>
      </c>
      <c r="I1614" s="391">
        <v>6.6</v>
      </c>
      <c r="J1614" s="391">
        <v>7.12</v>
      </c>
      <c r="K1614" s="391">
        <v>159235.0</v>
      </c>
      <c r="L1614" s="391">
        <v>2412570.0</v>
      </c>
      <c r="M1614" s="391">
        <v>4.4999</v>
      </c>
      <c r="N1614" s="38">
        <v>17.4275</v>
      </c>
    </row>
    <row r="1615">
      <c r="A1615" s="389" t="s">
        <v>1972</v>
      </c>
      <c r="B1615" s="389" t="s">
        <v>137</v>
      </c>
      <c r="C1615" s="389" t="s">
        <v>360</v>
      </c>
      <c r="D1615" s="389" t="s">
        <v>1968</v>
      </c>
      <c r="E1615" s="390" t="s">
        <v>30</v>
      </c>
      <c r="F1615" s="391">
        <v>35386.0</v>
      </c>
      <c r="G1615" s="391">
        <v>6342.0</v>
      </c>
      <c r="H1615" s="391">
        <v>17.92</v>
      </c>
      <c r="I1615" s="391">
        <v>3.96</v>
      </c>
      <c r="J1615" s="391">
        <v>4.26</v>
      </c>
      <c r="K1615" s="391">
        <v>95445.0</v>
      </c>
      <c r="L1615" s="391">
        <v>2412570.0</v>
      </c>
      <c r="M1615" s="391">
        <v>2.6973</v>
      </c>
      <c r="N1615" s="38">
        <v>15.0497</v>
      </c>
    </row>
    <row r="1616">
      <c r="A1616" s="389" t="s">
        <v>1972</v>
      </c>
      <c r="B1616" s="389" t="s">
        <v>137</v>
      </c>
      <c r="C1616" s="389" t="s">
        <v>360</v>
      </c>
      <c r="D1616" s="389" t="s">
        <v>1968</v>
      </c>
      <c r="E1616" s="390" t="s">
        <v>369</v>
      </c>
      <c r="F1616" s="391">
        <v>35386.0</v>
      </c>
      <c r="G1616" s="391">
        <v>565.0</v>
      </c>
      <c r="H1616" s="391">
        <v>1.6</v>
      </c>
      <c r="I1616" s="391">
        <v>0.76</v>
      </c>
      <c r="J1616" s="391">
        <v>0.93</v>
      </c>
      <c r="K1616" s="391">
        <v>18325.0</v>
      </c>
      <c r="L1616" s="391">
        <v>2412570.0</v>
      </c>
      <c r="M1616" s="391">
        <v>0.5179</v>
      </c>
      <c r="N1616" s="38">
        <v>32.4336</v>
      </c>
    </row>
    <row r="1617">
      <c r="A1617" s="389" t="s">
        <v>1972</v>
      </c>
      <c r="B1617" s="389" t="s">
        <v>137</v>
      </c>
      <c r="C1617" s="389" t="s">
        <v>360</v>
      </c>
      <c r="D1617" s="389" t="s">
        <v>1968</v>
      </c>
      <c r="E1617" s="390" t="s">
        <v>367</v>
      </c>
      <c r="F1617" s="391">
        <v>35386.0</v>
      </c>
      <c r="G1617" s="391">
        <v>3.0</v>
      </c>
      <c r="H1617" s="391">
        <v>0.01</v>
      </c>
      <c r="I1617" s="391">
        <v>0.0</v>
      </c>
      <c r="J1617" s="391">
        <v>0.0</v>
      </c>
      <c r="K1617" s="391">
        <v>100.0</v>
      </c>
      <c r="L1617" s="391">
        <v>2412570.0</v>
      </c>
      <c r="M1617" s="391">
        <v>0.0028</v>
      </c>
      <c r="N1617" s="38">
        <v>33.3333</v>
      </c>
    </row>
    <row r="1618">
      <c r="A1618" s="389" t="s">
        <v>1972</v>
      </c>
      <c r="B1618" s="389" t="s">
        <v>137</v>
      </c>
      <c r="C1618" s="389" t="s">
        <v>360</v>
      </c>
      <c r="D1618" s="389" t="s">
        <v>1968</v>
      </c>
      <c r="E1618" s="390" t="s">
        <v>37</v>
      </c>
      <c r="F1618" s="391">
        <v>35386.0</v>
      </c>
      <c r="G1618" s="391">
        <v>1.0</v>
      </c>
      <c r="H1618" s="391">
        <v>0.0</v>
      </c>
      <c r="I1618" s="391">
        <v>0.0</v>
      </c>
      <c r="J1618" s="391">
        <v>0.0</v>
      </c>
      <c r="K1618" s="391">
        <v>15.0</v>
      </c>
      <c r="L1618" s="391">
        <v>2412570.0</v>
      </c>
      <c r="M1618" s="391">
        <v>4.0E-4</v>
      </c>
      <c r="N1618" s="38">
        <v>15.0</v>
      </c>
    </row>
    <row r="1619">
      <c r="A1619" s="389" t="s">
        <v>1972</v>
      </c>
      <c r="B1619" s="389" t="s">
        <v>137</v>
      </c>
      <c r="C1619" s="389" t="s">
        <v>360</v>
      </c>
      <c r="D1619" s="389" t="s">
        <v>1968</v>
      </c>
      <c r="E1619" s="390" t="s">
        <v>372</v>
      </c>
      <c r="F1619" s="391">
        <v>35386.0</v>
      </c>
      <c r="G1619" s="391">
        <v>4.0</v>
      </c>
      <c r="H1619" s="391">
        <v>0.01</v>
      </c>
      <c r="I1619" s="391">
        <v>0.0</v>
      </c>
      <c r="J1619" s="391">
        <v>0.0</v>
      </c>
      <c r="K1619" s="391">
        <v>40.0</v>
      </c>
      <c r="L1619" s="391">
        <v>2412570.0</v>
      </c>
      <c r="M1619" s="391">
        <v>0.0011</v>
      </c>
      <c r="N1619" s="38">
        <v>10.0</v>
      </c>
    </row>
    <row r="1620">
      <c r="A1620" s="389" t="s">
        <v>1972</v>
      </c>
      <c r="B1620" s="389" t="s">
        <v>137</v>
      </c>
      <c r="C1620" s="389" t="s">
        <v>12</v>
      </c>
      <c r="D1620" s="389" t="s">
        <v>1968</v>
      </c>
      <c r="E1620" s="390" t="s">
        <v>370</v>
      </c>
      <c r="F1620" s="391">
        <v>40435.0</v>
      </c>
      <c r="G1620" s="391">
        <v>39949.0</v>
      </c>
      <c r="H1620" s="391">
        <v>98.8</v>
      </c>
      <c r="I1620" s="391">
        <v>38.83</v>
      </c>
      <c r="J1620" s="391">
        <v>35.88</v>
      </c>
      <c r="K1620" s="391">
        <v>1.740192E7</v>
      </c>
      <c r="L1620" s="391">
        <v>4.4818189E7</v>
      </c>
      <c r="M1620" s="391">
        <v>430.3678</v>
      </c>
      <c r="N1620" s="38">
        <v>435.6034</v>
      </c>
    </row>
    <row r="1621">
      <c r="A1621" s="389" t="s">
        <v>1972</v>
      </c>
      <c r="B1621" s="389" t="s">
        <v>137</v>
      </c>
      <c r="C1621" s="389" t="s">
        <v>12</v>
      </c>
      <c r="D1621" s="389" t="s">
        <v>1968</v>
      </c>
      <c r="E1621" s="390" t="s">
        <v>44</v>
      </c>
      <c r="F1621" s="391">
        <v>40435.0</v>
      </c>
      <c r="G1621" s="391">
        <v>28440.0</v>
      </c>
      <c r="H1621" s="391">
        <v>70.34</v>
      </c>
      <c r="I1621" s="391">
        <v>12.88</v>
      </c>
      <c r="J1621" s="391">
        <v>12.98</v>
      </c>
      <c r="K1621" s="391">
        <v>5773080.0</v>
      </c>
      <c r="L1621" s="391">
        <v>4.4818189E7</v>
      </c>
      <c r="M1621" s="391">
        <v>142.7743</v>
      </c>
      <c r="N1621" s="38">
        <v>202.9916</v>
      </c>
    </row>
    <row r="1622">
      <c r="A1622" s="389" t="s">
        <v>1972</v>
      </c>
      <c r="B1622" s="389" t="s">
        <v>137</v>
      </c>
      <c r="C1622" s="389" t="s">
        <v>12</v>
      </c>
      <c r="D1622" s="389" t="s">
        <v>1968</v>
      </c>
      <c r="E1622" s="390" t="s">
        <v>365</v>
      </c>
      <c r="F1622" s="391">
        <v>40435.0</v>
      </c>
      <c r="G1622" s="391">
        <v>31012.0</v>
      </c>
      <c r="H1622" s="391">
        <v>76.7</v>
      </c>
      <c r="I1622" s="391">
        <v>10.36</v>
      </c>
      <c r="J1622" s="391">
        <v>10.94</v>
      </c>
      <c r="K1622" s="391">
        <v>4644660.0</v>
      </c>
      <c r="L1622" s="391">
        <v>4.4818189E7</v>
      </c>
      <c r="M1622" s="391">
        <v>114.8673</v>
      </c>
      <c r="N1622" s="38">
        <v>149.7698</v>
      </c>
    </row>
    <row r="1623">
      <c r="A1623" s="389" t="s">
        <v>1972</v>
      </c>
      <c r="B1623" s="389" t="s">
        <v>137</v>
      </c>
      <c r="C1623" s="389" t="s">
        <v>12</v>
      </c>
      <c r="D1623" s="389" t="s">
        <v>1968</v>
      </c>
      <c r="E1623" s="390" t="s">
        <v>366</v>
      </c>
      <c r="F1623" s="391">
        <v>40435.0</v>
      </c>
      <c r="G1623" s="391">
        <v>28723.0</v>
      </c>
      <c r="H1623" s="391">
        <v>71.03</v>
      </c>
      <c r="I1623" s="391">
        <v>8.62</v>
      </c>
      <c r="J1623" s="391">
        <v>7.3</v>
      </c>
      <c r="K1623" s="391">
        <v>3862525.0</v>
      </c>
      <c r="L1623" s="391">
        <v>4.4818189E7</v>
      </c>
      <c r="M1623" s="391">
        <v>95.5243</v>
      </c>
      <c r="N1623" s="38">
        <v>134.475</v>
      </c>
    </row>
    <row r="1624">
      <c r="A1624" s="389" t="s">
        <v>1972</v>
      </c>
      <c r="B1624" s="389" t="s">
        <v>137</v>
      </c>
      <c r="C1624" s="389" t="s">
        <v>12</v>
      </c>
      <c r="D1624" s="389" t="s">
        <v>1968</v>
      </c>
      <c r="E1624" s="390" t="s">
        <v>39</v>
      </c>
      <c r="F1624" s="391">
        <v>40435.0</v>
      </c>
      <c r="G1624" s="391">
        <v>24676.0</v>
      </c>
      <c r="H1624" s="391">
        <v>61.03</v>
      </c>
      <c r="I1624" s="391">
        <v>7.43</v>
      </c>
      <c r="J1624" s="391">
        <v>8.41</v>
      </c>
      <c r="K1624" s="391">
        <v>3329280.0</v>
      </c>
      <c r="L1624" s="391">
        <v>4.4818189E7</v>
      </c>
      <c r="M1624" s="391">
        <v>82.3366</v>
      </c>
      <c r="N1624" s="38">
        <v>134.9198</v>
      </c>
    </row>
    <row r="1625">
      <c r="A1625" s="389" t="s">
        <v>1972</v>
      </c>
      <c r="B1625" s="389" t="s">
        <v>137</v>
      </c>
      <c r="C1625" s="389" t="s">
        <v>12</v>
      </c>
      <c r="D1625" s="389" t="s">
        <v>1968</v>
      </c>
      <c r="E1625" s="390" t="s">
        <v>371</v>
      </c>
      <c r="F1625" s="391">
        <v>40435.0</v>
      </c>
      <c r="G1625" s="391">
        <v>26991.0</v>
      </c>
      <c r="H1625" s="391">
        <v>66.75</v>
      </c>
      <c r="I1625" s="391">
        <v>6.86</v>
      </c>
      <c r="J1625" s="391">
        <v>10.63</v>
      </c>
      <c r="K1625" s="391">
        <v>3075020.0</v>
      </c>
      <c r="L1625" s="391">
        <v>4.4818189E7</v>
      </c>
      <c r="M1625" s="391">
        <v>76.0485</v>
      </c>
      <c r="N1625" s="38">
        <v>113.9276</v>
      </c>
    </row>
    <row r="1626">
      <c r="A1626" s="389" t="s">
        <v>1972</v>
      </c>
      <c r="B1626" s="389" t="s">
        <v>137</v>
      </c>
      <c r="C1626" s="389" t="s">
        <v>12</v>
      </c>
      <c r="D1626" s="389" t="s">
        <v>1968</v>
      </c>
      <c r="E1626" s="390" t="s">
        <v>368</v>
      </c>
      <c r="F1626" s="391">
        <v>40435.0</v>
      </c>
      <c r="G1626" s="391">
        <v>18860.0</v>
      </c>
      <c r="H1626" s="391">
        <v>46.64</v>
      </c>
      <c r="I1626" s="391">
        <v>4.79</v>
      </c>
      <c r="J1626" s="391">
        <v>4.58</v>
      </c>
      <c r="K1626" s="391">
        <v>2148210.0</v>
      </c>
      <c r="L1626" s="391">
        <v>4.4818189E7</v>
      </c>
      <c r="M1626" s="391">
        <v>53.1275</v>
      </c>
      <c r="N1626" s="38">
        <v>113.903</v>
      </c>
    </row>
    <row r="1627">
      <c r="A1627" s="389" t="s">
        <v>1972</v>
      </c>
      <c r="B1627" s="389" t="s">
        <v>137</v>
      </c>
      <c r="C1627" s="389" t="s">
        <v>12</v>
      </c>
      <c r="D1627" s="389" t="s">
        <v>1968</v>
      </c>
      <c r="E1627" s="390" t="s">
        <v>367</v>
      </c>
      <c r="F1627" s="391">
        <v>40435.0</v>
      </c>
      <c r="G1627" s="391">
        <v>13341.0</v>
      </c>
      <c r="H1627" s="391">
        <v>32.99</v>
      </c>
      <c r="I1627" s="391">
        <v>2.63</v>
      </c>
      <c r="J1627" s="391">
        <v>2.38</v>
      </c>
      <c r="K1627" s="391">
        <v>1180420.0</v>
      </c>
      <c r="L1627" s="391">
        <v>4.4818189E7</v>
      </c>
      <c r="M1627" s="391">
        <v>29.193</v>
      </c>
      <c r="N1627" s="38">
        <v>88.4806</v>
      </c>
    </row>
    <row r="1628">
      <c r="A1628" s="389" t="s">
        <v>1972</v>
      </c>
      <c r="B1628" s="389" t="s">
        <v>137</v>
      </c>
      <c r="C1628" s="389" t="s">
        <v>12</v>
      </c>
      <c r="D1628" s="389" t="s">
        <v>1968</v>
      </c>
      <c r="E1628" s="390" t="s">
        <v>30</v>
      </c>
      <c r="F1628" s="391">
        <v>40435.0</v>
      </c>
      <c r="G1628" s="391">
        <v>8630.0</v>
      </c>
      <c r="H1628" s="391">
        <v>21.34</v>
      </c>
      <c r="I1628" s="391">
        <v>2.34</v>
      </c>
      <c r="J1628" s="391">
        <v>1.76</v>
      </c>
      <c r="K1628" s="391">
        <v>1046610.0</v>
      </c>
      <c r="L1628" s="391">
        <v>4.4818189E7</v>
      </c>
      <c r="M1628" s="391">
        <v>25.8838</v>
      </c>
      <c r="N1628" s="38">
        <v>121.2758</v>
      </c>
    </row>
    <row r="1629">
      <c r="A1629" s="389" t="s">
        <v>1972</v>
      </c>
      <c r="B1629" s="389" t="s">
        <v>137</v>
      </c>
      <c r="C1629" s="389" t="s">
        <v>12</v>
      </c>
      <c r="D1629" s="389" t="s">
        <v>1968</v>
      </c>
      <c r="E1629" s="390" t="s">
        <v>163</v>
      </c>
      <c r="F1629" s="391">
        <v>40435.0</v>
      </c>
      <c r="G1629" s="391">
        <v>8679.0</v>
      </c>
      <c r="H1629" s="391">
        <v>21.46</v>
      </c>
      <c r="I1629" s="391">
        <v>1.54</v>
      </c>
      <c r="J1629" s="391">
        <v>1.35</v>
      </c>
      <c r="K1629" s="391">
        <v>692130.0</v>
      </c>
      <c r="L1629" s="391">
        <v>4.4818189E7</v>
      </c>
      <c r="M1629" s="391">
        <v>17.1171</v>
      </c>
      <c r="N1629" s="38">
        <v>79.7477</v>
      </c>
    </row>
    <row r="1630">
      <c r="A1630" s="389" t="s">
        <v>1972</v>
      </c>
      <c r="B1630" s="389" t="s">
        <v>137</v>
      </c>
      <c r="C1630" s="389" t="s">
        <v>12</v>
      </c>
      <c r="D1630" s="389" t="s">
        <v>1968</v>
      </c>
      <c r="E1630" s="390" t="s">
        <v>38</v>
      </c>
      <c r="F1630" s="391">
        <v>40435.0</v>
      </c>
      <c r="G1630" s="391">
        <v>15811.0</v>
      </c>
      <c r="H1630" s="391">
        <v>39.1</v>
      </c>
      <c r="I1630" s="391">
        <v>1.45</v>
      </c>
      <c r="J1630" s="391">
        <v>1.86</v>
      </c>
      <c r="K1630" s="391">
        <v>649140.0</v>
      </c>
      <c r="L1630" s="391">
        <v>4.4818189E7</v>
      </c>
      <c r="M1630" s="391">
        <v>16.0539</v>
      </c>
      <c r="N1630" s="38">
        <v>41.0562</v>
      </c>
    </row>
    <row r="1631">
      <c r="A1631" s="389" t="s">
        <v>1972</v>
      </c>
      <c r="B1631" s="389" t="s">
        <v>137</v>
      </c>
      <c r="C1631" s="389" t="s">
        <v>12</v>
      </c>
      <c r="D1631" s="389" t="s">
        <v>1968</v>
      </c>
      <c r="E1631" s="390" t="s">
        <v>363</v>
      </c>
      <c r="F1631" s="391">
        <v>40435.0</v>
      </c>
      <c r="G1631" s="391">
        <v>8863.0</v>
      </c>
      <c r="H1631" s="391">
        <v>21.92</v>
      </c>
      <c r="I1631" s="391">
        <v>0.91</v>
      </c>
      <c r="J1631" s="391">
        <v>0.69</v>
      </c>
      <c r="K1631" s="391">
        <v>409665.0</v>
      </c>
      <c r="L1631" s="391">
        <v>4.4818189E7</v>
      </c>
      <c r="M1631" s="391">
        <v>10.1314</v>
      </c>
      <c r="N1631" s="38">
        <v>46.2219</v>
      </c>
    </row>
    <row r="1632">
      <c r="A1632" s="389" t="s">
        <v>1972</v>
      </c>
      <c r="B1632" s="389" t="s">
        <v>137</v>
      </c>
      <c r="C1632" s="389" t="s">
        <v>12</v>
      </c>
      <c r="D1632" s="389" t="s">
        <v>1968</v>
      </c>
      <c r="E1632" s="390" t="s">
        <v>369</v>
      </c>
      <c r="F1632" s="391">
        <v>40435.0</v>
      </c>
      <c r="G1632" s="391">
        <v>9262.0</v>
      </c>
      <c r="H1632" s="391">
        <v>22.91</v>
      </c>
      <c r="I1632" s="391">
        <v>0.78</v>
      </c>
      <c r="J1632" s="391">
        <v>0.75</v>
      </c>
      <c r="K1632" s="391">
        <v>351629.0</v>
      </c>
      <c r="L1632" s="391">
        <v>4.4818189E7</v>
      </c>
      <c r="M1632" s="391">
        <v>8.6962</v>
      </c>
      <c r="N1632" s="38">
        <v>37.9647</v>
      </c>
    </row>
    <row r="1633">
      <c r="A1633" s="389" t="s">
        <v>1972</v>
      </c>
      <c r="B1633" s="389" t="s">
        <v>137</v>
      </c>
      <c r="C1633" s="389" t="s">
        <v>12</v>
      </c>
      <c r="D1633" s="389" t="s">
        <v>1968</v>
      </c>
      <c r="E1633" s="390" t="s">
        <v>108</v>
      </c>
      <c r="F1633" s="391">
        <v>40435.0</v>
      </c>
      <c r="G1633" s="391">
        <v>3523.0</v>
      </c>
      <c r="H1633" s="391">
        <v>8.71</v>
      </c>
      <c r="I1633" s="391">
        <v>0.31</v>
      </c>
      <c r="J1633" s="391">
        <v>0.23</v>
      </c>
      <c r="K1633" s="391">
        <v>137070.0</v>
      </c>
      <c r="L1633" s="391">
        <v>4.4818189E7</v>
      </c>
      <c r="M1633" s="391">
        <v>3.3899</v>
      </c>
      <c r="N1633" s="38">
        <v>38.9072</v>
      </c>
    </row>
    <row r="1634">
      <c r="A1634" s="389" t="s">
        <v>1972</v>
      </c>
      <c r="B1634" s="389" t="s">
        <v>137</v>
      </c>
      <c r="C1634" s="389" t="s">
        <v>12</v>
      </c>
      <c r="D1634" s="389" t="s">
        <v>1968</v>
      </c>
      <c r="E1634" s="390" t="s">
        <v>27</v>
      </c>
      <c r="F1634" s="391">
        <v>40435.0</v>
      </c>
      <c r="G1634" s="391">
        <v>2788.0</v>
      </c>
      <c r="H1634" s="391">
        <v>6.9</v>
      </c>
      <c r="I1634" s="391">
        <v>0.21</v>
      </c>
      <c r="J1634" s="391">
        <v>0.18</v>
      </c>
      <c r="K1634" s="391">
        <v>94150.0</v>
      </c>
      <c r="L1634" s="391">
        <v>4.4818189E7</v>
      </c>
      <c r="M1634" s="391">
        <v>2.3284</v>
      </c>
      <c r="N1634" s="38">
        <v>33.7697</v>
      </c>
    </row>
    <row r="1635">
      <c r="A1635" s="389" t="s">
        <v>1972</v>
      </c>
      <c r="B1635" s="389" t="s">
        <v>137</v>
      </c>
      <c r="C1635" s="389" t="s">
        <v>12</v>
      </c>
      <c r="D1635" s="389" t="s">
        <v>1968</v>
      </c>
      <c r="E1635" s="390" t="s">
        <v>45</v>
      </c>
      <c r="F1635" s="391">
        <v>40435.0</v>
      </c>
      <c r="G1635" s="391">
        <v>414.0</v>
      </c>
      <c r="H1635" s="391">
        <v>1.02</v>
      </c>
      <c r="I1635" s="391">
        <v>0.05</v>
      </c>
      <c r="J1635" s="391">
        <v>0.07</v>
      </c>
      <c r="K1635" s="391">
        <v>22525.0</v>
      </c>
      <c r="L1635" s="391">
        <v>4.4818189E7</v>
      </c>
      <c r="M1635" s="391">
        <v>0.5571</v>
      </c>
      <c r="N1635" s="38">
        <v>54.4082</v>
      </c>
    </row>
    <row r="1636">
      <c r="A1636" s="389" t="s">
        <v>1972</v>
      </c>
      <c r="B1636" s="389" t="s">
        <v>137</v>
      </c>
      <c r="C1636" s="389" t="s">
        <v>12</v>
      </c>
      <c r="D1636" s="389" t="s">
        <v>1968</v>
      </c>
      <c r="E1636" s="390" t="s">
        <v>35</v>
      </c>
      <c r="F1636" s="391">
        <v>40435.0</v>
      </c>
      <c r="G1636" s="391">
        <v>1.0</v>
      </c>
      <c r="H1636" s="391">
        <v>0.0</v>
      </c>
      <c r="I1636" s="391">
        <v>0.0</v>
      </c>
      <c r="J1636" s="391">
        <v>0.0</v>
      </c>
      <c r="K1636" s="391">
        <v>65.0</v>
      </c>
      <c r="L1636" s="391">
        <v>4.4818189E7</v>
      </c>
      <c r="M1636" s="391">
        <v>0.0016</v>
      </c>
      <c r="N1636" s="38">
        <v>65.0</v>
      </c>
    </row>
    <row r="1637">
      <c r="A1637" s="389" t="s">
        <v>1972</v>
      </c>
      <c r="B1637" s="389" t="s">
        <v>137</v>
      </c>
      <c r="C1637" s="389" t="s">
        <v>12</v>
      </c>
      <c r="D1637" s="389" t="s">
        <v>1968</v>
      </c>
      <c r="E1637" s="390" t="s">
        <v>372</v>
      </c>
      <c r="F1637" s="391">
        <v>40435.0</v>
      </c>
      <c r="G1637" s="391">
        <v>2.0</v>
      </c>
      <c r="H1637" s="391">
        <v>0.0</v>
      </c>
      <c r="I1637" s="391">
        <v>0.0</v>
      </c>
      <c r="J1637" s="391">
        <v>0.0</v>
      </c>
      <c r="K1637" s="391">
        <v>30.0</v>
      </c>
      <c r="L1637" s="391">
        <v>4.4818189E7</v>
      </c>
      <c r="M1637" s="391">
        <v>7.0E-4</v>
      </c>
      <c r="N1637" s="38">
        <v>15.0</v>
      </c>
    </row>
    <row r="1638">
      <c r="A1638" s="389" t="s">
        <v>1972</v>
      </c>
      <c r="B1638" s="389" t="s">
        <v>137</v>
      </c>
      <c r="C1638" s="389" t="s">
        <v>12</v>
      </c>
      <c r="D1638" s="389" t="s">
        <v>1968</v>
      </c>
      <c r="E1638" s="390" t="s">
        <v>37</v>
      </c>
      <c r="F1638" s="391">
        <v>40435.0</v>
      </c>
      <c r="G1638" s="391">
        <v>1.0</v>
      </c>
      <c r="H1638" s="391">
        <v>0.0</v>
      </c>
      <c r="I1638" s="391">
        <v>0.0</v>
      </c>
      <c r="J1638" s="391">
        <v>0.0</v>
      </c>
      <c r="K1638" s="391">
        <v>60.0</v>
      </c>
      <c r="L1638" s="391">
        <v>4.4818189E7</v>
      </c>
      <c r="M1638" s="391">
        <v>0.0015</v>
      </c>
      <c r="N1638" s="38">
        <v>60.0</v>
      </c>
    </row>
    <row r="1639">
      <c r="A1639" s="389" t="s">
        <v>1972</v>
      </c>
      <c r="B1639" s="389" t="s">
        <v>339</v>
      </c>
      <c r="C1639" s="389" t="s">
        <v>8</v>
      </c>
      <c r="D1639" s="389" t="s">
        <v>591</v>
      </c>
      <c r="E1639" s="390" t="s">
        <v>370</v>
      </c>
      <c r="F1639" s="391">
        <v>23814.0</v>
      </c>
      <c r="G1639" s="391">
        <v>19906.0</v>
      </c>
      <c r="H1639" s="391">
        <v>83.59</v>
      </c>
      <c r="I1639" s="391">
        <v>25.87</v>
      </c>
      <c r="J1639" s="391">
        <v>26.9</v>
      </c>
      <c r="K1639" s="391">
        <v>60606.0</v>
      </c>
      <c r="L1639" s="391">
        <v>234305.0</v>
      </c>
      <c r="M1639" s="391">
        <v>2.545</v>
      </c>
      <c r="N1639" s="38">
        <v>3.0446</v>
      </c>
    </row>
    <row r="1640">
      <c r="A1640" s="389" t="s">
        <v>1972</v>
      </c>
      <c r="B1640" s="389" t="s">
        <v>339</v>
      </c>
      <c r="C1640" s="389" t="s">
        <v>8</v>
      </c>
      <c r="D1640" s="389" t="s">
        <v>591</v>
      </c>
      <c r="E1640" s="390" t="s">
        <v>371</v>
      </c>
      <c r="F1640" s="391">
        <v>23814.0</v>
      </c>
      <c r="G1640" s="391">
        <v>13887.0</v>
      </c>
      <c r="H1640" s="391">
        <v>58.31</v>
      </c>
      <c r="I1640" s="391">
        <v>21.11</v>
      </c>
      <c r="J1640" s="391">
        <v>17.53</v>
      </c>
      <c r="K1640" s="391">
        <v>49469.0</v>
      </c>
      <c r="L1640" s="391">
        <v>234305.0</v>
      </c>
      <c r="M1640" s="391">
        <v>2.0773</v>
      </c>
      <c r="N1640" s="38">
        <v>3.5623</v>
      </c>
    </row>
    <row r="1641">
      <c r="A1641" s="389" t="s">
        <v>1972</v>
      </c>
      <c r="B1641" s="389" t="s">
        <v>339</v>
      </c>
      <c r="C1641" s="389" t="s">
        <v>8</v>
      </c>
      <c r="D1641" s="389" t="s">
        <v>591</v>
      </c>
      <c r="E1641" s="390" t="s">
        <v>369</v>
      </c>
      <c r="F1641" s="391">
        <v>23814.0</v>
      </c>
      <c r="G1641" s="391">
        <v>18060.0</v>
      </c>
      <c r="H1641" s="391">
        <v>75.84</v>
      </c>
      <c r="I1641" s="391">
        <v>18.59</v>
      </c>
      <c r="J1641" s="391">
        <v>22.32</v>
      </c>
      <c r="K1641" s="391">
        <v>43567.0</v>
      </c>
      <c r="L1641" s="391">
        <v>234305.0</v>
      </c>
      <c r="M1641" s="391">
        <v>1.8295</v>
      </c>
      <c r="N1641" s="38">
        <v>2.4123</v>
      </c>
    </row>
    <row r="1642">
      <c r="A1642" s="389" t="s">
        <v>1972</v>
      </c>
      <c r="B1642" s="389" t="s">
        <v>339</v>
      </c>
      <c r="C1642" s="389" t="s">
        <v>8</v>
      </c>
      <c r="D1642" s="389" t="s">
        <v>591</v>
      </c>
      <c r="E1642" s="390" t="s">
        <v>44</v>
      </c>
      <c r="F1642" s="391">
        <v>23814.0</v>
      </c>
      <c r="G1642" s="391">
        <v>12054.0</v>
      </c>
      <c r="H1642" s="391">
        <v>50.62</v>
      </c>
      <c r="I1642" s="391">
        <v>10.69</v>
      </c>
      <c r="J1642" s="391">
        <v>10.59</v>
      </c>
      <c r="K1642" s="391">
        <v>25056.0</v>
      </c>
      <c r="L1642" s="391">
        <v>234305.0</v>
      </c>
      <c r="M1642" s="391">
        <v>1.0522</v>
      </c>
      <c r="N1642" s="38">
        <v>2.0786</v>
      </c>
    </row>
    <row r="1643">
      <c r="A1643" s="389" t="s">
        <v>1972</v>
      </c>
      <c r="B1643" s="389" t="s">
        <v>339</v>
      </c>
      <c r="C1643" s="389" t="s">
        <v>8</v>
      </c>
      <c r="D1643" s="389" t="s">
        <v>591</v>
      </c>
      <c r="E1643" s="390" t="s">
        <v>39</v>
      </c>
      <c r="F1643" s="391">
        <v>23814.0</v>
      </c>
      <c r="G1643" s="391">
        <v>12223.0</v>
      </c>
      <c r="H1643" s="391">
        <v>51.33</v>
      </c>
      <c r="I1643" s="391">
        <v>7.92</v>
      </c>
      <c r="J1643" s="391">
        <v>8.02</v>
      </c>
      <c r="K1643" s="391">
        <v>18557.0</v>
      </c>
      <c r="L1643" s="391">
        <v>234305.0</v>
      </c>
      <c r="M1643" s="391">
        <v>0.7792</v>
      </c>
      <c r="N1643" s="38">
        <v>1.5182</v>
      </c>
    </row>
    <row r="1644">
      <c r="A1644" s="389" t="s">
        <v>1972</v>
      </c>
      <c r="B1644" s="389" t="s">
        <v>339</v>
      </c>
      <c r="C1644" s="389" t="s">
        <v>8</v>
      </c>
      <c r="D1644" s="389" t="s">
        <v>591</v>
      </c>
      <c r="E1644" s="390" t="s">
        <v>365</v>
      </c>
      <c r="F1644" s="391">
        <v>23814.0</v>
      </c>
      <c r="G1644" s="391">
        <v>8793.0</v>
      </c>
      <c r="H1644" s="391">
        <v>36.92</v>
      </c>
      <c r="I1644" s="391">
        <v>5.15</v>
      </c>
      <c r="J1644" s="391">
        <v>5.32</v>
      </c>
      <c r="K1644" s="391">
        <v>12064.0</v>
      </c>
      <c r="L1644" s="391">
        <v>234305.0</v>
      </c>
      <c r="M1644" s="391">
        <v>0.5066</v>
      </c>
      <c r="N1644" s="38">
        <v>1.372</v>
      </c>
    </row>
    <row r="1645">
      <c r="A1645" s="389" t="s">
        <v>1972</v>
      </c>
      <c r="B1645" s="389" t="s">
        <v>339</v>
      </c>
      <c r="C1645" s="389" t="s">
        <v>8</v>
      </c>
      <c r="D1645" s="389" t="s">
        <v>591</v>
      </c>
      <c r="E1645" s="390" t="s">
        <v>37</v>
      </c>
      <c r="F1645" s="391">
        <v>23814.0</v>
      </c>
      <c r="G1645" s="391">
        <v>6210.0</v>
      </c>
      <c r="H1645" s="391">
        <v>26.08</v>
      </c>
      <c r="I1645" s="391">
        <v>3.65</v>
      </c>
      <c r="J1645" s="391">
        <v>4.26</v>
      </c>
      <c r="K1645" s="391">
        <v>8548.0</v>
      </c>
      <c r="L1645" s="391">
        <v>234305.0</v>
      </c>
      <c r="M1645" s="391">
        <v>0.3589</v>
      </c>
      <c r="N1645" s="38">
        <v>1.3765</v>
      </c>
    </row>
    <row r="1646">
      <c r="A1646" s="389" t="s">
        <v>1972</v>
      </c>
      <c r="B1646" s="389" t="s">
        <v>339</v>
      </c>
      <c r="C1646" s="389" t="s">
        <v>8</v>
      </c>
      <c r="D1646" s="389" t="s">
        <v>591</v>
      </c>
      <c r="E1646" s="390" t="s">
        <v>108</v>
      </c>
      <c r="F1646" s="391">
        <v>23814.0</v>
      </c>
      <c r="G1646" s="391">
        <v>3472.0</v>
      </c>
      <c r="H1646" s="391">
        <v>14.58</v>
      </c>
      <c r="I1646" s="391">
        <v>2.65</v>
      </c>
      <c r="J1646" s="391">
        <v>1.98</v>
      </c>
      <c r="K1646" s="391">
        <v>6214.0</v>
      </c>
      <c r="L1646" s="391">
        <v>234305.0</v>
      </c>
      <c r="M1646" s="391">
        <v>0.2609</v>
      </c>
      <c r="N1646" s="38">
        <v>1.7897</v>
      </c>
    </row>
    <row r="1647">
      <c r="A1647" s="389" t="s">
        <v>1972</v>
      </c>
      <c r="B1647" s="389" t="s">
        <v>339</v>
      </c>
      <c r="C1647" s="389" t="s">
        <v>8</v>
      </c>
      <c r="D1647" s="389" t="s">
        <v>591</v>
      </c>
      <c r="E1647" s="390" t="s">
        <v>45</v>
      </c>
      <c r="F1647" s="391">
        <v>23814.0</v>
      </c>
      <c r="G1647" s="391">
        <v>3346.0</v>
      </c>
      <c r="H1647" s="391">
        <v>14.05</v>
      </c>
      <c r="I1647" s="391">
        <v>1.81</v>
      </c>
      <c r="J1647" s="391">
        <v>1.63</v>
      </c>
      <c r="K1647" s="391">
        <v>4248.0</v>
      </c>
      <c r="L1647" s="391">
        <v>234305.0</v>
      </c>
      <c r="M1647" s="391">
        <v>0.1784</v>
      </c>
      <c r="N1647" s="38">
        <v>1.2696</v>
      </c>
    </row>
    <row r="1648">
      <c r="A1648" s="389" t="s">
        <v>1972</v>
      </c>
      <c r="B1648" s="389" t="s">
        <v>339</v>
      </c>
      <c r="C1648" s="389" t="s">
        <v>8</v>
      </c>
      <c r="D1648" s="389" t="s">
        <v>591</v>
      </c>
      <c r="E1648" s="390" t="s">
        <v>368</v>
      </c>
      <c r="F1648" s="391">
        <v>23814.0</v>
      </c>
      <c r="G1648" s="391">
        <v>3193.0</v>
      </c>
      <c r="H1648" s="391">
        <v>13.41</v>
      </c>
      <c r="I1648" s="391">
        <v>1.66</v>
      </c>
      <c r="J1648" s="391">
        <v>0.91</v>
      </c>
      <c r="K1648" s="391">
        <v>3893.0</v>
      </c>
      <c r="L1648" s="391">
        <v>234305.0</v>
      </c>
      <c r="M1648" s="391">
        <v>0.1635</v>
      </c>
      <c r="N1648" s="38">
        <v>1.2192</v>
      </c>
    </row>
    <row r="1649">
      <c r="A1649" s="389" t="s">
        <v>1972</v>
      </c>
      <c r="B1649" s="389" t="s">
        <v>339</v>
      </c>
      <c r="C1649" s="389" t="s">
        <v>8</v>
      </c>
      <c r="D1649" s="389" t="s">
        <v>591</v>
      </c>
      <c r="E1649" s="390" t="s">
        <v>30</v>
      </c>
      <c r="F1649" s="391">
        <v>23814.0</v>
      </c>
      <c r="G1649" s="391">
        <v>1025.0</v>
      </c>
      <c r="H1649" s="391">
        <v>4.3</v>
      </c>
      <c r="I1649" s="391">
        <v>0.44</v>
      </c>
      <c r="J1649" s="391">
        <v>0.23</v>
      </c>
      <c r="K1649" s="391">
        <v>1040.0</v>
      </c>
      <c r="L1649" s="391">
        <v>234305.0</v>
      </c>
      <c r="M1649" s="391">
        <v>0.0437</v>
      </c>
      <c r="N1649" s="38">
        <v>1.0146</v>
      </c>
    </row>
    <row r="1650">
      <c r="A1650" s="389" t="s">
        <v>1972</v>
      </c>
      <c r="B1650" s="389" t="s">
        <v>339</v>
      </c>
      <c r="C1650" s="389" t="s">
        <v>8</v>
      </c>
      <c r="D1650" s="389" t="s">
        <v>591</v>
      </c>
      <c r="E1650" s="390" t="s">
        <v>163</v>
      </c>
      <c r="F1650" s="391">
        <v>23814.0</v>
      </c>
      <c r="G1650" s="391">
        <v>566.0</v>
      </c>
      <c r="H1650" s="391">
        <v>2.38</v>
      </c>
      <c r="I1650" s="391">
        <v>0.25</v>
      </c>
      <c r="J1650" s="391">
        <v>0.11</v>
      </c>
      <c r="K1650" s="391">
        <v>581.0</v>
      </c>
      <c r="L1650" s="391">
        <v>234305.0</v>
      </c>
      <c r="M1650" s="391">
        <v>0.0244</v>
      </c>
      <c r="N1650" s="38">
        <v>1.0265</v>
      </c>
    </row>
    <row r="1651">
      <c r="A1651" s="389" t="s">
        <v>1972</v>
      </c>
      <c r="B1651" s="389" t="s">
        <v>339</v>
      </c>
      <c r="C1651" s="389" t="s">
        <v>8</v>
      </c>
      <c r="D1651" s="389" t="s">
        <v>591</v>
      </c>
      <c r="E1651" s="390" t="s">
        <v>38</v>
      </c>
      <c r="F1651" s="391">
        <v>23814.0</v>
      </c>
      <c r="G1651" s="391">
        <v>427.0</v>
      </c>
      <c r="H1651" s="391">
        <v>1.79</v>
      </c>
      <c r="I1651" s="391">
        <v>0.19</v>
      </c>
      <c r="J1651" s="391">
        <v>0.19</v>
      </c>
      <c r="K1651" s="391">
        <v>444.0</v>
      </c>
      <c r="L1651" s="391">
        <v>234305.0</v>
      </c>
      <c r="M1651" s="391">
        <v>0.0186</v>
      </c>
      <c r="N1651" s="38">
        <v>1.0398</v>
      </c>
    </row>
    <row r="1652">
      <c r="A1652" s="389" t="s">
        <v>1972</v>
      </c>
      <c r="B1652" s="389" t="s">
        <v>339</v>
      </c>
      <c r="C1652" s="389" t="s">
        <v>8</v>
      </c>
      <c r="D1652" s="389" t="s">
        <v>591</v>
      </c>
      <c r="E1652" s="390" t="s">
        <v>27</v>
      </c>
      <c r="F1652" s="391">
        <v>23814.0</v>
      </c>
      <c r="G1652" s="391">
        <v>6.0</v>
      </c>
      <c r="H1652" s="391">
        <v>0.03</v>
      </c>
      <c r="I1652" s="391">
        <v>0.0</v>
      </c>
      <c r="J1652" s="391">
        <v>0.01</v>
      </c>
      <c r="K1652" s="391">
        <v>8.0</v>
      </c>
      <c r="L1652" s="391">
        <v>234305.0</v>
      </c>
      <c r="M1652" s="391">
        <v>3.0E-4</v>
      </c>
      <c r="N1652" s="38">
        <v>1.3333</v>
      </c>
    </row>
    <row r="1653">
      <c r="A1653" s="389" t="s">
        <v>1972</v>
      </c>
      <c r="B1653" s="389" t="s">
        <v>339</v>
      </c>
      <c r="C1653" s="389" t="s">
        <v>8</v>
      </c>
      <c r="D1653" s="389" t="s">
        <v>591</v>
      </c>
      <c r="E1653" s="390" t="s">
        <v>366</v>
      </c>
      <c r="F1653" s="391">
        <v>23814.0</v>
      </c>
      <c r="G1653" s="391">
        <v>1.0</v>
      </c>
      <c r="H1653" s="391">
        <v>0.0</v>
      </c>
      <c r="I1653" s="391">
        <v>0.0</v>
      </c>
      <c r="J1653" s="391">
        <v>0.0</v>
      </c>
      <c r="K1653" s="391">
        <v>1.0</v>
      </c>
      <c r="L1653" s="391">
        <v>234305.0</v>
      </c>
      <c r="M1653" s="391">
        <v>0.0</v>
      </c>
      <c r="N1653" s="38">
        <v>1.0</v>
      </c>
    </row>
    <row r="1654">
      <c r="A1654" s="389" t="s">
        <v>1972</v>
      </c>
      <c r="B1654" s="389" t="s">
        <v>339</v>
      </c>
      <c r="C1654" s="389" t="s">
        <v>8</v>
      </c>
      <c r="D1654" s="389" t="s">
        <v>591</v>
      </c>
      <c r="E1654" s="390" t="s">
        <v>367</v>
      </c>
      <c r="F1654" s="391">
        <v>23814.0</v>
      </c>
      <c r="G1654" s="391">
        <v>3.0</v>
      </c>
      <c r="H1654" s="391">
        <v>0.01</v>
      </c>
      <c r="I1654" s="391">
        <v>0.0</v>
      </c>
      <c r="J1654" s="391">
        <v>0.01</v>
      </c>
      <c r="K1654" s="391">
        <v>7.0</v>
      </c>
      <c r="L1654" s="391">
        <v>234305.0</v>
      </c>
      <c r="M1654" s="391">
        <v>3.0E-4</v>
      </c>
      <c r="N1654" s="38">
        <v>2.3333</v>
      </c>
    </row>
    <row r="1655">
      <c r="A1655" s="389" t="s">
        <v>1972</v>
      </c>
      <c r="B1655" s="389" t="s">
        <v>339</v>
      </c>
      <c r="C1655" s="389" t="s">
        <v>8</v>
      </c>
      <c r="D1655" s="389" t="s">
        <v>591</v>
      </c>
      <c r="E1655" s="390" t="s">
        <v>372</v>
      </c>
      <c r="F1655" s="391">
        <v>23814.0</v>
      </c>
      <c r="G1655" s="391">
        <v>1.0</v>
      </c>
      <c r="H1655" s="391">
        <v>0.0</v>
      </c>
      <c r="I1655" s="391">
        <v>0.0</v>
      </c>
      <c r="J1655" s="391">
        <v>0.0</v>
      </c>
      <c r="K1655" s="391">
        <v>2.0</v>
      </c>
      <c r="L1655" s="391">
        <v>234305.0</v>
      </c>
      <c r="M1655" s="391">
        <v>1.0E-4</v>
      </c>
      <c r="N1655" s="38">
        <v>2.0</v>
      </c>
    </row>
    <row r="1656">
      <c r="A1656" s="389" t="s">
        <v>1972</v>
      </c>
      <c r="B1656" s="389" t="s">
        <v>339</v>
      </c>
      <c r="C1656" s="389" t="s">
        <v>7</v>
      </c>
      <c r="D1656" s="389" t="s">
        <v>591</v>
      </c>
      <c r="E1656" s="390" t="s">
        <v>370</v>
      </c>
      <c r="F1656" s="391">
        <v>24562.0</v>
      </c>
      <c r="G1656" s="391">
        <v>23415.0</v>
      </c>
      <c r="H1656" s="391">
        <v>95.33</v>
      </c>
      <c r="I1656" s="391">
        <v>50.72</v>
      </c>
      <c r="J1656" s="391">
        <v>45.6</v>
      </c>
      <c r="K1656" s="391">
        <v>241256.0</v>
      </c>
      <c r="L1656" s="391">
        <v>475698.0</v>
      </c>
      <c r="M1656" s="391">
        <v>9.8223</v>
      </c>
      <c r="N1656" s="38">
        <v>10.3035</v>
      </c>
    </row>
    <row r="1657">
      <c r="A1657" s="389" t="s">
        <v>1972</v>
      </c>
      <c r="B1657" s="389" t="s">
        <v>339</v>
      </c>
      <c r="C1657" s="389" t="s">
        <v>7</v>
      </c>
      <c r="D1657" s="389" t="s">
        <v>591</v>
      </c>
      <c r="E1657" s="390" t="s">
        <v>371</v>
      </c>
      <c r="F1657" s="391">
        <v>24562.0</v>
      </c>
      <c r="G1657" s="391">
        <v>19615.0</v>
      </c>
      <c r="H1657" s="391">
        <v>79.86</v>
      </c>
      <c r="I1657" s="391">
        <v>17.11</v>
      </c>
      <c r="J1657" s="391">
        <v>20.89</v>
      </c>
      <c r="K1657" s="391">
        <v>81390.0</v>
      </c>
      <c r="L1657" s="391">
        <v>475698.0</v>
      </c>
      <c r="M1657" s="391">
        <v>3.3137</v>
      </c>
      <c r="N1657" s="38">
        <v>4.1494</v>
      </c>
    </row>
    <row r="1658">
      <c r="A1658" s="389" t="s">
        <v>1972</v>
      </c>
      <c r="B1658" s="389" t="s">
        <v>339</v>
      </c>
      <c r="C1658" s="389" t="s">
        <v>7</v>
      </c>
      <c r="D1658" s="389" t="s">
        <v>591</v>
      </c>
      <c r="E1658" s="390" t="s">
        <v>369</v>
      </c>
      <c r="F1658" s="391">
        <v>24562.0</v>
      </c>
      <c r="G1658" s="391">
        <v>18040.0</v>
      </c>
      <c r="H1658" s="391">
        <v>73.45</v>
      </c>
      <c r="I1658" s="391">
        <v>9.09</v>
      </c>
      <c r="J1658" s="391">
        <v>9.55</v>
      </c>
      <c r="K1658" s="391">
        <v>43228.0</v>
      </c>
      <c r="L1658" s="391">
        <v>475698.0</v>
      </c>
      <c r="M1658" s="391">
        <v>1.76</v>
      </c>
      <c r="N1658" s="38">
        <v>2.3962</v>
      </c>
    </row>
    <row r="1659">
      <c r="A1659" s="389" t="s">
        <v>1972</v>
      </c>
      <c r="B1659" s="389" t="s">
        <v>339</v>
      </c>
      <c r="C1659" s="389" t="s">
        <v>7</v>
      </c>
      <c r="D1659" s="389" t="s">
        <v>591</v>
      </c>
      <c r="E1659" s="390" t="s">
        <v>44</v>
      </c>
      <c r="F1659" s="391">
        <v>24562.0</v>
      </c>
      <c r="G1659" s="391">
        <v>12054.0</v>
      </c>
      <c r="H1659" s="391">
        <v>49.08</v>
      </c>
      <c r="I1659" s="391">
        <v>5.27</v>
      </c>
      <c r="J1659" s="391">
        <v>5.0</v>
      </c>
      <c r="K1659" s="391">
        <v>25056.0</v>
      </c>
      <c r="L1659" s="391">
        <v>475698.0</v>
      </c>
      <c r="M1659" s="391">
        <v>1.0201</v>
      </c>
      <c r="N1659" s="38">
        <v>2.0786</v>
      </c>
    </row>
    <row r="1660">
      <c r="A1660" s="389" t="s">
        <v>1972</v>
      </c>
      <c r="B1660" s="389" t="s">
        <v>339</v>
      </c>
      <c r="C1660" s="389" t="s">
        <v>7</v>
      </c>
      <c r="D1660" s="389" t="s">
        <v>591</v>
      </c>
      <c r="E1660" s="390" t="s">
        <v>39</v>
      </c>
      <c r="F1660" s="391">
        <v>24562.0</v>
      </c>
      <c r="G1660" s="391">
        <v>13823.0</v>
      </c>
      <c r="H1660" s="391">
        <v>56.28</v>
      </c>
      <c r="I1660" s="391">
        <v>4.41</v>
      </c>
      <c r="J1660" s="391">
        <v>4.82</v>
      </c>
      <c r="K1660" s="391">
        <v>20971.0</v>
      </c>
      <c r="L1660" s="391">
        <v>475698.0</v>
      </c>
      <c r="M1660" s="391">
        <v>0.8538</v>
      </c>
      <c r="N1660" s="38">
        <v>1.5171</v>
      </c>
    </row>
    <row r="1661">
      <c r="A1661" s="389" t="s">
        <v>1972</v>
      </c>
      <c r="B1661" s="389" t="s">
        <v>339</v>
      </c>
      <c r="C1661" s="389" t="s">
        <v>7</v>
      </c>
      <c r="D1661" s="389" t="s">
        <v>591</v>
      </c>
      <c r="E1661" s="390" t="s">
        <v>367</v>
      </c>
      <c r="F1661" s="391">
        <v>24562.0</v>
      </c>
      <c r="G1661" s="391">
        <v>7587.0</v>
      </c>
      <c r="H1661" s="391">
        <v>30.89</v>
      </c>
      <c r="I1661" s="391">
        <v>3.92</v>
      </c>
      <c r="J1661" s="391">
        <v>3.68</v>
      </c>
      <c r="K1661" s="391">
        <v>18649.0</v>
      </c>
      <c r="L1661" s="391">
        <v>475698.0</v>
      </c>
      <c r="M1661" s="391">
        <v>0.7593</v>
      </c>
      <c r="N1661" s="38">
        <v>2.458</v>
      </c>
    </row>
    <row r="1662">
      <c r="A1662" s="389" t="s">
        <v>1972</v>
      </c>
      <c r="B1662" s="389" t="s">
        <v>339</v>
      </c>
      <c r="C1662" s="389" t="s">
        <v>7</v>
      </c>
      <c r="D1662" s="389" t="s">
        <v>591</v>
      </c>
      <c r="E1662" s="390" t="s">
        <v>365</v>
      </c>
      <c r="F1662" s="391">
        <v>24562.0</v>
      </c>
      <c r="G1662" s="391">
        <v>8756.0</v>
      </c>
      <c r="H1662" s="391">
        <v>35.65</v>
      </c>
      <c r="I1662" s="391">
        <v>3.13</v>
      </c>
      <c r="J1662" s="391">
        <v>2.69</v>
      </c>
      <c r="K1662" s="391">
        <v>14888.0</v>
      </c>
      <c r="L1662" s="391">
        <v>475698.0</v>
      </c>
      <c r="M1662" s="391">
        <v>0.6061</v>
      </c>
      <c r="N1662" s="38">
        <v>1.7003</v>
      </c>
    </row>
    <row r="1663">
      <c r="A1663" s="389" t="s">
        <v>1972</v>
      </c>
      <c r="B1663" s="389" t="s">
        <v>339</v>
      </c>
      <c r="C1663" s="389" t="s">
        <v>7</v>
      </c>
      <c r="D1663" s="389" t="s">
        <v>591</v>
      </c>
      <c r="E1663" s="390" t="s">
        <v>368</v>
      </c>
      <c r="F1663" s="391">
        <v>24562.0</v>
      </c>
      <c r="G1663" s="391">
        <v>10135.0</v>
      </c>
      <c r="H1663" s="391">
        <v>41.26</v>
      </c>
      <c r="I1663" s="391">
        <v>2.54</v>
      </c>
      <c r="J1663" s="391">
        <v>3.52</v>
      </c>
      <c r="K1663" s="391">
        <v>12064.0</v>
      </c>
      <c r="L1663" s="391">
        <v>475698.0</v>
      </c>
      <c r="M1663" s="391">
        <v>0.4912</v>
      </c>
      <c r="N1663" s="38">
        <v>1.1903</v>
      </c>
    </row>
    <row r="1664">
      <c r="A1664" s="389" t="s">
        <v>1972</v>
      </c>
      <c r="B1664" s="389" t="s">
        <v>339</v>
      </c>
      <c r="C1664" s="389" t="s">
        <v>7</v>
      </c>
      <c r="D1664" s="389" t="s">
        <v>591</v>
      </c>
      <c r="E1664" s="390" t="s">
        <v>30</v>
      </c>
      <c r="F1664" s="391">
        <v>24562.0</v>
      </c>
      <c r="G1664" s="391">
        <v>4969.0</v>
      </c>
      <c r="H1664" s="391">
        <v>20.23</v>
      </c>
      <c r="I1664" s="391">
        <v>1.05</v>
      </c>
      <c r="J1664" s="391">
        <v>1.29</v>
      </c>
      <c r="K1664" s="391">
        <v>4999.0</v>
      </c>
      <c r="L1664" s="391">
        <v>475698.0</v>
      </c>
      <c r="M1664" s="391">
        <v>0.2035</v>
      </c>
      <c r="N1664" s="38">
        <v>1.006</v>
      </c>
    </row>
    <row r="1665">
      <c r="A1665" s="389" t="s">
        <v>1972</v>
      </c>
      <c r="B1665" s="389" t="s">
        <v>339</v>
      </c>
      <c r="C1665" s="389" t="s">
        <v>7</v>
      </c>
      <c r="D1665" s="389" t="s">
        <v>591</v>
      </c>
      <c r="E1665" s="390" t="s">
        <v>163</v>
      </c>
      <c r="F1665" s="391">
        <v>24562.0</v>
      </c>
      <c r="G1665" s="391">
        <v>4861.0</v>
      </c>
      <c r="H1665" s="391">
        <v>19.79</v>
      </c>
      <c r="I1665" s="391">
        <v>1.04</v>
      </c>
      <c r="J1665" s="391">
        <v>1.37</v>
      </c>
      <c r="K1665" s="391">
        <v>4950.0</v>
      </c>
      <c r="L1665" s="391">
        <v>475698.0</v>
      </c>
      <c r="M1665" s="391">
        <v>0.2015</v>
      </c>
      <c r="N1665" s="38">
        <v>1.0183</v>
      </c>
    </row>
    <row r="1666">
      <c r="A1666" s="389" t="s">
        <v>1972</v>
      </c>
      <c r="B1666" s="389" t="s">
        <v>339</v>
      </c>
      <c r="C1666" s="389" t="s">
        <v>7</v>
      </c>
      <c r="D1666" s="389" t="s">
        <v>591</v>
      </c>
      <c r="E1666" s="390" t="s">
        <v>108</v>
      </c>
      <c r="F1666" s="391">
        <v>24562.0</v>
      </c>
      <c r="G1666" s="391">
        <v>2506.0</v>
      </c>
      <c r="H1666" s="391">
        <v>10.2</v>
      </c>
      <c r="I1666" s="391">
        <v>0.75</v>
      </c>
      <c r="J1666" s="391">
        <v>0.59</v>
      </c>
      <c r="K1666" s="391">
        <v>3559.0</v>
      </c>
      <c r="L1666" s="391">
        <v>475698.0</v>
      </c>
      <c r="M1666" s="391">
        <v>0.1449</v>
      </c>
      <c r="N1666" s="38">
        <v>1.4202</v>
      </c>
    </row>
    <row r="1667">
      <c r="A1667" s="389" t="s">
        <v>1972</v>
      </c>
      <c r="B1667" s="389" t="s">
        <v>339</v>
      </c>
      <c r="C1667" s="389" t="s">
        <v>7</v>
      </c>
      <c r="D1667" s="389" t="s">
        <v>591</v>
      </c>
      <c r="E1667" s="390" t="s">
        <v>37</v>
      </c>
      <c r="F1667" s="391">
        <v>24562.0</v>
      </c>
      <c r="G1667" s="391">
        <v>1947.0</v>
      </c>
      <c r="H1667" s="391">
        <v>7.93</v>
      </c>
      <c r="I1667" s="391">
        <v>0.46</v>
      </c>
      <c r="J1667" s="391">
        <v>0.52</v>
      </c>
      <c r="K1667" s="391">
        <v>2209.0</v>
      </c>
      <c r="L1667" s="391">
        <v>475698.0</v>
      </c>
      <c r="M1667" s="391">
        <v>0.0899</v>
      </c>
      <c r="N1667" s="38">
        <v>1.1346</v>
      </c>
    </row>
    <row r="1668">
      <c r="A1668" s="389" t="s">
        <v>1972</v>
      </c>
      <c r="B1668" s="389" t="s">
        <v>339</v>
      </c>
      <c r="C1668" s="389" t="s">
        <v>7</v>
      </c>
      <c r="D1668" s="389" t="s">
        <v>591</v>
      </c>
      <c r="E1668" s="390" t="s">
        <v>45</v>
      </c>
      <c r="F1668" s="391">
        <v>24562.0</v>
      </c>
      <c r="G1668" s="391">
        <v>1818.0</v>
      </c>
      <c r="H1668" s="391">
        <v>7.4</v>
      </c>
      <c r="I1668" s="391">
        <v>0.45</v>
      </c>
      <c r="J1668" s="391">
        <v>0.4</v>
      </c>
      <c r="K1668" s="391">
        <v>2120.0</v>
      </c>
      <c r="L1668" s="391">
        <v>475698.0</v>
      </c>
      <c r="M1668" s="391">
        <v>0.0863</v>
      </c>
      <c r="N1668" s="38">
        <v>1.1661</v>
      </c>
    </row>
    <row r="1669">
      <c r="A1669" s="389" t="s">
        <v>1972</v>
      </c>
      <c r="B1669" s="389" t="s">
        <v>339</v>
      </c>
      <c r="C1669" s="389" t="s">
        <v>7</v>
      </c>
      <c r="D1669" s="389" t="s">
        <v>591</v>
      </c>
      <c r="E1669" s="390" t="s">
        <v>38</v>
      </c>
      <c r="F1669" s="391">
        <v>24562.0</v>
      </c>
      <c r="G1669" s="391">
        <v>340.0</v>
      </c>
      <c r="H1669" s="391">
        <v>1.38</v>
      </c>
      <c r="I1669" s="391">
        <v>0.07</v>
      </c>
      <c r="J1669" s="391">
        <v>0.08</v>
      </c>
      <c r="K1669" s="391">
        <v>349.0</v>
      </c>
      <c r="L1669" s="391">
        <v>475698.0</v>
      </c>
      <c r="M1669" s="391">
        <v>0.0142</v>
      </c>
      <c r="N1669" s="38">
        <v>1.0265</v>
      </c>
    </row>
    <row r="1670">
      <c r="A1670" s="389" t="s">
        <v>1972</v>
      </c>
      <c r="B1670" s="389" t="s">
        <v>339</v>
      </c>
      <c r="C1670" s="389" t="s">
        <v>7</v>
      </c>
      <c r="D1670" s="389" t="s">
        <v>591</v>
      </c>
      <c r="E1670" s="390" t="s">
        <v>283</v>
      </c>
      <c r="F1670" s="391">
        <v>24562.0</v>
      </c>
      <c r="G1670" s="391">
        <v>2.0</v>
      </c>
      <c r="H1670" s="391">
        <v>0.01</v>
      </c>
      <c r="I1670" s="391">
        <v>0.0</v>
      </c>
      <c r="J1670" s="391">
        <v>0.0</v>
      </c>
      <c r="K1670" s="391">
        <v>3.0</v>
      </c>
      <c r="L1670" s="391">
        <v>475698.0</v>
      </c>
      <c r="M1670" s="391">
        <v>1.0E-4</v>
      </c>
      <c r="N1670" s="38">
        <v>1.5</v>
      </c>
    </row>
    <row r="1671">
      <c r="A1671" s="389" t="s">
        <v>1972</v>
      </c>
      <c r="B1671" s="389" t="s">
        <v>339</v>
      </c>
      <c r="C1671" s="389" t="s">
        <v>7</v>
      </c>
      <c r="D1671" s="389" t="s">
        <v>591</v>
      </c>
      <c r="E1671" s="390" t="s">
        <v>27</v>
      </c>
      <c r="F1671" s="391">
        <v>24562.0</v>
      </c>
      <c r="G1671" s="391">
        <v>6.0</v>
      </c>
      <c r="H1671" s="391">
        <v>0.02</v>
      </c>
      <c r="I1671" s="391">
        <v>0.0</v>
      </c>
      <c r="J1671" s="391">
        <v>0.0</v>
      </c>
      <c r="K1671" s="391">
        <v>6.0</v>
      </c>
      <c r="L1671" s="391">
        <v>475698.0</v>
      </c>
      <c r="M1671" s="391">
        <v>2.0E-4</v>
      </c>
      <c r="N1671" s="38">
        <v>1.0</v>
      </c>
    </row>
    <row r="1672">
      <c r="A1672" s="389" t="s">
        <v>1972</v>
      </c>
      <c r="B1672" s="389" t="s">
        <v>339</v>
      </c>
      <c r="C1672" s="389" t="s">
        <v>7</v>
      </c>
      <c r="D1672" s="389" t="s">
        <v>591</v>
      </c>
      <c r="E1672" s="390" t="s">
        <v>366</v>
      </c>
      <c r="F1672" s="391">
        <v>24562.0</v>
      </c>
      <c r="G1672" s="391">
        <v>1.0</v>
      </c>
      <c r="H1672" s="391">
        <v>0.0</v>
      </c>
      <c r="I1672" s="391">
        <v>0.0</v>
      </c>
      <c r="J1672" s="391">
        <v>0.0</v>
      </c>
      <c r="K1672" s="391">
        <v>1.0</v>
      </c>
      <c r="L1672" s="391">
        <v>475698.0</v>
      </c>
      <c r="M1672" s="391">
        <v>0.0</v>
      </c>
      <c r="N1672" s="38">
        <v>1.0</v>
      </c>
    </row>
    <row r="1673">
      <c r="A1673" s="389" t="s">
        <v>1972</v>
      </c>
      <c r="B1673" s="389" t="s">
        <v>339</v>
      </c>
      <c r="C1673" s="389" t="s">
        <v>11</v>
      </c>
      <c r="D1673" s="389" t="s">
        <v>591</v>
      </c>
      <c r="E1673" s="390" t="s">
        <v>370</v>
      </c>
      <c r="F1673" s="391">
        <v>22956.0</v>
      </c>
      <c r="G1673" s="391">
        <v>19908.0</v>
      </c>
      <c r="H1673" s="391">
        <v>86.72</v>
      </c>
      <c r="I1673" s="391">
        <v>29.96</v>
      </c>
      <c r="J1673" s="391">
        <v>35.69</v>
      </c>
      <c r="K1673" s="391">
        <v>60606.0</v>
      </c>
      <c r="L1673" s="391">
        <v>202313.0</v>
      </c>
      <c r="M1673" s="391">
        <v>2.6401</v>
      </c>
      <c r="N1673" s="38">
        <v>3.0443</v>
      </c>
    </row>
    <row r="1674">
      <c r="A1674" s="389" t="s">
        <v>1972</v>
      </c>
      <c r="B1674" s="389" t="s">
        <v>339</v>
      </c>
      <c r="C1674" s="389" t="s">
        <v>11</v>
      </c>
      <c r="D1674" s="389" t="s">
        <v>591</v>
      </c>
      <c r="E1674" s="390" t="s">
        <v>371</v>
      </c>
      <c r="F1674" s="391">
        <v>22956.0</v>
      </c>
      <c r="G1674" s="391">
        <v>6900.0</v>
      </c>
      <c r="H1674" s="391">
        <v>30.06</v>
      </c>
      <c r="I1674" s="391">
        <v>10.56</v>
      </c>
      <c r="J1674" s="391">
        <v>8.76</v>
      </c>
      <c r="K1674" s="391">
        <v>21361.0</v>
      </c>
      <c r="L1674" s="391">
        <v>202313.0</v>
      </c>
      <c r="M1674" s="391">
        <v>0.9305</v>
      </c>
      <c r="N1674" s="38">
        <v>3.0958</v>
      </c>
    </row>
    <row r="1675">
      <c r="A1675" s="389" t="s">
        <v>1972</v>
      </c>
      <c r="B1675" s="389" t="s">
        <v>339</v>
      </c>
      <c r="C1675" s="389" t="s">
        <v>11</v>
      </c>
      <c r="D1675" s="389" t="s">
        <v>591</v>
      </c>
      <c r="E1675" s="390" t="s">
        <v>37</v>
      </c>
      <c r="F1675" s="391">
        <v>22956.0</v>
      </c>
      <c r="G1675" s="391">
        <v>9151.0</v>
      </c>
      <c r="H1675" s="391">
        <v>39.86</v>
      </c>
      <c r="I1675" s="391">
        <v>9.69</v>
      </c>
      <c r="J1675" s="391">
        <v>10.43</v>
      </c>
      <c r="K1675" s="391">
        <v>19597.0</v>
      </c>
      <c r="L1675" s="391">
        <v>202313.0</v>
      </c>
      <c r="M1675" s="391">
        <v>0.8537</v>
      </c>
      <c r="N1675" s="38">
        <v>2.1415</v>
      </c>
    </row>
    <row r="1676">
      <c r="A1676" s="389" t="s">
        <v>1972</v>
      </c>
      <c r="B1676" s="389" t="s">
        <v>339</v>
      </c>
      <c r="C1676" s="389" t="s">
        <v>11</v>
      </c>
      <c r="D1676" s="389" t="s">
        <v>591</v>
      </c>
      <c r="E1676" s="390" t="s">
        <v>369</v>
      </c>
      <c r="F1676" s="391">
        <v>22956.0</v>
      </c>
      <c r="G1676" s="391">
        <v>7631.0</v>
      </c>
      <c r="H1676" s="391">
        <v>33.24</v>
      </c>
      <c r="I1676" s="391">
        <v>8.12</v>
      </c>
      <c r="J1676" s="391">
        <v>5.69</v>
      </c>
      <c r="K1676" s="391">
        <v>16422.0</v>
      </c>
      <c r="L1676" s="391">
        <v>202313.0</v>
      </c>
      <c r="M1676" s="391">
        <v>0.7154</v>
      </c>
      <c r="N1676" s="38">
        <v>2.152</v>
      </c>
    </row>
    <row r="1677">
      <c r="A1677" s="389" t="s">
        <v>1972</v>
      </c>
      <c r="B1677" s="389" t="s">
        <v>339</v>
      </c>
      <c r="C1677" s="389" t="s">
        <v>11</v>
      </c>
      <c r="D1677" s="389" t="s">
        <v>591</v>
      </c>
      <c r="E1677" s="390" t="s">
        <v>365</v>
      </c>
      <c r="F1677" s="391">
        <v>22956.0</v>
      </c>
      <c r="G1677" s="391">
        <v>9995.0</v>
      </c>
      <c r="H1677" s="391">
        <v>43.54</v>
      </c>
      <c r="I1677" s="391">
        <v>7.9</v>
      </c>
      <c r="J1677" s="391">
        <v>8.63</v>
      </c>
      <c r="K1677" s="391">
        <v>15991.0</v>
      </c>
      <c r="L1677" s="391">
        <v>202313.0</v>
      </c>
      <c r="M1677" s="391">
        <v>0.6966</v>
      </c>
      <c r="N1677" s="38">
        <v>1.5999</v>
      </c>
    </row>
    <row r="1678">
      <c r="A1678" s="389" t="s">
        <v>1972</v>
      </c>
      <c r="B1678" s="389" t="s">
        <v>339</v>
      </c>
      <c r="C1678" s="389" t="s">
        <v>11</v>
      </c>
      <c r="D1678" s="389" t="s">
        <v>591</v>
      </c>
      <c r="E1678" s="390" t="s">
        <v>45</v>
      </c>
      <c r="F1678" s="391">
        <v>22956.0</v>
      </c>
      <c r="G1678" s="391">
        <v>8476.0</v>
      </c>
      <c r="H1678" s="391">
        <v>36.92</v>
      </c>
      <c r="I1678" s="391">
        <v>6.92</v>
      </c>
      <c r="J1678" s="391">
        <v>7.79</v>
      </c>
      <c r="K1678" s="391">
        <v>14003.0</v>
      </c>
      <c r="L1678" s="391">
        <v>202313.0</v>
      </c>
      <c r="M1678" s="391">
        <v>0.61</v>
      </c>
      <c r="N1678" s="38">
        <v>1.6521</v>
      </c>
    </row>
    <row r="1679">
      <c r="A1679" s="389" t="s">
        <v>1972</v>
      </c>
      <c r="B1679" s="389" t="s">
        <v>339</v>
      </c>
      <c r="C1679" s="389" t="s">
        <v>11</v>
      </c>
      <c r="D1679" s="389" t="s">
        <v>591</v>
      </c>
      <c r="E1679" s="390" t="s">
        <v>108</v>
      </c>
      <c r="F1679" s="391">
        <v>22956.0</v>
      </c>
      <c r="G1679" s="391">
        <v>6785.0</v>
      </c>
      <c r="H1679" s="391">
        <v>29.56</v>
      </c>
      <c r="I1679" s="391">
        <v>6.84</v>
      </c>
      <c r="J1679" s="391">
        <v>7.38</v>
      </c>
      <c r="K1679" s="391">
        <v>13835.0</v>
      </c>
      <c r="L1679" s="391">
        <v>202313.0</v>
      </c>
      <c r="M1679" s="391">
        <v>0.6027</v>
      </c>
      <c r="N1679" s="38">
        <v>2.0391</v>
      </c>
    </row>
    <row r="1680">
      <c r="A1680" s="389" t="s">
        <v>1972</v>
      </c>
      <c r="B1680" s="389" t="s">
        <v>339</v>
      </c>
      <c r="C1680" s="389" t="s">
        <v>11</v>
      </c>
      <c r="D1680" s="389" t="s">
        <v>591</v>
      </c>
      <c r="E1680" s="390" t="s">
        <v>39</v>
      </c>
      <c r="F1680" s="391">
        <v>22956.0</v>
      </c>
      <c r="G1680" s="391">
        <v>7782.0</v>
      </c>
      <c r="H1680" s="391">
        <v>33.9</v>
      </c>
      <c r="I1680" s="391">
        <v>5.89</v>
      </c>
      <c r="J1680" s="391">
        <v>4.53</v>
      </c>
      <c r="K1680" s="391">
        <v>11922.0</v>
      </c>
      <c r="L1680" s="391">
        <v>202313.0</v>
      </c>
      <c r="M1680" s="391">
        <v>0.5193</v>
      </c>
      <c r="N1680" s="38">
        <v>1.532</v>
      </c>
    </row>
    <row r="1681">
      <c r="A1681" s="389" t="s">
        <v>1972</v>
      </c>
      <c r="B1681" s="389" t="s">
        <v>339</v>
      </c>
      <c r="C1681" s="389" t="s">
        <v>11</v>
      </c>
      <c r="D1681" s="389" t="s">
        <v>591</v>
      </c>
      <c r="E1681" s="390" t="s">
        <v>363</v>
      </c>
      <c r="F1681" s="391">
        <v>22956.0</v>
      </c>
      <c r="G1681" s="391">
        <v>3486.0</v>
      </c>
      <c r="H1681" s="391">
        <v>15.19</v>
      </c>
      <c r="I1681" s="391">
        <v>3.28</v>
      </c>
      <c r="J1681" s="391">
        <v>2.52</v>
      </c>
      <c r="K1681" s="391">
        <v>6635.0</v>
      </c>
      <c r="L1681" s="391">
        <v>202313.0</v>
      </c>
      <c r="M1681" s="391">
        <v>0.289</v>
      </c>
      <c r="N1681" s="38">
        <v>1.9033</v>
      </c>
    </row>
    <row r="1682">
      <c r="A1682" s="389" t="s">
        <v>1972</v>
      </c>
      <c r="B1682" s="389" t="s">
        <v>339</v>
      </c>
      <c r="C1682" s="389" t="s">
        <v>11</v>
      </c>
      <c r="D1682" s="389" t="s">
        <v>591</v>
      </c>
      <c r="E1682" s="390" t="s">
        <v>368</v>
      </c>
      <c r="F1682" s="391">
        <v>22956.0</v>
      </c>
      <c r="G1682" s="391">
        <v>3193.0</v>
      </c>
      <c r="H1682" s="391">
        <v>13.91</v>
      </c>
      <c r="I1682" s="391">
        <v>1.92</v>
      </c>
      <c r="J1682" s="391">
        <v>1.1</v>
      </c>
      <c r="K1682" s="391">
        <v>3893.0</v>
      </c>
      <c r="L1682" s="391">
        <v>202313.0</v>
      </c>
      <c r="M1682" s="391">
        <v>0.1696</v>
      </c>
      <c r="N1682" s="38">
        <v>1.2192</v>
      </c>
    </row>
    <row r="1683">
      <c r="A1683" s="389" t="s">
        <v>1972</v>
      </c>
      <c r="B1683" s="389" t="s">
        <v>339</v>
      </c>
      <c r="C1683" s="389" t="s">
        <v>11</v>
      </c>
      <c r="D1683" s="389" t="s">
        <v>591</v>
      </c>
      <c r="E1683" s="390" t="s">
        <v>282</v>
      </c>
      <c r="F1683" s="391">
        <v>22956.0</v>
      </c>
      <c r="G1683" s="391">
        <v>3045.0</v>
      </c>
      <c r="H1683" s="391">
        <v>13.26</v>
      </c>
      <c r="I1683" s="391">
        <v>1.79</v>
      </c>
      <c r="J1683" s="391">
        <v>1.69</v>
      </c>
      <c r="K1683" s="391">
        <v>3620.0</v>
      </c>
      <c r="L1683" s="391">
        <v>202313.0</v>
      </c>
      <c r="M1683" s="391">
        <v>0.1577</v>
      </c>
      <c r="N1683" s="38">
        <v>1.1888</v>
      </c>
    </row>
    <row r="1684">
      <c r="A1684" s="389" t="s">
        <v>1972</v>
      </c>
      <c r="B1684" s="389" t="s">
        <v>339</v>
      </c>
      <c r="C1684" s="389" t="s">
        <v>11</v>
      </c>
      <c r="D1684" s="389" t="s">
        <v>591</v>
      </c>
      <c r="E1684" s="390" t="s">
        <v>283</v>
      </c>
      <c r="F1684" s="391">
        <v>22956.0</v>
      </c>
      <c r="G1684" s="391">
        <v>3089.0</v>
      </c>
      <c r="H1684" s="391">
        <v>13.46</v>
      </c>
      <c r="I1684" s="391">
        <v>1.79</v>
      </c>
      <c r="J1684" s="391">
        <v>1.7</v>
      </c>
      <c r="K1684" s="391">
        <v>3621.0</v>
      </c>
      <c r="L1684" s="391">
        <v>202313.0</v>
      </c>
      <c r="M1684" s="391">
        <v>0.1577</v>
      </c>
      <c r="N1684" s="38">
        <v>1.1722</v>
      </c>
    </row>
    <row r="1685">
      <c r="A1685" s="389" t="s">
        <v>1972</v>
      </c>
      <c r="B1685" s="389" t="s">
        <v>339</v>
      </c>
      <c r="C1685" s="389" t="s">
        <v>11</v>
      </c>
      <c r="D1685" s="389" t="s">
        <v>591</v>
      </c>
      <c r="E1685" s="390" t="s">
        <v>284</v>
      </c>
      <c r="F1685" s="391">
        <v>22956.0</v>
      </c>
      <c r="G1685" s="391">
        <v>2848.0</v>
      </c>
      <c r="H1685" s="391">
        <v>12.41</v>
      </c>
      <c r="I1685" s="391">
        <v>1.72</v>
      </c>
      <c r="J1685" s="391">
        <v>1.44</v>
      </c>
      <c r="K1685" s="391">
        <v>3483.0</v>
      </c>
      <c r="L1685" s="391">
        <v>202313.0</v>
      </c>
      <c r="M1685" s="391">
        <v>0.1517</v>
      </c>
      <c r="N1685" s="38">
        <v>1.223</v>
      </c>
    </row>
    <row r="1686">
      <c r="A1686" s="389" t="s">
        <v>1972</v>
      </c>
      <c r="B1686" s="389" t="s">
        <v>339</v>
      </c>
      <c r="C1686" s="389" t="s">
        <v>11</v>
      </c>
      <c r="D1686" s="389" t="s">
        <v>591</v>
      </c>
      <c r="E1686" s="390" t="s">
        <v>35</v>
      </c>
      <c r="F1686" s="391">
        <v>22956.0</v>
      </c>
      <c r="G1686" s="391">
        <v>2092.0</v>
      </c>
      <c r="H1686" s="391">
        <v>9.11</v>
      </c>
      <c r="I1686" s="391">
        <v>1.6</v>
      </c>
      <c r="J1686" s="391">
        <v>1.36</v>
      </c>
      <c r="K1686" s="391">
        <v>3245.0</v>
      </c>
      <c r="L1686" s="391">
        <v>202313.0</v>
      </c>
      <c r="M1686" s="391">
        <v>0.1414</v>
      </c>
      <c r="N1686" s="38">
        <v>1.5511</v>
      </c>
    </row>
    <row r="1687">
      <c r="A1687" s="389" t="s">
        <v>1972</v>
      </c>
      <c r="B1687" s="389" t="s">
        <v>339</v>
      </c>
      <c r="C1687" s="389" t="s">
        <v>11</v>
      </c>
      <c r="D1687" s="389" t="s">
        <v>591</v>
      </c>
      <c r="E1687" s="390" t="s">
        <v>366</v>
      </c>
      <c r="F1687" s="391">
        <v>22956.0</v>
      </c>
      <c r="G1687" s="391">
        <v>1841.0</v>
      </c>
      <c r="H1687" s="391">
        <v>8.02</v>
      </c>
      <c r="I1687" s="391">
        <v>0.95</v>
      </c>
      <c r="J1687" s="391">
        <v>0.59</v>
      </c>
      <c r="K1687" s="391">
        <v>1924.0</v>
      </c>
      <c r="L1687" s="391">
        <v>202313.0</v>
      </c>
      <c r="M1687" s="391">
        <v>0.0838</v>
      </c>
      <c r="N1687" s="38">
        <v>1.0451</v>
      </c>
    </row>
    <row r="1688">
      <c r="A1688" s="389" t="s">
        <v>1972</v>
      </c>
      <c r="B1688" s="389" t="s">
        <v>339</v>
      </c>
      <c r="C1688" s="389" t="s">
        <v>11</v>
      </c>
      <c r="D1688" s="389" t="s">
        <v>591</v>
      </c>
      <c r="E1688" s="390" t="s">
        <v>38</v>
      </c>
      <c r="F1688" s="391">
        <v>22956.0</v>
      </c>
      <c r="G1688" s="391">
        <v>760.0</v>
      </c>
      <c r="H1688" s="391">
        <v>3.31</v>
      </c>
      <c r="I1688" s="391">
        <v>0.39</v>
      </c>
      <c r="J1688" s="391">
        <v>0.27</v>
      </c>
      <c r="K1688" s="391">
        <v>794.0</v>
      </c>
      <c r="L1688" s="391">
        <v>202313.0</v>
      </c>
      <c r="M1688" s="391">
        <v>0.0346</v>
      </c>
      <c r="N1688" s="38">
        <v>1.0447</v>
      </c>
    </row>
    <row r="1689">
      <c r="A1689" s="389" t="s">
        <v>1972</v>
      </c>
      <c r="B1689" s="389" t="s">
        <v>339</v>
      </c>
      <c r="C1689" s="389" t="s">
        <v>11</v>
      </c>
      <c r="D1689" s="389" t="s">
        <v>591</v>
      </c>
      <c r="E1689" s="390" t="s">
        <v>27</v>
      </c>
      <c r="F1689" s="391">
        <v>22956.0</v>
      </c>
      <c r="G1689" s="391">
        <v>762.0</v>
      </c>
      <c r="H1689" s="391">
        <v>3.32</v>
      </c>
      <c r="I1689" s="391">
        <v>0.38</v>
      </c>
      <c r="J1689" s="391">
        <v>0.34</v>
      </c>
      <c r="K1689" s="391">
        <v>778.0</v>
      </c>
      <c r="L1689" s="391">
        <v>202313.0</v>
      </c>
      <c r="M1689" s="391">
        <v>0.0339</v>
      </c>
      <c r="N1689" s="38">
        <v>1.021</v>
      </c>
    </row>
    <row r="1690">
      <c r="A1690" s="389" t="s">
        <v>1972</v>
      </c>
      <c r="B1690" s="389" t="s">
        <v>339</v>
      </c>
      <c r="C1690" s="389" t="s">
        <v>11</v>
      </c>
      <c r="D1690" s="389" t="s">
        <v>591</v>
      </c>
      <c r="E1690" s="390" t="s">
        <v>163</v>
      </c>
      <c r="F1690" s="391">
        <v>22956.0</v>
      </c>
      <c r="G1690" s="391">
        <v>566.0</v>
      </c>
      <c r="H1690" s="391">
        <v>2.47</v>
      </c>
      <c r="I1690" s="391">
        <v>0.29</v>
      </c>
      <c r="J1690" s="391">
        <v>0.11</v>
      </c>
      <c r="K1690" s="391">
        <v>581.0</v>
      </c>
      <c r="L1690" s="391">
        <v>202313.0</v>
      </c>
      <c r="M1690" s="391">
        <v>0.0253</v>
      </c>
      <c r="N1690" s="38">
        <v>1.0265</v>
      </c>
    </row>
    <row r="1691">
      <c r="A1691" s="389" t="s">
        <v>1972</v>
      </c>
      <c r="B1691" s="389" t="s">
        <v>339</v>
      </c>
      <c r="C1691" s="389" t="s">
        <v>11</v>
      </c>
      <c r="D1691" s="389" t="s">
        <v>591</v>
      </c>
      <c r="E1691" s="390" t="s">
        <v>367</v>
      </c>
      <c r="F1691" s="391">
        <v>22956.0</v>
      </c>
      <c r="G1691" s="391">
        <v>2.0</v>
      </c>
      <c r="H1691" s="391">
        <v>0.01</v>
      </c>
      <c r="I1691" s="391">
        <v>0.0</v>
      </c>
      <c r="J1691" s="391">
        <v>0.0</v>
      </c>
      <c r="K1691" s="391">
        <v>2.0</v>
      </c>
      <c r="L1691" s="391">
        <v>202313.0</v>
      </c>
      <c r="M1691" s="391">
        <v>1.0E-4</v>
      </c>
      <c r="N1691" s="38">
        <v>1.0</v>
      </c>
    </row>
    <row r="1692">
      <c r="A1692" s="389" t="s">
        <v>1972</v>
      </c>
      <c r="B1692" s="389" t="s">
        <v>339</v>
      </c>
      <c r="C1692" s="389" t="s">
        <v>357</v>
      </c>
      <c r="D1692" s="389" t="s">
        <v>357</v>
      </c>
      <c r="E1692" s="390" t="s">
        <v>370</v>
      </c>
      <c r="F1692" s="391">
        <v>24833.0</v>
      </c>
      <c r="G1692" s="391">
        <v>24716.0</v>
      </c>
      <c r="H1692" s="391">
        <v>99.53</v>
      </c>
      <c r="I1692" s="391">
        <v>30.96</v>
      </c>
      <c r="J1692" s="391">
        <v>32.81</v>
      </c>
      <c r="K1692" s="391">
        <v>1.1023725E7</v>
      </c>
      <c r="L1692" s="391">
        <v>3.5606518E7</v>
      </c>
      <c r="M1692" s="391">
        <v>443.9143</v>
      </c>
      <c r="N1692" s="38">
        <v>446.0157</v>
      </c>
    </row>
    <row r="1693">
      <c r="A1693" s="389" t="s">
        <v>1972</v>
      </c>
      <c r="B1693" s="389" t="s">
        <v>339</v>
      </c>
      <c r="C1693" s="389" t="s">
        <v>357</v>
      </c>
      <c r="D1693" s="389" t="s">
        <v>357</v>
      </c>
      <c r="E1693" s="390" t="s">
        <v>365</v>
      </c>
      <c r="F1693" s="391">
        <v>24833.0</v>
      </c>
      <c r="G1693" s="391">
        <v>21101.0</v>
      </c>
      <c r="H1693" s="391">
        <v>84.97</v>
      </c>
      <c r="I1693" s="391">
        <v>10.08</v>
      </c>
      <c r="J1693" s="391">
        <v>10.55</v>
      </c>
      <c r="K1693" s="391">
        <v>3590700.0</v>
      </c>
      <c r="L1693" s="391">
        <v>3.5606518E7</v>
      </c>
      <c r="M1693" s="391">
        <v>144.5939</v>
      </c>
      <c r="N1693" s="38">
        <v>170.1673</v>
      </c>
    </row>
    <row r="1694">
      <c r="A1694" s="389" t="s">
        <v>1972</v>
      </c>
      <c r="B1694" s="389" t="s">
        <v>339</v>
      </c>
      <c r="C1694" s="389" t="s">
        <v>357</v>
      </c>
      <c r="D1694" s="389" t="s">
        <v>357</v>
      </c>
      <c r="E1694" s="390" t="s">
        <v>369</v>
      </c>
      <c r="F1694" s="391">
        <v>24833.0</v>
      </c>
      <c r="G1694" s="391">
        <v>13381.0</v>
      </c>
      <c r="H1694" s="391">
        <v>53.88</v>
      </c>
      <c r="I1694" s="391">
        <v>7.31</v>
      </c>
      <c r="J1694" s="391">
        <v>5.94</v>
      </c>
      <c r="K1694" s="391">
        <v>2602578.0</v>
      </c>
      <c r="L1694" s="391">
        <v>3.5606518E7</v>
      </c>
      <c r="M1694" s="391">
        <v>104.8032</v>
      </c>
      <c r="N1694" s="38">
        <v>194.498</v>
      </c>
    </row>
    <row r="1695">
      <c r="A1695" s="389" t="s">
        <v>1972</v>
      </c>
      <c r="B1695" s="389" t="s">
        <v>339</v>
      </c>
      <c r="C1695" s="389" t="s">
        <v>357</v>
      </c>
      <c r="D1695" s="389" t="s">
        <v>357</v>
      </c>
      <c r="E1695" s="390" t="s">
        <v>366</v>
      </c>
      <c r="F1695" s="391">
        <v>24833.0</v>
      </c>
      <c r="G1695" s="391">
        <v>20515.0</v>
      </c>
      <c r="H1695" s="391">
        <v>82.61</v>
      </c>
      <c r="I1695" s="391">
        <v>6.8</v>
      </c>
      <c r="J1695" s="391">
        <v>7.31</v>
      </c>
      <c r="K1695" s="391">
        <v>2422970.0</v>
      </c>
      <c r="L1695" s="391">
        <v>3.5606518E7</v>
      </c>
      <c r="M1695" s="391">
        <v>97.5706</v>
      </c>
      <c r="N1695" s="38">
        <v>118.1072</v>
      </c>
    </row>
    <row r="1696">
      <c r="A1696" s="389" t="s">
        <v>1972</v>
      </c>
      <c r="B1696" s="389" t="s">
        <v>339</v>
      </c>
      <c r="C1696" s="389" t="s">
        <v>357</v>
      </c>
      <c r="D1696" s="389" t="s">
        <v>357</v>
      </c>
      <c r="E1696" s="390" t="s">
        <v>45</v>
      </c>
      <c r="F1696" s="391">
        <v>24833.0</v>
      </c>
      <c r="G1696" s="391">
        <v>14249.0</v>
      </c>
      <c r="H1696" s="391">
        <v>57.38</v>
      </c>
      <c r="I1696" s="391">
        <v>5.83</v>
      </c>
      <c r="J1696" s="391">
        <v>6.03</v>
      </c>
      <c r="K1696" s="391">
        <v>2076500.0</v>
      </c>
      <c r="L1696" s="391">
        <v>3.5606518E7</v>
      </c>
      <c r="M1696" s="391">
        <v>83.6186</v>
      </c>
      <c r="N1696" s="38">
        <v>145.7295</v>
      </c>
    </row>
    <row r="1697">
      <c r="A1697" s="389" t="s">
        <v>1972</v>
      </c>
      <c r="B1697" s="389" t="s">
        <v>339</v>
      </c>
      <c r="C1697" s="389" t="s">
        <v>357</v>
      </c>
      <c r="D1697" s="389" t="s">
        <v>357</v>
      </c>
      <c r="E1697" s="390" t="s">
        <v>371</v>
      </c>
      <c r="F1697" s="391">
        <v>24833.0</v>
      </c>
      <c r="G1697" s="391">
        <v>20571.0</v>
      </c>
      <c r="H1697" s="391">
        <v>82.84</v>
      </c>
      <c r="I1697" s="391">
        <v>5.43</v>
      </c>
      <c r="J1697" s="391">
        <v>7.54</v>
      </c>
      <c r="K1697" s="391">
        <v>1932405.0</v>
      </c>
      <c r="L1697" s="391">
        <v>3.5606518E7</v>
      </c>
      <c r="M1697" s="391">
        <v>77.816</v>
      </c>
      <c r="N1697" s="38">
        <v>93.9383</v>
      </c>
    </row>
    <row r="1698">
      <c r="A1698" s="389" t="s">
        <v>1972</v>
      </c>
      <c r="B1698" s="389" t="s">
        <v>339</v>
      </c>
      <c r="C1698" s="389" t="s">
        <v>357</v>
      </c>
      <c r="D1698" s="389" t="s">
        <v>357</v>
      </c>
      <c r="E1698" s="390" t="s">
        <v>37</v>
      </c>
      <c r="F1698" s="391">
        <v>24833.0</v>
      </c>
      <c r="G1698" s="391">
        <v>9320.0</v>
      </c>
      <c r="H1698" s="391">
        <v>37.53</v>
      </c>
      <c r="I1698" s="391">
        <v>4.13</v>
      </c>
      <c r="J1698" s="391">
        <v>4.39</v>
      </c>
      <c r="K1698" s="391">
        <v>1469080.0</v>
      </c>
      <c r="L1698" s="391">
        <v>3.5606518E7</v>
      </c>
      <c r="M1698" s="391">
        <v>59.1584</v>
      </c>
      <c r="N1698" s="38">
        <v>157.6266</v>
      </c>
    </row>
    <row r="1699">
      <c r="A1699" s="389" t="s">
        <v>1972</v>
      </c>
      <c r="B1699" s="389" t="s">
        <v>339</v>
      </c>
      <c r="C1699" s="389" t="s">
        <v>357</v>
      </c>
      <c r="D1699" s="389" t="s">
        <v>357</v>
      </c>
      <c r="E1699" s="390" t="s">
        <v>367</v>
      </c>
      <c r="F1699" s="391">
        <v>24833.0</v>
      </c>
      <c r="G1699" s="391">
        <v>9288.0</v>
      </c>
      <c r="H1699" s="391">
        <v>37.4</v>
      </c>
      <c r="I1699" s="391">
        <v>4.04</v>
      </c>
      <c r="J1699" s="391">
        <v>4.12</v>
      </c>
      <c r="K1699" s="391">
        <v>1437195.0</v>
      </c>
      <c r="L1699" s="391">
        <v>3.5606518E7</v>
      </c>
      <c r="M1699" s="391">
        <v>57.8744</v>
      </c>
      <c r="N1699" s="38">
        <v>154.7368</v>
      </c>
    </row>
    <row r="1700">
      <c r="A1700" s="389" t="s">
        <v>1972</v>
      </c>
      <c r="B1700" s="389" t="s">
        <v>339</v>
      </c>
      <c r="C1700" s="389" t="s">
        <v>357</v>
      </c>
      <c r="D1700" s="389" t="s">
        <v>357</v>
      </c>
      <c r="E1700" s="390" t="s">
        <v>108</v>
      </c>
      <c r="F1700" s="391">
        <v>24833.0</v>
      </c>
      <c r="G1700" s="391">
        <v>8065.0</v>
      </c>
      <c r="H1700" s="391">
        <v>32.48</v>
      </c>
      <c r="I1700" s="391">
        <v>3.71</v>
      </c>
      <c r="J1700" s="391">
        <v>3.23</v>
      </c>
      <c r="K1700" s="391">
        <v>1320095.0</v>
      </c>
      <c r="L1700" s="391">
        <v>3.5606518E7</v>
      </c>
      <c r="M1700" s="391">
        <v>53.1589</v>
      </c>
      <c r="N1700" s="38">
        <v>163.682</v>
      </c>
    </row>
    <row r="1701">
      <c r="A1701" s="389" t="s">
        <v>1972</v>
      </c>
      <c r="B1701" s="389" t="s">
        <v>339</v>
      </c>
      <c r="C1701" s="389" t="s">
        <v>357</v>
      </c>
      <c r="D1701" s="389" t="s">
        <v>357</v>
      </c>
      <c r="E1701" s="390" t="s">
        <v>35</v>
      </c>
      <c r="F1701" s="391">
        <v>24833.0</v>
      </c>
      <c r="G1701" s="391">
        <v>9097.0</v>
      </c>
      <c r="H1701" s="391">
        <v>36.63</v>
      </c>
      <c r="I1701" s="391">
        <v>3.28</v>
      </c>
      <c r="J1701" s="391">
        <v>2.84</v>
      </c>
      <c r="K1701" s="391">
        <v>1166820.0</v>
      </c>
      <c r="L1701" s="391">
        <v>3.5606518E7</v>
      </c>
      <c r="M1701" s="391">
        <v>46.9867</v>
      </c>
      <c r="N1701" s="38">
        <v>128.2643</v>
      </c>
    </row>
    <row r="1702">
      <c r="A1702" s="389" t="s">
        <v>1972</v>
      </c>
      <c r="B1702" s="389" t="s">
        <v>339</v>
      </c>
      <c r="C1702" s="389" t="s">
        <v>357</v>
      </c>
      <c r="D1702" s="389" t="s">
        <v>357</v>
      </c>
      <c r="E1702" s="390" t="s">
        <v>282</v>
      </c>
      <c r="F1702" s="391">
        <v>24833.0</v>
      </c>
      <c r="G1702" s="391">
        <v>5876.0</v>
      </c>
      <c r="H1702" s="391">
        <v>23.66</v>
      </c>
      <c r="I1702" s="391">
        <v>2.96</v>
      </c>
      <c r="J1702" s="391">
        <v>2.33</v>
      </c>
      <c r="K1702" s="391">
        <v>1053650.0</v>
      </c>
      <c r="L1702" s="391">
        <v>3.5606518E7</v>
      </c>
      <c r="M1702" s="391">
        <v>42.4294</v>
      </c>
      <c r="N1702" s="38">
        <v>179.3142</v>
      </c>
    </row>
    <row r="1703">
      <c r="A1703" s="389" t="s">
        <v>1972</v>
      </c>
      <c r="B1703" s="389" t="s">
        <v>339</v>
      </c>
      <c r="C1703" s="389" t="s">
        <v>357</v>
      </c>
      <c r="D1703" s="389" t="s">
        <v>357</v>
      </c>
      <c r="E1703" s="390" t="s">
        <v>283</v>
      </c>
      <c r="F1703" s="391">
        <v>24833.0</v>
      </c>
      <c r="G1703" s="391">
        <v>5860.0</v>
      </c>
      <c r="H1703" s="391">
        <v>23.6</v>
      </c>
      <c r="I1703" s="391">
        <v>2.94</v>
      </c>
      <c r="J1703" s="391">
        <v>2.38</v>
      </c>
      <c r="K1703" s="391">
        <v>1048300.0</v>
      </c>
      <c r="L1703" s="391">
        <v>3.5606518E7</v>
      </c>
      <c r="M1703" s="391">
        <v>42.214</v>
      </c>
      <c r="N1703" s="38">
        <v>178.8908</v>
      </c>
    </row>
    <row r="1704">
      <c r="A1704" s="389" t="s">
        <v>1972</v>
      </c>
      <c r="B1704" s="389" t="s">
        <v>339</v>
      </c>
      <c r="C1704" s="389" t="s">
        <v>357</v>
      </c>
      <c r="D1704" s="389" t="s">
        <v>357</v>
      </c>
      <c r="E1704" s="390" t="s">
        <v>284</v>
      </c>
      <c r="F1704" s="391">
        <v>24833.0</v>
      </c>
      <c r="G1704" s="391">
        <v>5705.0</v>
      </c>
      <c r="H1704" s="391">
        <v>22.97</v>
      </c>
      <c r="I1704" s="391">
        <v>2.9</v>
      </c>
      <c r="J1704" s="391">
        <v>2.27</v>
      </c>
      <c r="K1704" s="391">
        <v>1031450.0</v>
      </c>
      <c r="L1704" s="391">
        <v>3.5606518E7</v>
      </c>
      <c r="M1704" s="391">
        <v>41.5355</v>
      </c>
      <c r="N1704" s="38">
        <v>180.7975</v>
      </c>
    </row>
    <row r="1705">
      <c r="A1705" s="389" t="s">
        <v>1972</v>
      </c>
      <c r="B1705" s="389" t="s">
        <v>339</v>
      </c>
      <c r="C1705" s="389" t="s">
        <v>357</v>
      </c>
      <c r="D1705" s="389" t="s">
        <v>357</v>
      </c>
      <c r="E1705" s="390" t="s">
        <v>39</v>
      </c>
      <c r="F1705" s="391">
        <v>24833.0</v>
      </c>
      <c r="G1705" s="391">
        <v>15013.0</v>
      </c>
      <c r="H1705" s="391">
        <v>60.46</v>
      </c>
      <c r="I1705" s="391">
        <v>2.57</v>
      </c>
      <c r="J1705" s="391">
        <v>2.41</v>
      </c>
      <c r="K1705" s="391">
        <v>916180.0</v>
      </c>
      <c r="L1705" s="391">
        <v>3.5606518E7</v>
      </c>
      <c r="M1705" s="391">
        <v>36.8936</v>
      </c>
      <c r="N1705" s="38">
        <v>61.0258</v>
      </c>
    </row>
    <row r="1706">
      <c r="A1706" s="389" t="s">
        <v>1972</v>
      </c>
      <c r="B1706" s="389" t="s">
        <v>339</v>
      </c>
      <c r="C1706" s="389" t="s">
        <v>357</v>
      </c>
      <c r="D1706" s="389" t="s">
        <v>357</v>
      </c>
      <c r="E1706" s="390" t="s">
        <v>368</v>
      </c>
      <c r="F1706" s="391">
        <v>24833.0</v>
      </c>
      <c r="G1706" s="391">
        <v>10787.0</v>
      </c>
      <c r="H1706" s="391">
        <v>43.44</v>
      </c>
      <c r="I1706" s="391">
        <v>1.83</v>
      </c>
      <c r="J1706" s="391">
        <v>1.77</v>
      </c>
      <c r="K1706" s="391">
        <v>649875.0</v>
      </c>
      <c r="L1706" s="391">
        <v>3.5606518E7</v>
      </c>
      <c r="M1706" s="391">
        <v>26.1698</v>
      </c>
      <c r="N1706" s="38">
        <v>60.2461</v>
      </c>
    </row>
    <row r="1707">
      <c r="A1707" s="389" t="s">
        <v>1972</v>
      </c>
      <c r="B1707" s="389" t="s">
        <v>339</v>
      </c>
      <c r="C1707" s="389" t="s">
        <v>357</v>
      </c>
      <c r="D1707" s="389" t="s">
        <v>357</v>
      </c>
      <c r="E1707" s="390" t="s">
        <v>363</v>
      </c>
      <c r="F1707" s="391">
        <v>24833.0</v>
      </c>
      <c r="G1707" s="391">
        <v>8918.0</v>
      </c>
      <c r="H1707" s="391">
        <v>35.91</v>
      </c>
      <c r="I1707" s="391">
        <v>1.74</v>
      </c>
      <c r="J1707" s="391">
        <v>1.48</v>
      </c>
      <c r="K1707" s="391">
        <v>619720.0</v>
      </c>
      <c r="L1707" s="391">
        <v>3.5606518E7</v>
      </c>
      <c r="M1707" s="391">
        <v>24.9555</v>
      </c>
      <c r="N1707" s="38">
        <v>69.4909</v>
      </c>
    </row>
    <row r="1708">
      <c r="A1708" s="389" t="s">
        <v>1972</v>
      </c>
      <c r="B1708" s="389" t="s">
        <v>339</v>
      </c>
      <c r="C1708" s="389" t="s">
        <v>357</v>
      </c>
      <c r="D1708" s="389" t="s">
        <v>357</v>
      </c>
      <c r="E1708" s="390" t="s">
        <v>38</v>
      </c>
      <c r="F1708" s="391">
        <v>24833.0</v>
      </c>
      <c r="G1708" s="391">
        <v>2918.0</v>
      </c>
      <c r="H1708" s="391">
        <v>11.75</v>
      </c>
      <c r="I1708" s="391">
        <v>1.71</v>
      </c>
      <c r="J1708" s="391">
        <v>1.03</v>
      </c>
      <c r="K1708" s="391">
        <v>608525.0</v>
      </c>
      <c r="L1708" s="391">
        <v>3.5606518E7</v>
      </c>
      <c r="M1708" s="391">
        <v>24.5047</v>
      </c>
      <c r="N1708" s="38">
        <v>208.5418</v>
      </c>
    </row>
    <row r="1709">
      <c r="A1709" s="389" t="s">
        <v>1972</v>
      </c>
      <c r="B1709" s="389" t="s">
        <v>339</v>
      </c>
      <c r="C1709" s="389" t="s">
        <v>357</v>
      </c>
      <c r="D1709" s="389" t="s">
        <v>357</v>
      </c>
      <c r="E1709" s="390" t="s">
        <v>27</v>
      </c>
      <c r="F1709" s="391">
        <v>24833.0</v>
      </c>
      <c r="G1709" s="391">
        <v>1672.0</v>
      </c>
      <c r="H1709" s="391">
        <v>6.73</v>
      </c>
      <c r="I1709" s="391">
        <v>0.65</v>
      </c>
      <c r="J1709" s="391">
        <v>0.49</v>
      </c>
      <c r="K1709" s="391">
        <v>230695.0</v>
      </c>
      <c r="L1709" s="391">
        <v>3.5606518E7</v>
      </c>
      <c r="M1709" s="391">
        <v>9.2899</v>
      </c>
      <c r="N1709" s="38">
        <v>137.9755</v>
      </c>
    </row>
    <row r="1710">
      <c r="A1710" s="389" t="s">
        <v>1972</v>
      </c>
      <c r="B1710" s="389" t="s">
        <v>339</v>
      </c>
      <c r="C1710" s="389" t="s">
        <v>357</v>
      </c>
      <c r="D1710" s="389" t="s">
        <v>357</v>
      </c>
      <c r="E1710" s="390" t="s">
        <v>30</v>
      </c>
      <c r="F1710" s="391">
        <v>24833.0</v>
      </c>
      <c r="G1710" s="391">
        <v>4754.0</v>
      </c>
      <c r="H1710" s="391">
        <v>19.14</v>
      </c>
      <c r="I1710" s="391">
        <v>0.62</v>
      </c>
      <c r="J1710" s="391">
        <v>0.56</v>
      </c>
      <c r="K1710" s="391">
        <v>219080.0</v>
      </c>
      <c r="L1710" s="391">
        <v>3.5606518E7</v>
      </c>
      <c r="M1710" s="391">
        <v>8.8221</v>
      </c>
      <c r="N1710" s="38">
        <v>46.0833</v>
      </c>
    </row>
    <row r="1711">
      <c r="A1711" s="389" t="s">
        <v>1972</v>
      </c>
      <c r="B1711" s="389" t="s">
        <v>339</v>
      </c>
      <c r="C1711" s="389" t="s">
        <v>357</v>
      </c>
      <c r="D1711" s="389" t="s">
        <v>357</v>
      </c>
      <c r="E1711" s="390" t="s">
        <v>163</v>
      </c>
      <c r="F1711" s="391">
        <v>24833.0</v>
      </c>
      <c r="G1711" s="391">
        <v>4618.0</v>
      </c>
      <c r="H1711" s="391">
        <v>18.6</v>
      </c>
      <c r="I1711" s="391">
        <v>0.53</v>
      </c>
      <c r="J1711" s="391">
        <v>0.52</v>
      </c>
      <c r="K1711" s="391">
        <v>186975.0</v>
      </c>
      <c r="L1711" s="391">
        <v>3.5606518E7</v>
      </c>
      <c r="M1711" s="391">
        <v>7.5293</v>
      </c>
      <c r="N1711" s="38">
        <v>40.4883</v>
      </c>
    </row>
    <row r="1712">
      <c r="A1712" s="389" t="s">
        <v>1972</v>
      </c>
      <c r="B1712" s="389" t="s">
        <v>339</v>
      </c>
      <c r="C1712" s="389" t="s">
        <v>6</v>
      </c>
      <c r="D1712" s="389" t="s">
        <v>591</v>
      </c>
      <c r="E1712" s="390" t="s">
        <v>370</v>
      </c>
      <c r="F1712" s="391">
        <v>24534.0</v>
      </c>
      <c r="G1712" s="391">
        <v>23513.0</v>
      </c>
      <c r="H1712" s="391">
        <v>95.84</v>
      </c>
      <c r="I1712" s="391">
        <v>51.05</v>
      </c>
      <c r="J1712" s="391">
        <v>46.17</v>
      </c>
      <c r="K1712" s="391">
        <v>241114.0</v>
      </c>
      <c r="L1712" s="391">
        <v>472333.0</v>
      </c>
      <c r="M1712" s="391">
        <v>9.8277</v>
      </c>
      <c r="N1712" s="38">
        <v>10.2545</v>
      </c>
    </row>
    <row r="1713">
      <c r="A1713" s="389" t="s">
        <v>1972</v>
      </c>
      <c r="B1713" s="389" t="s">
        <v>339</v>
      </c>
      <c r="C1713" s="389" t="s">
        <v>6</v>
      </c>
      <c r="D1713" s="389" t="s">
        <v>591</v>
      </c>
      <c r="E1713" s="390" t="s">
        <v>371</v>
      </c>
      <c r="F1713" s="391">
        <v>24534.0</v>
      </c>
      <c r="G1713" s="391">
        <v>18608.0</v>
      </c>
      <c r="H1713" s="391">
        <v>75.85</v>
      </c>
      <c r="I1713" s="391">
        <v>16.63</v>
      </c>
      <c r="J1713" s="391">
        <v>20.02</v>
      </c>
      <c r="K1713" s="391">
        <v>78550.0</v>
      </c>
      <c r="L1713" s="391">
        <v>472333.0</v>
      </c>
      <c r="M1713" s="391">
        <v>3.2017</v>
      </c>
      <c r="N1713" s="38">
        <v>4.2213</v>
      </c>
    </row>
    <row r="1714">
      <c r="A1714" s="389" t="s">
        <v>1972</v>
      </c>
      <c r="B1714" s="389" t="s">
        <v>339</v>
      </c>
      <c r="C1714" s="389" t="s">
        <v>6</v>
      </c>
      <c r="D1714" s="389" t="s">
        <v>591</v>
      </c>
      <c r="E1714" s="390" t="s">
        <v>369</v>
      </c>
      <c r="F1714" s="391">
        <v>24534.0</v>
      </c>
      <c r="G1714" s="391">
        <v>17949.0</v>
      </c>
      <c r="H1714" s="391">
        <v>73.16</v>
      </c>
      <c r="I1714" s="391">
        <v>8.15</v>
      </c>
      <c r="J1714" s="391">
        <v>9.3</v>
      </c>
      <c r="K1714" s="391">
        <v>38501.0</v>
      </c>
      <c r="L1714" s="391">
        <v>472333.0</v>
      </c>
      <c r="M1714" s="391">
        <v>1.5693</v>
      </c>
      <c r="N1714" s="38">
        <v>2.145</v>
      </c>
    </row>
    <row r="1715">
      <c r="A1715" s="389" t="s">
        <v>1972</v>
      </c>
      <c r="B1715" s="389" t="s">
        <v>339</v>
      </c>
      <c r="C1715" s="389" t="s">
        <v>6</v>
      </c>
      <c r="D1715" s="389" t="s">
        <v>591</v>
      </c>
      <c r="E1715" s="390" t="s">
        <v>367</v>
      </c>
      <c r="F1715" s="391">
        <v>24534.0</v>
      </c>
      <c r="G1715" s="391">
        <v>8705.0</v>
      </c>
      <c r="H1715" s="391">
        <v>35.48</v>
      </c>
      <c r="I1715" s="391">
        <v>5.44</v>
      </c>
      <c r="J1715" s="391">
        <v>5.13</v>
      </c>
      <c r="K1715" s="391">
        <v>25706.0</v>
      </c>
      <c r="L1715" s="391">
        <v>472333.0</v>
      </c>
      <c r="M1715" s="391">
        <v>1.0478</v>
      </c>
      <c r="N1715" s="38">
        <v>2.953</v>
      </c>
    </row>
    <row r="1716">
      <c r="A1716" s="389" t="s">
        <v>1972</v>
      </c>
      <c r="B1716" s="389" t="s">
        <v>339</v>
      </c>
      <c r="C1716" s="389" t="s">
        <v>6</v>
      </c>
      <c r="D1716" s="389" t="s">
        <v>591</v>
      </c>
      <c r="E1716" s="390" t="s">
        <v>44</v>
      </c>
      <c r="F1716" s="391">
        <v>24534.0</v>
      </c>
      <c r="G1716" s="391">
        <v>12054.0</v>
      </c>
      <c r="H1716" s="391">
        <v>49.13</v>
      </c>
      <c r="I1716" s="391">
        <v>5.3</v>
      </c>
      <c r="J1716" s="391">
        <v>5.05</v>
      </c>
      <c r="K1716" s="391">
        <v>25056.0</v>
      </c>
      <c r="L1716" s="391">
        <v>472333.0</v>
      </c>
      <c r="M1716" s="391">
        <v>1.0213</v>
      </c>
      <c r="N1716" s="38">
        <v>2.0786</v>
      </c>
    </row>
    <row r="1717">
      <c r="A1717" s="389" t="s">
        <v>1972</v>
      </c>
      <c r="B1717" s="389" t="s">
        <v>339</v>
      </c>
      <c r="C1717" s="389" t="s">
        <v>6</v>
      </c>
      <c r="D1717" s="389" t="s">
        <v>591</v>
      </c>
      <c r="E1717" s="390" t="s">
        <v>39</v>
      </c>
      <c r="F1717" s="391">
        <v>24534.0</v>
      </c>
      <c r="G1717" s="391">
        <v>15097.0</v>
      </c>
      <c r="H1717" s="391">
        <v>61.54</v>
      </c>
      <c r="I1717" s="391">
        <v>4.91</v>
      </c>
      <c r="J1717" s="391">
        <v>5.99</v>
      </c>
      <c r="K1717" s="391">
        <v>23200.0</v>
      </c>
      <c r="L1717" s="391">
        <v>472333.0</v>
      </c>
      <c r="M1717" s="391">
        <v>0.9456</v>
      </c>
      <c r="N1717" s="38">
        <v>1.5367</v>
      </c>
    </row>
    <row r="1718">
      <c r="A1718" s="389" t="s">
        <v>1972</v>
      </c>
      <c r="B1718" s="389" t="s">
        <v>339</v>
      </c>
      <c r="C1718" s="389" t="s">
        <v>6</v>
      </c>
      <c r="D1718" s="389" t="s">
        <v>591</v>
      </c>
      <c r="E1718" s="390" t="s">
        <v>365</v>
      </c>
      <c r="F1718" s="391">
        <v>24534.0</v>
      </c>
      <c r="G1718" s="391">
        <v>8589.0</v>
      </c>
      <c r="H1718" s="391">
        <v>35.01</v>
      </c>
      <c r="I1718" s="391">
        <v>2.75</v>
      </c>
      <c r="J1718" s="391">
        <v>2.76</v>
      </c>
      <c r="K1718" s="391">
        <v>13005.0</v>
      </c>
      <c r="L1718" s="391">
        <v>472333.0</v>
      </c>
      <c r="M1718" s="391">
        <v>0.5301</v>
      </c>
      <c r="N1718" s="38">
        <v>1.5141</v>
      </c>
    </row>
    <row r="1719">
      <c r="A1719" s="389" t="s">
        <v>1972</v>
      </c>
      <c r="B1719" s="389" t="s">
        <v>339</v>
      </c>
      <c r="C1719" s="389" t="s">
        <v>6</v>
      </c>
      <c r="D1719" s="389" t="s">
        <v>591</v>
      </c>
      <c r="E1719" s="390" t="s">
        <v>368</v>
      </c>
      <c r="F1719" s="391">
        <v>24534.0</v>
      </c>
      <c r="G1719" s="391">
        <v>7854.0</v>
      </c>
      <c r="H1719" s="391">
        <v>32.01</v>
      </c>
      <c r="I1719" s="391">
        <v>2.03</v>
      </c>
      <c r="J1719" s="391">
        <v>2.08</v>
      </c>
      <c r="K1719" s="391">
        <v>9569.0</v>
      </c>
      <c r="L1719" s="391">
        <v>472333.0</v>
      </c>
      <c r="M1719" s="391">
        <v>0.39</v>
      </c>
      <c r="N1719" s="38">
        <v>1.2184</v>
      </c>
    </row>
    <row r="1720">
      <c r="A1720" s="389" t="s">
        <v>1972</v>
      </c>
      <c r="B1720" s="389" t="s">
        <v>339</v>
      </c>
      <c r="C1720" s="389" t="s">
        <v>6</v>
      </c>
      <c r="D1720" s="389" t="s">
        <v>591</v>
      </c>
      <c r="E1720" s="390" t="s">
        <v>108</v>
      </c>
      <c r="F1720" s="391">
        <v>24534.0</v>
      </c>
      <c r="G1720" s="391">
        <v>5707.0</v>
      </c>
      <c r="H1720" s="391">
        <v>23.26</v>
      </c>
      <c r="I1720" s="391">
        <v>1.86</v>
      </c>
      <c r="J1720" s="391">
        <v>1.77</v>
      </c>
      <c r="K1720" s="391">
        <v>8786.0</v>
      </c>
      <c r="L1720" s="391">
        <v>472333.0</v>
      </c>
      <c r="M1720" s="391">
        <v>0.3581</v>
      </c>
      <c r="N1720" s="38">
        <v>1.5395</v>
      </c>
    </row>
    <row r="1721">
      <c r="A1721" s="389" t="s">
        <v>1972</v>
      </c>
      <c r="B1721" s="389" t="s">
        <v>339</v>
      </c>
      <c r="C1721" s="389" t="s">
        <v>6</v>
      </c>
      <c r="D1721" s="389" t="s">
        <v>591</v>
      </c>
      <c r="E1721" s="390" t="s">
        <v>163</v>
      </c>
      <c r="F1721" s="391">
        <v>24534.0</v>
      </c>
      <c r="G1721" s="391">
        <v>3260.0</v>
      </c>
      <c r="H1721" s="391">
        <v>13.29</v>
      </c>
      <c r="I1721" s="391">
        <v>0.7</v>
      </c>
      <c r="J1721" s="391">
        <v>0.65</v>
      </c>
      <c r="K1721" s="391">
        <v>3323.0</v>
      </c>
      <c r="L1721" s="391">
        <v>472333.0</v>
      </c>
      <c r="M1721" s="391">
        <v>0.1354</v>
      </c>
      <c r="N1721" s="38">
        <v>1.0193</v>
      </c>
    </row>
    <row r="1722">
      <c r="A1722" s="389" t="s">
        <v>1972</v>
      </c>
      <c r="B1722" s="389" t="s">
        <v>339</v>
      </c>
      <c r="C1722" s="389" t="s">
        <v>6</v>
      </c>
      <c r="D1722" s="389" t="s">
        <v>591</v>
      </c>
      <c r="E1722" s="390" t="s">
        <v>30</v>
      </c>
      <c r="F1722" s="391">
        <v>24534.0</v>
      </c>
      <c r="G1722" s="391">
        <v>3239.0</v>
      </c>
      <c r="H1722" s="391">
        <v>13.2</v>
      </c>
      <c r="I1722" s="391">
        <v>0.69</v>
      </c>
      <c r="J1722" s="391">
        <v>0.58</v>
      </c>
      <c r="K1722" s="391">
        <v>3275.0</v>
      </c>
      <c r="L1722" s="391">
        <v>472333.0</v>
      </c>
      <c r="M1722" s="391">
        <v>0.1335</v>
      </c>
      <c r="N1722" s="38">
        <v>1.0111</v>
      </c>
    </row>
    <row r="1723">
      <c r="A1723" s="389" t="s">
        <v>1972</v>
      </c>
      <c r="B1723" s="389" t="s">
        <v>339</v>
      </c>
      <c r="C1723" s="389" t="s">
        <v>6</v>
      </c>
      <c r="D1723" s="389" t="s">
        <v>591</v>
      </c>
      <c r="E1723" s="390" t="s">
        <v>37</v>
      </c>
      <c r="F1723" s="391">
        <v>24534.0</v>
      </c>
      <c r="G1723" s="391">
        <v>1030.0</v>
      </c>
      <c r="H1723" s="391">
        <v>4.2</v>
      </c>
      <c r="I1723" s="391">
        <v>0.23</v>
      </c>
      <c r="J1723" s="391">
        <v>0.27</v>
      </c>
      <c r="K1723" s="391">
        <v>1105.0</v>
      </c>
      <c r="L1723" s="391">
        <v>472333.0</v>
      </c>
      <c r="M1723" s="391">
        <v>0.045</v>
      </c>
      <c r="N1723" s="38">
        <v>1.0728</v>
      </c>
    </row>
    <row r="1724">
      <c r="A1724" s="389" t="s">
        <v>1972</v>
      </c>
      <c r="B1724" s="389" t="s">
        <v>339</v>
      </c>
      <c r="C1724" s="389" t="s">
        <v>6</v>
      </c>
      <c r="D1724" s="389" t="s">
        <v>591</v>
      </c>
      <c r="E1724" s="390" t="s">
        <v>45</v>
      </c>
      <c r="F1724" s="391">
        <v>24534.0</v>
      </c>
      <c r="G1724" s="391">
        <v>760.0</v>
      </c>
      <c r="H1724" s="391">
        <v>3.1</v>
      </c>
      <c r="I1724" s="391">
        <v>0.18</v>
      </c>
      <c r="J1724" s="391">
        <v>0.14</v>
      </c>
      <c r="K1724" s="391">
        <v>834.0</v>
      </c>
      <c r="L1724" s="391">
        <v>472333.0</v>
      </c>
      <c r="M1724" s="391">
        <v>0.034</v>
      </c>
      <c r="N1724" s="38">
        <v>1.0974</v>
      </c>
    </row>
    <row r="1725">
      <c r="A1725" s="389" t="s">
        <v>1972</v>
      </c>
      <c r="B1725" s="389" t="s">
        <v>339</v>
      </c>
      <c r="C1725" s="389" t="s">
        <v>6</v>
      </c>
      <c r="D1725" s="389" t="s">
        <v>591</v>
      </c>
      <c r="E1725" s="390" t="s">
        <v>38</v>
      </c>
      <c r="F1725" s="391">
        <v>24534.0</v>
      </c>
      <c r="G1725" s="391">
        <v>292.0</v>
      </c>
      <c r="H1725" s="391">
        <v>1.19</v>
      </c>
      <c r="I1725" s="391">
        <v>0.06</v>
      </c>
      <c r="J1725" s="391">
        <v>0.07</v>
      </c>
      <c r="K1725" s="391">
        <v>295.0</v>
      </c>
      <c r="L1725" s="391">
        <v>472333.0</v>
      </c>
      <c r="M1725" s="391">
        <v>0.012</v>
      </c>
      <c r="N1725" s="38">
        <v>1.0103</v>
      </c>
    </row>
    <row r="1726">
      <c r="A1726" s="389" t="s">
        <v>1972</v>
      </c>
      <c r="B1726" s="389" t="s">
        <v>339</v>
      </c>
      <c r="C1726" s="389" t="s">
        <v>6</v>
      </c>
      <c r="D1726" s="389" t="s">
        <v>591</v>
      </c>
      <c r="E1726" s="390" t="s">
        <v>283</v>
      </c>
      <c r="F1726" s="391">
        <v>24534.0</v>
      </c>
      <c r="G1726" s="391">
        <v>1.0</v>
      </c>
      <c r="H1726" s="391">
        <v>0.0</v>
      </c>
      <c r="I1726" s="391">
        <v>0.0</v>
      </c>
      <c r="J1726" s="391">
        <v>0.0</v>
      </c>
      <c r="K1726" s="391">
        <v>1.0</v>
      </c>
      <c r="L1726" s="391">
        <v>472333.0</v>
      </c>
      <c r="M1726" s="391">
        <v>0.0</v>
      </c>
      <c r="N1726" s="38">
        <v>1.0</v>
      </c>
    </row>
    <row r="1727">
      <c r="A1727" s="389" t="s">
        <v>1972</v>
      </c>
      <c r="B1727" s="389" t="s">
        <v>339</v>
      </c>
      <c r="C1727" s="389" t="s">
        <v>6</v>
      </c>
      <c r="D1727" s="389" t="s">
        <v>591</v>
      </c>
      <c r="E1727" s="390" t="s">
        <v>366</v>
      </c>
      <c r="F1727" s="391">
        <v>24534.0</v>
      </c>
      <c r="G1727" s="391">
        <v>1.0</v>
      </c>
      <c r="H1727" s="391">
        <v>0.0</v>
      </c>
      <c r="I1727" s="391">
        <v>0.0</v>
      </c>
      <c r="J1727" s="391">
        <v>0.0</v>
      </c>
      <c r="K1727" s="391">
        <v>1.0</v>
      </c>
      <c r="L1727" s="391">
        <v>472333.0</v>
      </c>
      <c r="M1727" s="391">
        <v>0.0</v>
      </c>
      <c r="N1727" s="38">
        <v>1.0</v>
      </c>
    </row>
    <row r="1728">
      <c r="A1728" s="389" t="s">
        <v>1972</v>
      </c>
      <c r="B1728" s="389" t="s">
        <v>339</v>
      </c>
      <c r="C1728" s="389" t="s">
        <v>6</v>
      </c>
      <c r="D1728" s="389" t="s">
        <v>591</v>
      </c>
      <c r="E1728" s="390" t="s">
        <v>282</v>
      </c>
      <c r="F1728" s="391">
        <v>24534.0</v>
      </c>
      <c r="G1728" s="391">
        <v>2.0</v>
      </c>
      <c r="H1728" s="391">
        <v>0.01</v>
      </c>
      <c r="I1728" s="391">
        <v>0.0</v>
      </c>
      <c r="J1728" s="391">
        <v>0.0</v>
      </c>
      <c r="K1728" s="391">
        <v>2.0</v>
      </c>
      <c r="L1728" s="391">
        <v>472333.0</v>
      </c>
      <c r="M1728" s="391">
        <v>1.0E-4</v>
      </c>
      <c r="N1728" s="38">
        <v>1.0</v>
      </c>
    </row>
    <row r="1729">
      <c r="A1729" s="389" t="s">
        <v>1972</v>
      </c>
      <c r="B1729" s="389" t="s">
        <v>339</v>
      </c>
      <c r="C1729" s="389" t="s">
        <v>6</v>
      </c>
      <c r="D1729" s="389" t="s">
        <v>591</v>
      </c>
      <c r="E1729" s="390" t="s">
        <v>27</v>
      </c>
      <c r="F1729" s="391">
        <v>24534.0</v>
      </c>
      <c r="G1729" s="391">
        <v>10.0</v>
      </c>
      <c r="H1729" s="391">
        <v>0.04</v>
      </c>
      <c r="I1729" s="391">
        <v>0.0</v>
      </c>
      <c r="J1729" s="391">
        <v>0.01</v>
      </c>
      <c r="K1729" s="391">
        <v>10.0</v>
      </c>
      <c r="L1729" s="391">
        <v>472333.0</v>
      </c>
      <c r="M1729" s="391">
        <v>4.0E-4</v>
      </c>
      <c r="N1729" s="38">
        <v>1.0</v>
      </c>
    </row>
    <row r="1730">
      <c r="A1730" s="389" t="s">
        <v>1972</v>
      </c>
      <c r="B1730" s="389" t="s">
        <v>339</v>
      </c>
      <c r="C1730" s="389" t="s">
        <v>10</v>
      </c>
      <c r="D1730" s="389" t="s">
        <v>591</v>
      </c>
      <c r="E1730" s="390" t="s">
        <v>370</v>
      </c>
      <c r="F1730" s="391">
        <v>24137.0</v>
      </c>
      <c r="G1730" s="391">
        <v>21698.0</v>
      </c>
      <c r="H1730" s="391">
        <v>89.9</v>
      </c>
      <c r="I1730" s="391">
        <v>34.9</v>
      </c>
      <c r="J1730" s="391">
        <v>35.79</v>
      </c>
      <c r="K1730" s="391">
        <v>120058.0</v>
      </c>
      <c r="L1730" s="391">
        <v>344041.0</v>
      </c>
      <c r="M1730" s="391">
        <v>4.974</v>
      </c>
      <c r="N1730" s="38">
        <v>5.5331</v>
      </c>
    </row>
    <row r="1731">
      <c r="A1731" s="389" t="s">
        <v>1972</v>
      </c>
      <c r="B1731" s="389" t="s">
        <v>339</v>
      </c>
      <c r="C1731" s="389" t="s">
        <v>10</v>
      </c>
      <c r="D1731" s="389" t="s">
        <v>591</v>
      </c>
      <c r="E1731" s="390" t="s">
        <v>371</v>
      </c>
      <c r="F1731" s="391">
        <v>24137.0</v>
      </c>
      <c r="G1731" s="391">
        <v>15946.0</v>
      </c>
      <c r="H1731" s="391">
        <v>66.06</v>
      </c>
      <c r="I1731" s="391">
        <v>12.97</v>
      </c>
      <c r="J1731" s="391">
        <v>14.76</v>
      </c>
      <c r="K1731" s="391">
        <v>44625.0</v>
      </c>
      <c r="L1731" s="391">
        <v>344041.0</v>
      </c>
      <c r="M1731" s="391">
        <v>1.8488</v>
      </c>
      <c r="N1731" s="38">
        <v>2.7985</v>
      </c>
    </row>
    <row r="1732">
      <c r="A1732" s="389" t="s">
        <v>1972</v>
      </c>
      <c r="B1732" s="389" t="s">
        <v>339</v>
      </c>
      <c r="C1732" s="389" t="s">
        <v>10</v>
      </c>
      <c r="D1732" s="389" t="s">
        <v>591</v>
      </c>
      <c r="E1732" s="390" t="s">
        <v>365</v>
      </c>
      <c r="F1732" s="391">
        <v>24137.0</v>
      </c>
      <c r="G1732" s="391">
        <v>15701.0</v>
      </c>
      <c r="H1732" s="391">
        <v>65.05</v>
      </c>
      <c r="I1732" s="391">
        <v>11.51</v>
      </c>
      <c r="J1732" s="391">
        <v>12.01</v>
      </c>
      <c r="K1732" s="391">
        <v>39583.0</v>
      </c>
      <c r="L1732" s="391">
        <v>344041.0</v>
      </c>
      <c r="M1732" s="391">
        <v>1.6399</v>
      </c>
      <c r="N1732" s="38">
        <v>2.521</v>
      </c>
    </row>
    <row r="1733">
      <c r="A1733" s="389" t="s">
        <v>1972</v>
      </c>
      <c r="B1733" s="389" t="s">
        <v>339</v>
      </c>
      <c r="C1733" s="389" t="s">
        <v>10</v>
      </c>
      <c r="D1733" s="389" t="s">
        <v>591</v>
      </c>
      <c r="E1733" s="390" t="s">
        <v>369</v>
      </c>
      <c r="F1733" s="391">
        <v>24137.0</v>
      </c>
      <c r="G1733" s="391">
        <v>9800.0</v>
      </c>
      <c r="H1733" s="391">
        <v>40.6</v>
      </c>
      <c r="I1733" s="391">
        <v>8.0</v>
      </c>
      <c r="J1733" s="391">
        <v>6.0</v>
      </c>
      <c r="K1733" s="391">
        <v>27517.0</v>
      </c>
      <c r="L1733" s="391">
        <v>344041.0</v>
      </c>
      <c r="M1733" s="391">
        <v>1.14</v>
      </c>
      <c r="N1733" s="38">
        <v>2.8079</v>
      </c>
    </row>
    <row r="1734">
      <c r="A1734" s="389" t="s">
        <v>1972</v>
      </c>
      <c r="B1734" s="389" t="s">
        <v>339</v>
      </c>
      <c r="C1734" s="389" t="s">
        <v>10</v>
      </c>
      <c r="D1734" s="389" t="s">
        <v>591</v>
      </c>
      <c r="E1734" s="390" t="s">
        <v>39</v>
      </c>
      <c r="F1734" s="391">
        <v>24137.0</v>
      </c>
      <c r="G1734" s="391">
        <v>12223.0</v>
      </c>
      <c r="H1734" s="391">
        <v>50.64</v>
      </c>
      <c r="I1734" s="391">
        <v>5.39</v>
      </c>
      <c r="J1734" s="391">
        <v>5.81</v>
      </c>
      <c r="K1734" s="391">
        <v>18557.0</v>
      </c>
      <c r="L1734" s="391">
        <v>344041.0</v>
      </c>
      <c r="M1734" s="391">
        <v>0.7688</v>
      </c>
      <c r="N1734" s="38">
        <v>1.5182</v>
      </c>
    </row>
    <row r="1735">
      <c r="A1735" s="389" t="s">
        <v>1972</v>
      </c>
      <c r="B1735" s="389" t="s">
        <v>339</v>
      </c>
      <c r="C1735" s="389" t="s">
        <v>10</v>
      </c>
      <c r="D1735" s="389" t="s">
        <v>591</v>
      </c>
      <c r="E1735" s="390" t="s">
        <v>366</v>
      </c>
      <c r="F1735" s="391">
        <v>24137.0</v>
      </c>
      <c r="G1735" s="391">
        <v>9168.0</v>
      </c>
      <c r="H1735" s="391">
        <v>37.98</v>
      </c>
      <c r="I1735" s="391">
        <v>4.2</v>
      </c>
      <c r="J1735" s="391">
        <v>3.63</v>
      </c>
      <c r="K1735" s="391">
        <v>14457.0</v>
      </c>
      <c r="L1735" s="391">
        <v>344041.0</v>
      </c>
      <c r="M1735" s="391">
        <v>0.599</v>
      </c>
      <c r="N1735" s="38">
        <v>1.5769</v>
      </c>
    </row>
    <row r="1736">
      <c r="A1736" s="389" t="s">
        <v>1972</v>
      </c>
      <c r="B1736" s="389" t="s">
        <v>339</v>
      </c>
      <c r="C1736" s="389" t="s">
        <v>10</v>
      </c>
      <c r="D1736" s="389" t="s">
        <v>591</v>
      </c>
      <c r="E1736" s="390" t="s">
        <v>363</v>
      </c>
      <c r="F1736" s="391">
        <v>24137.0</v>
      </c>
      <c r="G1736" s="391">
        <v>5361.0</v>
      </c>
      <c r="H1736" s="391">
        <v>22.21</v>
      </c>
      <c r="I1736" s="391">
        <v>4.05</v>
      </c>
      <c r="J1736" s="391">
        <v>3.04</v>
      </c>
      <c r="K1736" s="391">
        <v>13935.0</v>
      </c>
      <c r="L1736" s="391">
        <v>344041.0</v>
      </c>
      <c r="M1736" s="391">
        <v>0.5773</v>
      </c>
      <c r="N1736" s="38">
        <v>2.5993</v>
      </c>
    </row>
    <row r="1737">
      <c r="A1737" s="389" t="s">
        <v>1972</v>
      </c>
      <c r="B1737" s="389" t="s">
        <v>339</v>
      </c>
      <c r="C1737" s="389" t="s">
        <v>10</v>
      </c>
      <c r="D1737" s="389" t="s">
        <v>591</v>
      </c>
      <c r="E1737" s="390" t="s">
        <v>37</v>
      </c>
      <c r="F1737" s="391">
        <v>24137.0</v>
      </c>
      <c r="G1737" s="391">
        <v>7496.0</v>
      </c>
      <c r="H1737" s="391">
        <v>31.06</v>
      </c>
      <c r="I1737" s="391">
        <v>3.42</v>
      </c>
      <c r="J1737" s="391">
        <v>4.05</v>
      </c>
      <c r="K1737" s="391">
        <v>11768.0</v>
      </c>
      <c r="L1737" s="391">
        <v>344041.0</v>
      </c>
      <c r="M1737" s="391">
        <v>0.4876</v>
      </c>
      <c r="N1737" s="38">
        <v>1.5699</v>
      </c>
    </row>
    <row r="1738">
      <c r="A1738" s="389" t="s">
        <v>1972</v>
      </c>
      <c r="B1738" s="389" t="s">
        <v>339</v>
      </c>
      <c r="C1738" s="389" t="s">
        <v>10</v>
      </c>
      <c r="D1738" s="389" t="s">
        <v>591</v>
      </c>
      <c r="E1738" s="390" t="s">
        <v>108</v>
      </c>
      <c r="F1738" s="391">
        <v>24137.0</v>
      </c>
      <c r="G1738" s="391">
        <v>5603.0</v>
      </c>
      <c r="H1738" s="391">
        <v>23.21</v>
      </c>
      <c r="I1738" s="391">
        <v>3.22</v>
      </c>
      <c r="J1738" s="391">
        <v>3.7</v>
      </c>
      <c r="K1738" s="391">
        <v>11077.0</v>
      </c>
      <c r="L1738" s="391">
        <v>344041.0</v>
      </c>
      <c r="M1738" s="391">
        <v>0.4589</v>
      </c>
      <c r="N1738" s="38">
        <v>1.977</v>
      </c>
    </row>
    <row r="1739">
      <c r="A1739" s="389" t="s">
        <v>1972</v>
      </c>
      <c r="B1739" s="389" t="s">
        <v>339</v>
      </c>
      <c r="C1739" s="389" t="s">
        <v>10</v>
      </c>
      <c r="D1739" s="389" t="s">
        <v>591</v>
      </c>
      <c r="E1739" s="390" t="s">
        <v>45</v>
      </c>
      <c r="F1739" s="391">
        <v>24137.0</v>
      </c>
      <c r="G1739" s="391">
        <v>6921.0</v>
      </c>
      <c r="H1739" s="391">
        <v>28.67</v>
      </c>
      <c r="I1739" s="391">
        <v>2.89</v>
      </c>
      <c r="J1739" s="391">
        <v>3.03</v>
      </c>
      <c r="K1739" s="391">
        <v>9948.0</v>
      </c>
      <c r="L1739" s="391">
        <v>344041.0</v>
      </c>
      <c r="M1739" s="391">
        <v>0.4121</v>
      </c>
      <c r="N1739" s="38">
        <v>1.4374</v>
      </c>
    </row>
    <row r="1740">
      <c r="A1740" s="389" t="s">
        <v>1972</v>
      </c>
      <c r="B1740" s="389" t="s">
        <v>339</v>
      </c>
      <c r="C1740" s="389" t="s">
        <v>10</v>
      </c>
      <c r="D1740" s="389" t="s">
        <v>591</v>
      </c>
      <c r="E1740" s="390" t="s">
        <v>35</v>
      </c>
      <c r="F1740" s="391">
        <v>24137.0</v>
      </c>
      <c r="G1740" s="391">
        <v>2513.0</v>
      </c>
      <c r="H1740" s="391">
        <v>10.41</v>
      </c>
      <c r="I1740" s="391">
        <v>2.13</v>
      </c>
      <c r="J1740" s="391">
        <v>1.6</v>
      </c>
      <c r="K1740" s="391">
        <v>7323.0</v>
      </c>
      <c r="L1740" s="391">
        <v>344041.0</v>
      </c>
      <c r="M1740" s="391">
        <v>0.3034</v>
      </c>
      <c r="N1740" s="38">
        <v>2.914</v>
      </c>
    </row>
    <row r="1741">
      <c r="A1741" s="389" t="s">
        <v>1972</v>
      </c>
      <c r="B1741" s="389" t="s">
        <v>339</v>
      </c>
      <c r="C1741" s="389" t="s">
        <v>10</v>
      </c>
      <c r="D1741" s="389" t="s">
        <v>591</v>
      </c>
      <c r="E1741" s="390" t="s">
        <v>284</v>
      </c>
      <c r="F1741" s="391">
        <v>24137.0</v>
      </c>
      <c r="G1741" s="391">
        <v>5315.0</v>
      </c>
      <c r="H1741" s="391">
        <v>22.02</v>
      </c>
      <c r="I1741" s="391">
        <v>1.96</v>
      </c>
      <c r="J1741" s="391">
        <v>1.81</v>
      </c>
      <c r="K1741" s="391">
        <v>6754.0</v>
      </c>
      <c r="L1741" s="391">
        <v>344041.0</v>
      </c>
      <c r="M1741" s="391">
        <v>0.2798</v>
      </c>
      <c r="N1741" s="38">
        <v>1.2707</v>
      </c>
    </row>
    <row r="1742">
      <c r="A1742" s="389" t="s">
        <v>1972</v>
      </c>
      <c r="B1742" s="389" t="s">
        <v>339</v>
      </c>
      <c r="C1742" s="389" t="s">
        <v>10</v>
      </c>
      <c r="D1742" s="389" t="s">
        <v>591</v>
      </c>
      <c r="E1742" s="390" t="s">
        <v>282</v>
      </c>
      <c r="F1742" s="391">
        <v>24137.0</v>
      </c>
      <c r="G1742" s="391">
        <v>5014.0</v>
      </c>
      <c r="H1742" s="391">
        <v>20.77</v>
      </c>
      <c r="I1742" s="391">
        <v>1.85</v>
      </c>
      <c r="J1742" s="391">
        <v>1.77</v>
      </c>
      <c r="K1742" s="391">
        <v>6349.0</v>
      </c>
      <c r="L1742" s="391">
        <v>344041.0</v>
      </c>
      <c r="M1742" s="391">
        <v>0.263</v>
      </c>
      <c r="N1742" s="38">
        <v>1.2663</v>
      </c>
    </row>
    <row r="1743">
      <c r="A1743" s="389" t="s">
        <v>1972</v>
      </c>
      <c r="B1743" s="389" t="s">
        <v>339</v>
      </c>
      <c r="C1743" s="389" t="s">
        <v>10</v>
      </c>
      <c r="D1743" s="389" t="s">
        <v>591</v>
      </c>
      <c r="E1743" s="390" t="s">
        <v>283</v>
      </c>
      <c r="F1743" s="391">
        <v>24137.0</v>
      </c>
      <c r="G1743" s="391">
        <v>4888.0</v>
      </c>
      <c r="H1743" s="391">
        <v>20.25</v>
      </c>
      <c r="I1743" s="391">
        <v>1.77</v>
      </c>
      <c r="J1743" s="391">
        <v>1.76</v>
      </c>
      <c r="K1743" s="391">
        <v>6089.0</v>
      </c>
      <c r="L1743" s="391">
        <v>344041.0</v>
      </c>
      <c r="M1743" s="391">
        <v>0.2523</v>
      </c>
      <c r="N1743" s="38">
        <v>1.2457</v>
      </c>
    </row>
    <row r="1744">
      <c r="A1744" s="389" t="s">
        <v>1972</v>
      </c>
      <c r="B1744" s="389" t="s">
        <v>339</v>
      </c>
      <c r="C1744" s="389" t="s">
        <v>10</v>
      </c>
      <c r="D1744" s="389" t="s">
        <v>591</v>
      </c>
      <c r="E1744" s="390" t="s">
        <v>38</v>
      </c>
      <c r="F1744" s="391">
        <v>24137.0</v>
      </c>
      <c r="G1744" s="391">
        <v>2374.0</v>
      </c>
      <c r="H1744" s="391">
        <v>9.84</v>
      </c>
      <c r="I1744" s="391">
        <v>0.75</v>
      </c>
      <c r="J1744" s="391">
        <v>0.58</v>
      </c>
      <c r="K1744" s="391">
        <v>2597.0</v>
      </c>
      <c r="L1744" s="391">
        <v>344041.0</v>
      </c>
      <c r="M1744" s="391">
        <v>0.1076</v>
      </c>
      <c r="N1744" s="38">
        <v>1.0939</v>
      </c>
    </row>
    <row r="1745">
      <c r="A1745" s="389" t="s">
        <v>1972</v>
      </c>
      <c r="B1745" s="389" t="s">
        <v>339</v>
      </c>
      <c r="C1745" s="389" t="s">
        <v>10</v>
      </c>
      <c r="D1745" s="389" t="s">
        <v>591</v>
      </c>
      <c r="E1745" s="390" t="s">
        <v>30</v>
      </c>
      <c r="F1745" s="391">
        <v>24137.0</v>
      </c>
      <c r="G1745" s="391">
        <v>1473.0</v>
      </c>
      <c r="H1745" s="391">
        <v>6.1</v>
      </c>
      <c r="I1745" s="391">
        <v>0.43</v>
      </c>
      <c r="J1745" s="391">
        <v>0.24</v>
      </c>
      <c r="K1745" s="391">
        <v>1496.0</v>
      </c>
      <c r="L1745" s="391">
        <v>344041.0</v>
      </c>
      <c r="M1745" s="391">
        <v>0.062</v>
      </c>
      <c r="N1745" s="38">
        <v>1.0156</v>
      </c>
    </row>
    <row r="1746">
      <c r="A1746" s="389" t="s">
        <v>1972</v>
      </c>
      <c r="B1746" s="389" t="s">
        <v>339</v>
      </c>
      <c r="C1746" s="389" t="s">
        <v>10</v>
      </c>
      <c r="D1746" s="389" t="s">
        <v>591</v>
      </c>
      <c r="E1746" s="390" t="s">
        <v>27</v>
      </c>
      <c r="F1746" s="391">
        <v>24137.0</v>
      </c>
      <c r="G1746" s="391">
        <v>1305.0</v>
      </c>
      <c r="H1746" s="391">
        <v>5.41</v>
      </c>
      <c r="I1746" s="391">
        <v>0.39</v>
      </c>
      <c r="J1746" s="391">
        <v>0.34</v>
      </c>
      <c r="K1746" s="391">
        <v>1328.0</v>
      </c>
      <c r="L1746" s="391">
        <v>344041.0</v>
      </c>
      <c r="M1746" s="391">
        <v>0.055</v>
      </c>
      <c r="N1746" s="38">
        <v>1.0176</v>
      </c>
    </row>
    <row r="1747">
      <c r="A1747" s="389" t="s">
        <v>1972</v>
      </c>
      <c r="B1747" s="389" t="s">
        <v>339</v>
      </c>
      <c r="C1747" s="389" t="s">
        <v>10</v>
      </c>
      <c r="D1747" s="389" t="s">
        <v>591</v>
      </c>
      <c r="E1747" s="390" t="s">
        <v>163</v>
      </c>
      <c r="F1747" s="391">
        <v>24137.0</v>
      </c>
      <c r="G1747" s="391">
        <v>567.0</v>
      </c>
      <c r="H1747" s="391">
        <v>2.35</v>
      </c>
      <c r="I1747" s="391">
        <v>0.17</v>
      </c>
      <c r="J1747" s="391">
        <v>0.06</v>
      </c>
      <c r="K1747" s="391">
        <v>574.0</v>
      </c>
      <c r="L1747" s="391">
        <v>344041.0</v>
      </c>
      <c r="M1747" s="391">
        <v>0.0238</v>
      </c>
      <c r="N1747" s="38">
        <v>1.0123</v>
      </c>
    </row>
    <row r="1748">
      <c r="A1748" s="389" t="s">
        <v>1972</v>
      </c>
      <c r="B1748" s="389" t="s">
        <v>339</v>
      </c>
      <c r="C1748" s="389" t="s">
        <v>10</v>
      </c>
      <c r="D1748" s="389" t="s">
        <v>591</v>
      </c>
      <c r="E1748" s="390" t="s">
        <v>367</v>
      </c>
      <c r="F1748" s="391">
        <v>24137.0</v>
      </c>
      <c r="G1748" s="391">
        <v>3.0</v>
      </c>
      <c r="H1748" s="391">
        <v>0.01</v>
      </c>
      <c r="I1748" s="391">
        <v>0.0</v>
      </c>
      <c r="J1748" s="391">
        <v>0.01</v>
      </c>
      <c r="K1748" s="391">
        <v>6.0</v>
      </c>
      <c r="L1748" s="391">
        <v>344041.0</v>
      </c>
      <c r="M1748" s="391">
        <v>2.0E-4</v>
      </c>
      <c r="N1748" s="38">
        <v>2.0</v>
      </c>
    </row>
    <row r="1749">
      <c r="A1749" s="389" t="s">
        <v>1972</v>
      </c>
      <c r="B1749" s="389" t="s">
        <v>339</v>
      </c>
      <c r="C1749" s="389" t="s">
        <v>9</v>
      </c>
      <c r="D1749" s="389" t="s">
        <v>591</v>
      </c>
      <c r="E1749" s="390" t="s">
        <v>370</v>
      </c>
      <c r="F1749" s="391">
        <v>24075.0</v>
      </c>
      <c r="G1749" s="391">
        <v>21714.0</v>
      </c>
      <c r="H1749" s="391">
        <v>90.19</v>
      </c>
      <c r="I1749" s="391">
        <v>34.02</v>
      </c>
      <c r="J1749" s="391">
        <v>36.78</v>
      </c>
      <c r="K1749" s="391">
        <v>120018.0</v>
      </c>
      <c r="L1749" s="391">
        <v>352823.0</v>
      </c>
      <c r="M1749" s="391">
        <v>4.9852</v>
      </c>
      <c r="N1749" s="38">
        <v>5.5272</v>
      </c>
    </row>
    <row r="1750">
      <c r="A1750" s="389" t="s">
        <v>1972</v>
      </c>
      <c r="B1750" s="389" t="s">
        <v>339</v>
      </c>
      <c r="C1750" s="389" t="s">
        <v>9</v>
      </c>
      <c r="D1750" s="389" t="s">
        <v>591</v>
      </c>
      <c r="E1750" s="390" t="s">
        <v>371</v>
      </c>
      <c r="F1750" s="391">
        <v>24075.0</v>
      </c>
      <c r="G1750" s="391">
        <v>11208.0</v>
      </c>
      <c r="H1750" s="391">
        <v>46.55</v>
      </c>
      <c r="I1750" s="391">
        <v>9.26</v>
      </c>
      <c r="J1750" s="391">
        <v>8.64</v>
      </c>
      <c r="K1750" s="391">
        <v>32689.0</v>
      </c>
      <c r="L1750" s="391">
        <v>352823.0</v>
      </c>
      <c r="M1750" s="391">
        <v>1.3578</v>
      </c>
      <c r="N1750" s="38">
        <v>2.9166</v>
      </c>
    </row>
    <row r="1751">
      <c r="A1751" s="389" t="s">
        <v>1972</v>
      </c>
      <c r="B1751" s="389" t="s">
        <v>339</v>
      </c>
      <c r="C1751" s="389" t="s">
        <v>9</v>
      </c>
      <c r="D1751" s="389" t="s">
        <v>591</v>
      </c>
      <c r="E1751" s="390" t="s">
        <v>369</v>
      </c>
      <c r="F1751" s="391">
        <v>24075.0</v>
      </c>
      <c r="G1751" s="391">
        <v>8270.0</v>
      </c>
      <c r="H1751" s="391">
        <v>34.35</v>
      </c>
      <c r="I1751" s="391">
        <v>7.67</v>
      </c>
      <c r="J1751" s="391">
        <v>5.13</v>
      </c>
      <c r="K1751" s="391">
        <v>27055.0</v>
      </c>
      <c r="L1751" s="391">
        <v>352823.0</v>
      </c>
      <c r="M1751" s="391">
        <v>1.1238</v>
      </c>
      <c r="N1751" s="38">
        <v>3.2715</v>
      </c>
    </row>
    <row r="1752">
      <c r="A1752" s="389" t="s">
        <v>1972</v>
      </c>
      <c r="B1752" s="389" t="s">
        <v>339</v>
      </c>
      <c r="C1752" s="389" t="s">
        <v>9</v>
      </c>
      <c r="D1752" s="389" t="s">
        <v>591</v>
      </c>
      <c r="E1752" s="390" t="s">
        <v>365</v>
      </c>
      <c r="F1752" s="391">
        <v>24075.0</v>
      </c>
      <c r="G1752" s="391">
        <v>12956.0</v>
      </c>
      <c r="H1752" s="391">
        <v>53.82</v>
      </c>
      <c r="I1752" s="391">
        <v>7.54</v>
      </c>
      <c r="J1752" s="391">
        <v>8.04</v>
      </c>
      <c r="K1752" s="391">
        <v>26610.0</v>
      </c>
      <c r="L1752" s="391">
        <v>352823.0</v>
      </c>
      <c r="M1752" s="391">
        <v>1.1053</v>
      </c>
      <c r="N1752" s="38">
        <v>2.0539</v>
      </c>
    </row>
    <row r="1753">
      <c r="A1753" s="389" t="s">
        <v>1972</v>
      </c>
      <c r="B1753" s="389" t="s">
        <v>339</v>
      </c>
      <c r="C1753" s="389" t="s">
        <v>9</v>
      </c>
      <c r="D1753" s="389" t="s">
        <v>591</v>
      </c>
      <c r="E1753" s="390" t="s">
        <v>44</v>
      </c>
      <c r="F1753" s="391">
        <v>24075.0</v>
      </c>
      <c r="G1753" s="391">
        <v>12054.0</v>
      </c>
      <c r="H1753" s="391">
        <v>50.07</v>
      </c>
      <c r="I1753" s="391">
        <v>7.1</v>
      </c>
      <c r="J1753" s="391">
        <v>8.13</v>
      </c>
      <c r="K1753" s="391">
        <v>25056.0</v>
      </c>
      <c r="L1753" s="391">
        <v>352823.0</v>
      </c>
      <c r="M1753" s="391">
        <v>1.0407</v>
      </c>
      <c r="N1753" s="38">
        <v>2.0786</v>
      </c>
    </row>
    <row r="1754">
      <c r="A1754" s="389" t="s">
        <v>1972</v>
      </c>
      <c r="B1754" s="389" t="s">
        <v>339</v>
      </c>
      <c r="C1754" s="389" t="s">
        <v>9</v>
      </c>
      <c r="D1754" s="389" t="s">
        <v>591</v>
      </c>
      <c r="E1754" s="390" t="s">
        <v>366</v>
      </c>
      <c r="F1754" s="391">
        <v>24075.0</v>
      </c>
      <c r="G1754" s="391">
        <v>10870.0</v>
      </c>
      <c r="H1754" s="391">
        <v>45.15</v>
      </c>
      <c r="I1754" s="391">
        <v>5.78</v>
      </c>
      <c r="J1754" s="391">
        <v>5.25</v>
      </c>
      <c r="K1754" s="391">
        <v>20405.0</v>
      </c>
      <c r="L1754" s="391">
        <v>352823.0</v>
      </c>
      <c r="M1754" s="391">
        <v>0.8476</v>
      </c>
      <c r="N1754" s="38">
        <v>1.8772</v>
      </c>
    </row>
    <row r="1755">
      <c r="A1755" s="389" t="s">
        <v>1972</v>
      </c>
      <c r="B1755" s="389" t="s">
        <v>339</v>
      </c>
      <c r="C1755" s="389" t="s">
        <v>9</v>
      </c>
      <c r="D1755" s="389" t="s">
        <v>591</v>
      </c>
      <c r="E1755" s="390" t="s">
        <v>367</v>
      </c>
      <c r="F1755" s="391">
        <v>24075.0</v>
      </c>
      <c r="G1755" s="391">
        <v>7589.0</v>
      </c>
      <c r="H1755" s="391">
        <v>31.52</v>
      </c>
      <c r="I1755" s="391">
        <v>5.29</v>
      </c>
      <c r="J1755" s="391">
        <v>6.2</v>
      </c>
      <c r="K1755" s="391">
        <v>18654.0</v>
      </c>
      <c r="L1755" s="391">
        <v>352823.0</v>
      </c>
      <c r="M1755" s="391">
        <v>0.7748</v>
      </c>
      <c r="N1755" s="38">
        <v>2.458</v>
      </c>
    </row>
    <row r="1756">
      <c r="A1756" s="389" t="s">
        <v>1972</v>
      </c>
      <c r="B1756" s="389" t="s">
        <v>339</v>
      </c>
      <c r="C1756" s="389" t="s">
        <v>9</v>
      </c>
      <c r="D1756" s="389" t="s">
        <v>591</v>
      </c>
      <c r="E1756" s="390" t="s">
        <v>39</v>
      </c>
      <c r="F1756" s="391">
        <v>24075.0</v>
      </c>
      <c r="G1756" s="391">
        <v>9991.0</v>
      </c>
      <c r="H1756" s="391">
        <v>41.5</v>
      </c>
      <c r="I1756" s="391">
        <v>4.34</v>
      </c>
      <c r="J1756" s="391">
        <v>3.97</v>
      </c>
      <c r="K1756" s="391">
        <v>15306.0</v>
      </c>
      <c r="L1756" s="391">
        <v>352823.0</v>
      </c>
      <c r="M1756" s="391">
        <v>0.6358</v>
      </c>
      <c r="N1756" s="38">
        <v>1.532</v>
      </c>
    </row>
    <row r="1757">
      <c r="A1757" s="389" t="s">
        <v>1972</v>
      </c>
      <c r="B1757" s="389" t="s">
        <v>339</v>
      </c>
      <c r="C1757" s="389" t="s">
        <v>9</v>
      </c>
      <c r="D1757" s="389" t="s">
        <v>591</v>
      </c>
      <c r="E1757" s="390" t="s">
        <v>35</v>
      </c>
      <c r="F1757" s="391">
        <v>24075.0</v>
      </c>
      <c r="G1757" s="391">
        <v>7356.0</v>
      </c>
      <c r="H1757" s="391">
        <v>30.55</v>
      </c>
      <c r="I1757" s="391">
        <v>3.96</v>
      </c>
      <c r="J1757" s="391">
        <v>4.16</v>
      </c>
      <c r="K1757" s="391">
        <v>13986.0</v>
      </c>
      <c r="L1757" s="391">
        <v>352823.0</v>
      </c>
      <c r="M1757" s="391">
        <v>0.5809</v>
      </c>
      <c r="N1757" s="38">
        <v>1.9013</v>
      </c>
    </row>
    <row r="1758">
      <c r="A1758" s="389" t="s">
        <v>1972</v>
      </c>
      <c r="B1758" s="389" t="s">
        <v>339</v>
      </c>
      <c r="C1758" s="389" t="s">
        <v>9</v>
      </c>
      <c r="D1758" s="389" t="s">
        <v>591</v>
      </c>
      <c r="E1758" s="390" t="s">
        <v>363</v>
      </c>
      <c r="F1758" s="391">
        <v>24075.0</v>
      </c>
      <c r="G1758" s="391">
        <v>5388.0</v>
      </c>
      <c r="H1758" s="391">
        <v>22.38</v>
      </c>
      <c r="I1758" s="391">
        <v>3.9</v>
      </c>
      <c r="J1758" s="391">
        <v>3.01</v>
      </c>
      <c r="K1758" s="391">
        <v>13767.0</v>
      </c>
      <c r="L1758" s="391">
        <v>352823.0</v>
      </c>
      <c r="M1758" s="391">
        <v>0.5718</v>
      </c>
      <c r="N1758" s="38">
        <v>2.5551</v>
      </c>
    </row>
    <row r="1759">
      <c r="A1759" s="389" t="s">
        <v>1972</v>
      </c>
      <c r="B1759" s="389" t="s">
        <v>339</v>
      </c>
      <c r="C1759" s="389" t="s">
        <v>9</v>
      </c>
      <c r="D1759" s="389" t="s">
        <v>591</v>
      </c>
      <c r="E1759" s="390" t="s">
        <v>108</v>
      </c>
      <c r="F1759" s="391">
        <v>24075.0</v>
      </c>
      <c r="G1759" s="391">
        <v>3900.0</v>
      </c>
      <c r="H1759" s="391">
        <v>16.2</v>
      </c>
      <c r="I1759" s="391">
        <v>2.7</v>
      </c>
      <c r="J1759" s="391">
        <v>1.74</v>
      </c>
      <c r="K1759" s="391">
        <v>9537.0</v>
      </c>
      <c r="L1759" s="391">
        <v>352823.0</v>
      </c>
      <c r="M1759" s="391">
        <v>0.3961</v>
      </c>
      <c r="N1759" s="38">
        <v>2.4454</v>
      </c>
    </row>
    <row r="1760">
      <c r="A1760" s="389" t="s">
        <v>1972</v>
      </c>
      <c r="B1760" s="389" t="s">
        <v>339</v>
      </c>
      <c r="C1760" s="389" t="s">
        <v>9</v>
      </c>
      <c r="D1760" s="389" t="s">
        <v>591</v>
      </c>
      <c r="E1760" s="390" t="s">
        <v>45</v>
      </c>
      <c r="F1760" s="391">
        <v>24075.0</v>
      </c>
      <c r="G1760" s="391">
        <v>5115.0</v>
      </c>
      <c r="H1760" s="391">
        <v>21.25</v>
      </c>
      <c r="I1760" s="391">
        <v>2.03</v>
      </c>
      <c r="J1760" s="391">
        <v>2.06</v>
      </c>
      <c r="K1760" s="391">
        <v>7152.0</v>
      </c>
      <c r="L1760" s="391">
        <v>352823.0</v>
      </c>
      <c r="M1760" s="391">
        <v>0.2971</v>
      </c>
      <c r="N1760" s="38">
        <v>1.3982</v>
      </c>
    </row>
    <row r="1761">
      <c r="A1761" s="389" t="s">
        <v>1972</v>
      </c>
      <c r="B1761" s="389" t="s">
        <v>339</v>
      </c>
      <c r="C1761" s="389" t="s">
        <v>9</v>
      </c>
      <c r="D1761" s="389" t="s">
        <v>591</v>
      </c>
      <c r="E1761" s="390" t="s">
        <v>37</v>
      </c>
      <c r="F1761" s="391">
        <v>24075.0</v>
      </c>
      <c r="G1761" s="391">
        <v>4621.0</v>
      </c>
      <c r="H1761" s="391">
        <v>19.19</v>
      </c>
      <c r="I1761" s="391">
        <v>1.67</v>
      </c>
      <c r="J1761" s="391">
        <v>2.16</v>
      </c>
      <c r="K1761" s="391">
        <v>5890.0</v>
      </c>
      <c r="L1761" s="391">
        <v>352823.0</v>
      </c>
      <c r="M1761" s="391">
        <v>0.2447</v>
      </c>
      <c r="N1761" s="38">
        <v>1.2746</v>
      </c>
    </row>
    <row r="1762">
      <c r="A1762" s="389" t="s">
        <v>1972</v>
      </c>
      <c r="B1762" s="389" t="s">
        <v>339</v>
      </c>
      <c r="C1762" s="389" t="s">
        <v>9</v>
      </c>
      <c r="D1762" s="389" t="s">
        <v>591</v>
      </c>
      <c r="E1762" s="390" t="s">
        <v>368</v>
      </c>
      <c r="F1762" s="391">
        <v>24075.0</v>
      </c>
      <c r="G1762" s="391">
        <v>4212.0</v>
      </c>
      <c r="H1762" s="391">
        <v>17.5</v>
      </c>
      <c r="I1762" s="391">
        <v>1.52</v>
      </c>
      <c r="J1762" s="391">
        <v>0.95</v>
      </c>
      <c r="K1762" s="391">
        <v>5350.0</v>
      </c>
      <c r="L1762" s="391">
        <v>352823.0</v>
      </c>
      <c r="M1762" s="391">
        <v>0.2222</v>
      </c>
      <c r="N1762" s="38">
        <v>1.2702</v>
      </c>
    </row>
    <row r="1763">
      <c r="A1763" s="389" t="s">
        <v>1972</v>
      </c>
      <c r="B1763" s="389" t="s">
        <v>339</v>
      </c>
      <c r="C1763" s="389" t="s">
        <v>9</v>
      </c>
      <c r="D1763" s="389" t="s">
        <v>591</v>
      </c>
      <c r="E1763" s="390" t="s">
        <v>284</v>
      </c>
      <c r="F1763" s="391">
        <v>24075.0</v>
      </c>
      <c r="G1763" s="391">
        <v>2953.0</v>
      </c>
      <c r="H1763" s="391">
        <v>12.27</v>
      </c>
      <c r="I1763" s="391">
        <v>0.96</v>
      </c>
      <c r="J1763" s="391">
        <v>1.16</v>
      </c>
      <c r="K1763" s="391">
        <v>3394.0</v>
      </c>
      <c r="L1763" s="391">
        <v>352823.0</v>
      </c>
      <c r="M1763" s="391">
        <v>0.141</v>
      </c>
      <c r="N1763" s="38">
        <v>1.1493</v>
      </c>
    </row>
    <row r="1764">
      <c r="A1764" s="389" t="s">
        <v>1972</v>
      </c>
      <c r="B1764" s="389" t="s">
        <v>339</v>
      </c>
      <c r="C1764" s="389" t="s">
        <v>9</v>
      </c>
      <c r="D1764" s="389" t="s">
        <v>591</v>
      </c>
      <c r="E1764" s="390" t="s">
        <v>282</v>
      </c>
      <c r="F1764" s="391">
        <v>24075.0</v>
      </c>
      <c r="G1764" s="391">
        <v>2232.0</v>
      </c>
      <c r="H1764" s="391">
        <v>9.27</v>
      </c>
      <c r="I1764" s="391">
        <v>0.69</v>
      </c>
      <c r="J1764" s="391">
        <v>0.86</v>
      </c>
      <c r="K1764" s="391">
        <v>2429.0</v>
      </c>
      <c r="L1764" s="391">
        <v>352823.0</v>
      </c>
      <c r="M1764" s="391">
        <v>0.1009</v>
      </c>
      <c r="N1764" s="38">
        <v>1.0883</v>
      </c>
    </row>
    <row r="1765">
      <c r="A1765" s="389" t="s">
        <v>1972</v>
      </c>
      <c r="B1765" s="389" t="s">
        <v>339</v>
      </c>
      <c r="C1765" s="389" t="s">
        <v>9</v>
      </c>
      <c r="D1765" s="389" t="s">
        <v>591</v>
      </c>
      <c r="E1765" s="390" t="s">
        <v>283</v>
      </c>
      <c r="F1765" s="391">
        <v>24075.0</v>
      </c>
      <c r="G1765" s="391">
        <v>2107.0</v>
      </c>
      <c r="H1765" s="391">
        <v>8.75</v>
      </c>
      <c r="I1765" s="391">
        <v>0.65</v>
      </c>
      <c r="J1765" s="391">
        <v>0.95</v>
      </c>
      <c r="K1765" s="391">
        <v>2290.0</v>
      </c>
      <c r="L1765" s="391">
        <v>352823.0</v>
      </c>
      <c r="M1765" s="391">
        <v>0.0951</v>
      </c>
      <c r="N1765" s="38">
        <v>1.0869</v>
      </c>
    </row>
    <row r="1766">
      <c r="A1766" s="389" t="s">
        <v>1972</v>
      </c>
      <c r="B1766" s="389" t="s">
        <v>339</v>
      </c>
      <c r="C1766" s="389" t="s">
        <v>9</v>
      </c>
      <c r="D1766" s="389" t="s">
        <v>591</v>
      </c>
      <c r="E1766" s="390" t="s">
        <v>38</v>
      </c>
      <c r="F1766" s="391">
        <v>24075.0</v>
      </c>
      <c r="G1766" s="391">
        <v>1560.0</v>
      </c>
      <c r="H1766" s="391">
        <v>6.48</v>
      </c>
      <c r="I1766" s="391">
        <v>0.46</v>
      </c>
      <c r="J1766" s="391">
        <v>0.5</v>
      </c>
      <c r="K1766" s="391">
        <v>1640.0</v>
      </c>
      <c r="L1766" s="391">
        <v>352823.0</v>
      </c>
      <c r="M1766" s="391">
        <v>0.0681</v>
      </c>
      <c r="N1766" s="38">
        <v>1.0513</v>
      </c>
    </row>
    <row r="1767">
      <c r="A1767" s="389" t="s">
        <v>1972</v>
      </c>
      <c r="B1767" s="389" t="s">
        <v>339</v>
      </c>
      <c r="C1767" s="389" t="s">
        <v>9</v>
      </c>
      <c r="D1767" s="389" t="s">
        <v>591</v>
      </c>
      <c r="E1767" s="390" t="s">
        <v>163</v>
      </c>
      <c r="F1767" s="391">
        <v>24075.0</v>
      </c>
      <c r="G1767" s="391">
        <v>1101.0</v>
      </c>
      <c r="H1767" s="391">
        <v>4.57</v>
      </c>
      <c r="I1767" s="391">
        <v>0.32</v>
      </c>
      <c r="J1767" s="391">
        <v>0.16</v>
      </c>
      <c r="K1767" s="391">
        <v>1124.0</v>
      </c>
      <c r="L1767" s="391">
        <v>352823.0</v>
      </c>
      <c r="M1767" s="391">
        <v>0.0467</v>
      </c>
      <c r="N1767" s="38">
        <v>1.0209</v>
      </c>
    </row>
    <row r="1768">
      <c r="A1768" s="389" t="s">
        <v>1972</v>
      </c>
      <c r="B1768" s="389" t="s">
        <v>339</v>
      </c>
      <c r="C1768" s="389" t="s">
        <v>9</v>
      </c>
      <c r="D1768" s="389" t="s">
        <v>591</v>
      </c>
      <c r="E1768" s="390" t="s">
        <v>27</v>
      </c>
      <c r="F1768" s="391">
        <v>24075.0</v>
      </c>
      <c r="G1768" s="391">
        <v>465.0</v>
      </c>
      <c r="H1768" s="391">
        <v>1.93</v>
      </c>
      <c r="I1768" s="391">
        <v>0.13</v>
      </c>
      <c r="J1768" s="391">
        <v>0.14</v>
      </c>
      <c r="K1768" s="391">
        <v>470.0</v>
      </c>
      <c r="L1768" s="391">
        <v>352823.0</v>
      </c>
      <c r="M1768" s="391">
        <v>0.0195</v>
      </c>
      <c r="N1768" s="38">
        <v>1.0108</v>
      </c>
    </row>
    <row r="1769">
      <c r="A1769" s="389" t="s">
        <v>1972</v>
      </c>
      <c r="B1769" s="389" t="s">
        <v>339</v>
      </c>
      <c r="C1769" s="389" t="s">
        <v>9</v>
      </c>
      <c r="D1769" s="389" t="s">
        <v>591</v>
      </c>
      <c r="E1769" s="390" t="s">
        <v>30</v>
      </c>
      <c r="F1769" s="391">
        <v>24075.0</v>
      </c>
      <c r="G1769" s="391">
        <v>1.0</v>
      </c>
      <c r="H1769" s="391">
        <v>0.0</v>
      </c>
      <c r="I1769" s="391">
        <v>0.0</v>
      </c>
      <c r="J1769" s="391">
        <v>0.0</v>
      </c>
      <c r="K1769" s="391">
        <v>1.0</v>
      </c>
      <c r="L1769" s="391">
        <v>352823.0</v>
      </c>
      <c r="M1769" s="391">
        <v>0.0</v>
      </c>
      <c r="N1769" s="38">
        <v>1.0</v>
      </c>
    </row>
    <row r="1770">
      <c r="A1770" s="389" t="s">
        <v>1972</v>
      </c>
      <c r="B1770" s="389" t="s">
        <v>339</v>
      </c>
      <c r="C1770" s="389" t="s">
        <v>358</v>
      </c>
      <c r="D1770" s="389" t="s">
        <v>1968</v>
      </c>
      <c r="E1770" s="390" t="s">
        <v>371</v>
      </c>
      <c r="F1770" s="391">
        <v>15506.0</v>
      </c>
      <c r="G1770" s="391">
        <v>6811.0</v>
      </c>
      <c r="H1770" s="391">
        <v>43.92</v>
      </c>
      <c r="I1770" s="391">
        <v>29.57</v>
      </c>
      <c r="J1770" s="391">
        <v>26.86</v>
      </c>
      <c r="K1770" s="391">
        <v>182785.0</v>
      </c>
      <c r="L1770" s="391">
        <v>618215.0</v>
      </c>
      <c r="M1770" s="391">
        <v>11.788</v>
      </c>
      <c r="N1770" s="38">
        <v>26.8367</v>
      </c>
    </row>
    <row r="1771">
      <c r="A1771" s="389" t="s">
        <v>1972</v>
      </c>
      <c r="B1771" s="389" t="s">
        <v>339</v>
      </c>
      <c r="C1771" s="389" t="s">
        <v>358</v>
      </c>
      <c r="D1771" s="389" t="s">
        <v>1968</v>
      </c>
      <c r="E1771" s="390" t="s">
        <v>368</v>
      </c>
      <c r="F1771" s="391">
        <v>15506.0</v>
      </c>
      <c r="G1771" s="391">
        <v>8719.0</v>
      </c>
      <c r="H1771" s="391">
        <v>56.23</v>
      </c>
      <c r="I1771" s="391">
        <v>24.81</v>
      </c>
      <c r="J1771" s="391">
        <v>30.53</v>
      </c>
      <c r="K1771" s="391">
        <v>153370.0</v>
      </c>
      <c r="L1771" s="391">
        <v>618215.0</v>
      </c>
      <c r="M1771" s="391">
        <v>9.891</v>
      </c>
      <c r="N1771" s="38">
        <v>17.5903</v>
      </c>
    </row>
    <row r="1772">
      <c r="A1772" s="389" t="s">
        <v>1972</v>
      </c>
      <c r="B1772" s="389" t="s">
        <v>339</v>
      </c>
      <c r="C1772" s="389" t="s">
        <v>358</v>
      </c>
      <c r="D1772" s="389" t="s">
        <v>1968</v>
      </c>
      <c r="E1772" s="390" t="s">
        <v>108</v>
      </c>
      <c r="F1772" s="391">
        <v>15506.0</v>
      </c>
      <c r="G1772" s="391">
        <v>5187.0</v>
      </c>
      <c r="H1772" s="391">
        <v>33.45</v>
      </c>
      <c r="I1772" s="391">
        <v>19.2</v>
      </c>
      <c r="J1772" s="391">
        <v>19.22</v>
      </c>
      <c r="K1772" s="391">
        <v>118680.0</v>
      </c>
      <c r="L1772" s="391">
        <v>618215.0</v>
      </c>
      <c r="M1772" s="391">
        <v>7.6538</v>
      </c>
      <c r="N1772" s="38">
        <v>22.8803</v>
      </c>
    </row>
    <row r="1773">
      <c r="A1773" s="389" t="s">
        <v>1972</v>
      </c>
      <c r="B1773" s="389" t="s">
        <v>339</v>
      </c>
      <c r="C1773" s="389" t="s">
        <v>358</v>
      </c>
      <c r="D1773" s="389" t="s">
        <v>1968</v>
      </c>
      <c r="E1773" s="390" t="s">
        <v>366</v>
      </c>
      <c r="F1773" s="391">
        <v>15506.0</v>
      </c>
      <c r="G1773" s="391">
        <v>2047.0</v>
      </c>
      <c r="H1773" s="391">
        <v>13.2</v>
      </c>
      <c r="I1773" s="391">
        <v>10.15</v>
      </c>
      <c r="J1773" s="391">
        <v>5.66</v>
      </c>
      <c r="K1773" s="391">
        <v>62745.0</v>
      </c>
      <c r="L1773" s="391">
        <v>618215.0</v>
      </c>
      <c r="M1773" s="391">
        <v>4.0465</v>
      </c>
      <c r="N1773" s="38">
        <v>30.6522</v>
      </c>
    </row>
    <row r="1774">
      <c r="A1774" s="389" t="s">
        <v>1972</v>
      </c>
      <c r="B1774" s="389" t="s">
        <v>339</v>
      </c>
      <c r="C1774" s="389" t="s">
        <v>358</v>
      </c>
      <c r="D1774" s="389" t="s">
        <v>1968</v>
      </c>
      <c r="E1774" s="390" t="s">
        <v>163</v>
      </c>
      <c r="F1774" s="391">
        <v>15506.0</v>
      </c>
      <c r="G1774" s="391">
        <v>3953.0</v>
      </c>
      <c r="H1774" s="391">
        <v>25.49</v>
      </c>
      <c r="I1774" s="391">
        <v>9.37</v>
      </c>
      <c r="J1774" s="391">
        <v>11.27</v>
      </c>
      <c r="K1774" s="391">
        <v>57900.0</v>
      </c>
      <c r="L1774" s="391">
        <v>618215.0</v>
      </c>
      <c r="M1774" s="391">
        <v>3.734</v>
      </c>
      <c r="N1774" s="38">
        <v>14.6471</v>
      </c>
    </row>
    <row r="1775">
      <c r="A1775" s="389" t="s">
        <v>1972</v>
      </c>
      <c r="B1775" s="389" t="s">
        <v>339</v>
      </c>
      <c r="C1775" s="389" t="s">
        <v>358</v>
      </c>
      <c r="D1775" s="389" t="s">
        <v>1968</v>
      </c>
      <c r="E1775" s="390" t="s">
        <v>30</v>
      </c>
      <c r="F1775" s="391">
        <v>15506.0</v>
      </c>
      <c r="G1775" s="391">
        <v>1889.0</v>
      </c>
      <c r="H1775" s="391">
        <v>12.18</v>
      </c>
      <c r="I1775" s="391">
        <v>4.6</v>
      </c>
      <c r="J1775" s="391">
        <v>4.05</v>
      </c>
      <c r="K1775" s="391">
        <v>28455.0</v>
      </c>
      <c r="L1775" s="391">
        <v>618215.0</v>
      </c>
      <c r="M1775" s="391">
        <v>1.8351</v>
      </c>
      <c r="N1775" s="38">
        <v>15.0635</v>
      </c>
    </row>
    <row r="1776">
      <c r="A1776" s="389" t="s">
        <v>1972</v>
      </c>
      <c r="B1776" s="389" t="s">
        <v>339</v>
      </c>
      <c r="C1776" s="389" t="s">
        <v>358</v>
      </c>
      <c r="D1776" s="389" t="s">
        <v>1968</v>
      </c>
      <c r="E1776" s="390" t="s">
        <v>369</v>
      </c>
      <c r="F1776" s="391">
        <v>15506.0</v>
      </c>
      <c r="G1776" s="391">
        <v>449.0</v>
      </c>
      <c r="H1776" s="391">
        <v>2.9</v>
      </c>
      <c r="I1776" s="391">
        <v>2.31</v>
      </c>
      <c r="J1776" s="391">
        <v>2.41</v>
      </c>
      <c r="K1776" s="391">
        <v>14270.0</v>
      </c>
      <c r="L1776" s="391">
        <v>618215.0</v>
      </c>
      <c r="M1776" s="391">
        <v>0.9203</v>
      </c>
      <c r="N1776" s="38">
        <v>31.7817</v>
      </c>
    </row>
    <row r="1777">
      <c r="A1777" s="389" t="s">
        <v>1972</v>
      </c>
      <c r="B1777" s="389" t="s">
        <v>339</v>
      </c>
      <c r="C1777" s="389" t="s">
        <v>358</v>
      </c>
      <c r="D1777" s="389" t="s">
        <v>1968</v>
      </c>
      <c r="E1777" s="390" t="s">
        <v>367</v>
      </c>
      <c r="F1777" s="391">
        <v>15506.0</v>
      </c>
      <c r="G1777" s="391">
        <v>1.0</v>
      </c>
      <c r="H1777" s="391">
        <v>0.01</v>
      </c>
      <c r="I1777" s="391">
        <v>0.0</v>
      </c>
      <c r="J1777" s="391">
        <v>0.0</v>
      </c>
      <c r="K1777" s="391">
        <v>10.0</v>
      </c>
      <c r="L1777" s="391">
        <v>618215.0</v>
      </c>
      <c r="M1777" s="391">
        <v>6.0E-4</v>
      </c>
      <c r="N1777" s="38">
        <v>10.0</v>
      </c>
    </row>
    <row r="1778">
      <c r="A1778" s="389" t="s">
        <v>1972</v>
      </c>
      <c r="B1778" s="389" t="s">
        <v>339</v>
      </c>
      <c r="C1778" s="389" t="s">
        <v>359</v>
      </c>
      <c r="D1778" s="389" t="s">
        <v>1968</v>
      </c>
      <c r="E1778" s="390" t="s">
        <v>371</v>
      </c>
      <c r="F1778" s="391">
        <v>21378.0</v>
      </c>
      <c r="G1778" s="391">
        <v>15469.0</v>
      </c>
      <c r="H1778" s="391">
        <v>72.36</v>
      </c>
      <c r="I1778" s="391">
        <v>42.14</v>
      </c>
      <c r="J1778" s="391">
        <v>44.99</v>
      </c>
      <c r="K1778" s="391">
        <v>552270.0</v>
      </c>
      <c r="L1778" s="391">
        <v>1310625.0</v>
      </c>
      <c r="M1778" s="391">
        <v>25.8336</v>
      </c>
      <c r="N1778" s="38">
        <v>35.7017</v>
      </c>
    </row>
    <row r="1779">
      <c r="A1779" s="389" t="s">
        <v>1972</v>
      </c>
      <c r="B1779" s="389" t="s">
        <v>339</v>
      </c>
      <c r="C1779" s="389" t="s">
        <v>359</v>
      </c>
      <c r="D1779" s="389" t="s">
        <v>1968</v>
      </c>
      <c r="E1779" s="390" t="s">
        <v>368</v>
      </c>
      <c r="F1779" s="391">
        <v>21378.0</v>
      </c>
      <c r="G1779" s="391">
        <v>11343.0</v>
      </c>
      <c r="H1779" s="391">
        <v>53.06</v>
      </c>
      <c r="I1779" s="391">
        <v>16.14</v>
      </c>
      <c r="J1779" s="391">
        <v>19.01</v>
      </c>
      <c r="K1779" s="391">
        <v>211535.0</v>
      </c>
      <c r="L1779" s="391">
        <v>1310625.0</v>
      </c>
      <c r="M1779" s="391">
        <v>9.895</v>
      </c>
      <c r="N1779" s="38">
        <v>18.6489</v>
      </c>
    </row>
    <row r="1780">
      <c r="A1780" s="389" t="s">
        <v>1972</v>
      </c>
      <c r="B1780" s="389" t="s">
        <v>339</v>
      </c>
      <c r="C1780" s="389" t="s">
        <v>359</v>
      </c>
      <c r="D1780" s="389" t="s">
        <v>1968</v>
      </c>
      <c r="E1780" s="390" t="s">
        <v>108</v>
      </c>
      <c r="F1780" s="391">
        <v>21378.0</v>
      </c>
      <c r="G1780" s="391">
        <v>5990.0</v>
      </c>
      <c r="H1780" s="391">
        <v>28.02</v>
      </c>
      <c r="I1780" s="391">
        <v>12.71</v>
      </c>
      <c r="J1780" s="391">
        <v>9.62</v>
      </c>
      <c r="K1780" s="391">
        <v>166525.0</v>
      </c>
      <c r="L1780" s="391">
        <v>1310625.0</v>
      </c>
      <c r="M1780" s="391">
        <v>7.7896</v>
      </c>
      <c r="N1780" s="38">
        <v>27.8005</v>
      </c>
    </row>
    <row r="1781">
      <c r="A1781" s="389" t="s">
        <v>1972</v>
      </c>
      <c r="B1781" s="389" t="s">
        <v>339</v>
      </c>
      <c r="C1781" s="389" t="s">
        <v>359</v>
      </c>
      <c r="D1781" s="389" t="s">
        <v>1968</v>
      </c>
      <c r="E1781" s="390" t="s">
        <v>366</v>
      </c>
      <c r="F1781" s="391">
        <v>21378.0</v>
      </c>
      <c r="G1781" s="391">
        <v>2178.0</v>
      </c>
      <c r="H1781" s="391">
        <v>10.19</v>
      </c>
      <c r="I1781" s="391">
        <v>10.12</v>
      </c>
      <c r="J1781" s="391">
        <v>4.29</v>
      </c>
      <c r="K1781" s="391">
        <v>132600.0</v>
      </c>
      <c r="L1781" s="391">
        <v>1310625.0</v>
      </c>
      <c r="M1781" s="391">
        <v>6.2026</v>
      </c>
      <c r="N1781" s="38">
        <v>60.8815</v>
      </c>
    </row>
    <row r="1782">
      <c r="A1782" s="389" t="s">
        <v>1972</v>
      </c>
      <c r="B1782" s="389" t="s">
        <v>339</v>
      </c>
      <c r="C1782" s="389" t="s">
        <v>359</v>
      </c>
      <c r="D1782" s="389" t="s">
        <v>1968</v>
      </c>
      <c r="E1782" s="390" t="s">
        <v>39</v>
      </c>
      <c r="F1782" s="391">
        <v>21378.0</v>
      </c>
      <c r="G1782" s="391">
        <v>7782.0</v>
      </c>
      <c r="H1782" s="391">
        <v>36.4</v>
      </c>
      <c r="I1782" s="391">
        <v>9.01</v>
      </c>
      <c r="J1782" s="391">
        <v>10.2</v>
      </c>
      <c r="K1782" s="391">
        <v>118060.0</v>
      </c>
      <c r="L1782" s="391">
        <v>1310625.0</v>
      </c>
      <c r="M1782" s="391">
        <v>5.5225</v>
      </c>
      <c r="N1782" s="38">
        <v>15.1709</v>
      </c>
    </row>
    <row r="1783">
      <c r="A1783" s="389" t="s">
        <v>1972</v>
      </c>
      <c r="B1783" s="389" t="s">
        <v>339</v>
      </c>
      <c r="C1783" s="389" t="s">
        <v>359</v>
      </c>
      <c r="D1783" s="389" t="s">
        <v>1968</v>
      </c>
      <c r="E1783" s="390" t="s">
        <v>163</v>
      </c>
      <c r="F1783" s="391">
        <v>21378.0</v>
      </c>
      <c r="G1783" s="391">
        <v>5068.0</v>
      </c>
      <c r="H1783" s="391">
        <v>23.71</v>
      </c>
      <c r="I1783" s="391">
        <v>5.57</v>
      </c>
      <c r="J1783" s="391">
        <v>7.35</v>
      </c>
      <c r="K1783" s="391">
        <v>73015.0</v>
      </c>
      <c r="L1783" s="391">
        <v>1310625.0</v>
      </c>
      <c r="M1783" s="391">
        <v>3.4154</v>
      </c>
      <c r="N1783" s="38">
        <v>14.4071</v>
      </c>
    </row>
    <row r="1784">
      <c r="A1784" s="389" t="s">
        <v>1972</v>
      </c>
      <c r="B1784" s="389" t="s">
        <v>339</v>
      </c>
      <c r="C1784" s="389" t="s">
        <v>359</v>
      </c>
      <c r="D1784" s="389" t="s">
        <v>1968</v>
      </c>
      <c r="E1784" s="390" t="s">
        <v>30</v>
      </c>
      <c r="F1784" s="391">
        <v>21378.0</v>
      </c>
      <c r="G1784" s="391">
        <v>2816.0</v>
      </c>
      <c r="H1784" s="391">
        <v>13.17</v>
      </c>
      <c r="I1784" s="391">
        <v>3.23</v>
      </c>
      <c r="J1784" s="391">
        <v>3.29</v>
      </c>
      <c r="K1784" s="391">
        <v>42360.0</v>
      </c>
      <c r="L1784" s="391">
        <v>1310625.0</v>
      </c>
      <c r="M1784" s="391">
        <v>1.9815</v>
      </c>
      <c r="N1784" s="38">
        <v>15.0426</v>
      </c>
    </row>
    <row r="1785">
      <c r="A1785" s="389" t="s">
        <v>1972</v>
      </c>
      <c r="B1785" s="389" t="s">
        <v>339</v>
      </c>
      <c r="C1785" s="389" t="s">
        <v>359</v>
      </c>
      <c r="D1785" s="389" t="s">
        <v>1968</v>
      </c>
      <c r="E1785" s="390" t="s">
        <v>369</v>
      </c>
      <c r="F1785" s="391">
        <v>21378.0</v>
      </c>
      <c r="G1785" s="391">
        <v>448.0</v>
      </c>
      <c r="H1785" s="391">
        <v>2.1</v>
      </c>
      <c r="I1785" s="391">
        <v>1.09</v>
      </c>
      <c r="J1785" s="391">
        <v>1.25</v>
      </c>
      <c r="K1785" s="391">
        <v>14235.0</v>
      </c>
      <c r="L1785" s="391">
        <v>1310625.0</v>
      </c>
      <c r="M1785" s="391">
        <v>0.6659</v>
      </c>
      <c r="N1785" s="38">
        <v>31.7746</v>
      </c>
    </row>
    <row r="1786">
      <c r="A1786" s="389" t="s">
        <v>1972</v>
      </c>
      <c r="B1786" s="389" t="s">
        <v>339</v>
      </c>
      <c r="C1786" s="389" t="s">
        <v>359</v>
      </c>
      <c r="D1786" s="389" t="s">
        <v>1968</v>
      </c>
      <c r="E1786" s="390" t="s">
        <v>367</v>
      </c>
      <c r="F1786" s="391">
        <v>21378.0</v>
      </c>
      <c r="G1786" s="391">
        <v>1.0</v>
      </c>
      <c r="H1786" s="391">
        <v>0.0</v>
      </c>
      <c r="I1786" s="391">
        <v>0.0</v>
      </c>
      <c r="J1786" s="391">
        <v>0.0</v>
      </c>
      <c r="K1786" s="391">
        <v>10.0</v>
      </c>
      <c r="L1786" s="391">
        <v>1310625.0</v>
      </c>
      <c r="M1786" s="391">
        <v>5.0E-4</v>
      </c>
      <c r="N1786" s="38">
        <v>10.0</v>
      </c>
    </row>
    <row r="1787">
      <c r="A1787" s="389" t="s">
        <v>1972</v>
      </c>
      <c r="B1787" s="389" t="s">
        <v>339</v>
      </c>
      <c r="C1787" s="389" t="s">
        <v>359</v>
      </c>
      <c r="D1787" s="389" t="s">
        <v>1968</v>
      </c>
      <c r="E1787" s="390" t="s">
        <v>37</v>
      </c>
      <c r="F1787" s="391">
        <v>21378.0</v>
      </c>
      <c r="G1787" s="391">
        <v>1.0</v>
      </c>
      <c r="H1787" s="391">
        <v>0.0</v>
      </c>
      <c r="I1787" s="391">
        <v>0.0</v>
      </c>
      <c r="J1787" s="391">
        <v>0.0</v>
      </c>
      <c r="K1787" s="391">
        <v>15.0</v>
      </c>
      <c r="L1787" s="391">
        <v>1310625.0</v>
      </c>
      <c r="M1787" s="391">
        <v>7.0E-4</v>
      </c>
      <c r="N1787" s="38">
        <v>15.0</v>
      </c>
    </row>
    <row r="1788">
      <c r="A1788" s="389" t="s">
        <v>1972</v>
      </c>
      <c r="B1788" s="389" t="s">
        <v>339</v>
      </c>
      <c r="C1788" s="389" t="s">
        <v>360</v>
      </c>
      <c r="D1788" s="389" t="s">
        <v>1968</v>
      </c>
      <c r="E1788" s="390" t="s">
        <v>371</v>
      </c>
      <c r="F1788" s="391">
        <v>22669.0</v>
      </c>
      <c r="G1788" s="391">
        <v>18880.0</v>
      </c>
      <c r="H1788" s="391">
        <v>83.29</v>
      </c>
      <c r="I1788" s="391">
        <v>42.11</v>
      </c>
      <c r="J1788" s="391">
        <v>49.38</v>
      </c>
      <c r="K1788" s="391">
        <v>685950.0</v>
      </c>
      <c r="L1788" s="391">
        <v>1629035.0</v>
      </c>
      <c r="M1788" s="391">
        <v>30.2594</v>
      </c>
      <c r="N1788" s="38">
        <v>36.3321</v>
      </c>
    </row>
    <row r="1789">
      <c r="A1789" s="389" t="s">
        <v>1972</v>
      </c>
      <c r="B1789" s="389" t="s">
        <v>339</v>
      </c>
      <c r="C1789" s="389" t="s">
        <v>360</v>
      </c>
      <c r="D1789" s="389" t="s">
        <v>1968</v>
      </c>
      <c r="E1789" s="390" t="s">
        <v>368</v>
      </c>
      <c r="F1789" s="391">
        <v>22669.0</v>
      </c>
      <c r="G1789" s="391">
        <v>11619.0</v>
      </c>
      <c r="H1789" s="391">
        <v>51.26</v>
      </c>
      <c r="I1789" s="391">
        <v>14.65</v>
      </c>
      <c r="J1789" s="391">
        <v>16.19</v>
      </c>
      <c r="K1789" s="391">
        <v>238605.0</v>
      </c>
      <c r="L1789" s="391">
        <v>1629035.0</v>
      </c>
      <c r="M1789" s="391">
        <v>10.5256</v>
      </c>
      <c r="N1789" s="38">
        <v>20.5358</v>
      </c>
    </row>
    <row r="1790">
      <c r="A1790" s="389" t="s">
        <v>1972</v>
      </c>
      <c r="B1790" s="389" t="s">
        <v>339</v>
      </c>
      <c r="C1790" s="389" t="s">
        <v>360</v>
      </c>
      <c r="D1790" s="389" t="s">
        <v>1968</v>
      </c>
      <c r="E1790" s="390" t="s">
        <v>108</v>
      </c>
      <c r="F1790" s="391">
        <v>22669.0</v>
      </c>
      <c r="G1790" s="391">
        <v>5180.0</v>
      </c>
      <c r="H1790" s="391">
        <v>22.85</v>
      </c>
      <c r="I1790" s="391">
        <v>13.86</v>
      </c>
      <c r="J1790" s="391">
        <v>7.89</v>
      </c>
      <c r="K1790" s="391">
        <v>225800.0</v>
      </c>
      <c r="L1790" s="391">
        <v>1629035.0</v>
      </c>
      <c r="M1790" s="391">
        <v>9.9607</v>
      </c>
      <c r="N1790" s="38">
        <v>43.5907</v>
      </c>
    </row>
    <row r="1791">
      <c r="A1791" s="389" t="s">
        <v>1972</v>
      </c>
      <c r="B1791" s="389" t="s">
        <v>339</v>
      </c>
      <c r="C1791" s="389" t="s">
        <v>360</v>
      </c>
      <c r="D1791" s="389" t="s">
        <v>1968</v>
      </c>
      <c r="E1791" s="390" t="s">
        <v>366</v>
      </c>
      <c r="F1791" s="391">
        <v>22669.0</v>
      </c>
      <c r="G1791" s="391">
        <v>2809.0</v>
      </c>
      <c r="H1791" s="391">
        <v>12.39</v>
      </c>
      <c r="I1791" s="391">
        <v>10.5</v>
      </c>
      <c r="J1791" s="391">
        <v>5.53</v>
      </c>
      <c r="K1791" s="391">
        <v>171120.0</v>
      </c>
      <c r="L1791" s="391">
        <v>1629035.0</v>
      </c>
      <c r="M1791" s="391">
        <v>7.5486</v>
      </c>
      <c r="N1791" s="38">
        <v>60.9185</v>
      </c>
    </row>
    <row r="1792">
      <c r="A1792" s="389" t="s">
        <v>1972</v>
      </c>
      <c r="B1792" s="389" t="s">
        <v>339</v>
      </c>
      <c r="C1792" s="389" t="s">
        <v>360</v>
      </c>
      <c r="D1792" s="389" t="s">
        <v>1968</v>
      </c>
      <c r="E1792" s="390" t="s">
        <v>39</v>
      </c>
      <c r="F1792" s="391">
        <v>22669.0</v>
      </c>
      <c r="G1792" s="391">
        <v>9991.0</v>
      </c>
      <c r="H1792" s="391">
        <v>44.07</v>
      </c>
      <c r="I1792" s="391">
        <v>9.33</v>
      </c>
      <c r="J1792" s="391">
        <v>10.1</v>
      </c>
      <c r="K1792" s="391">
        <v>151990.0</v>
      </c>
      <c r="L1792" s="391">
        <v>1629035.0</v>
      </c>
      <c r="M1792" s="391">
        <v>6.7048</v>
      </c>
      <c r="N1792" s="38">
        <v>15.2127</v>
      </c>
    </row>
    <row r="1793">
      <c r="A1793" s="389" t="s">
        <v>1972</v>
      </c>
      <c r="B1793" s="389" t="s">
        <v>339</v>
      </c>
      <c r="C1793" s="389" t="s">
        <v>360</v>
      </c>
      <c r="D1793" s="389" t="s">
        <v>1968</v>
      </c>
      <c r="E1793" s="390" t="s">
        <v>163</v>
      </c>
      <c r="F1793" s="391">
        <v>22669.0</v>
      </c>
      <c r="G1793" s="391">
        <v>5239.0</v>
      </c>
      <c r="H1793" s="391">
        <v>23.11</v>
      </c>
      <c r="I1793" s="391">
        <v>5.18</v>
      </c>
      <c r="J1793" s="391">
        <v>6.04</v>
      </c>
      <c r="K1793" s="391">
        <v>84425.0</v>
      </c>
      <c r="L1793" s="391">
        <v>1629035.0</v>
      </c>
      <c r="M1793" s="391">
        <v>3.7242</v>
      </c>
      <c r="N1793" s="38">
        <v>16.1147</v>
      </c>
    </row>
    <row r="1794">
      <c r="A1794" s="389" t="s">
        <v>1972</v>
      </c>
      <c r="B1794" s="389" t="s">
        <v>339</v>
      </c>
      <c r="C1794" s="389" t="s">
        <v>360</v>
      </c>
      <c r="D1794" s="389" t="s">
        <v>1968</v>
      </c>
      <c r="E1794" s="390" t="s">
        <v>30</v>
      </c>
      <c r="F1794" s="391">
        <v>22669.0</v>
      </c>
      <c r="G1794" s="391">
        <v>3774.0</v>
      </c>
      <c r="H1794" s="391">
        <v>16.65</v>
      </c>
      <c r="I1794" s="391">
        <v>3.49</v>
      </c>
      <c r="J1794" s="391">
        <v>3.78</v>
      </c>
      <c r="K1794" s="391">
        <v>56790.0</v>
      </c>
      <c r="L1794" s="391">
        <v>1629035.0</v>
      </c>
      <c r="M1794" s="391">
        <v>2.5052</v>
      </c>
      <c r="N1794" s="38">
        <v>15.0477</v>
      </c>
    </row>
    <row r="1795">
      <c r="A1795" s="389" t="s">
        <v>1972</v>
      </c>
      <c r="B1795" s="389" t="s">
        <v>339</v>
      </c>
      <c r="C1795" s="389" t="s">
        <v>360</v>
      </c>
      <c r="D1795" s="389" t="s">
        <v>1968</v>
      </c>
      <c r="E1795" s="390" t="s">
        <v>369</v>
      </c>
      <c r="F1795" s="391">
        <v>22669.0</v>
      </c>
      <c r="G1795" s="391">
        <v>448.0</v>
      </c>
      <c r="H1795" s="391">
        <v>1.98</v>
      </c>
      <c r="I1795" s="391">
        <v>0.88</v>
      </c>
      <c r="J1795" s="391">
        <v>1.07</v>
      </c>
      <c r="K1795" s="391">
        <v>14275.0</v>
      </c>
      <c r="L1795" s="391">
        <v>1629035.0</v>
      </c>
      <c r="M1795" s="391">
        <v>0.6297</v>
      </c>
      <c r="N1795" s="38">
        <v>31.8638</v>
      </c>
    </row>
    <row r="1796">
      <c r="A1796" s="389" t="s">
        <v>1972</v>
      </c>
      <c r="B1796" s="389" t="s">
        <v>339</v>
      </c>
      <c r="C1796" s="389" t="s">
        <v>360</v>
      </c>
      <c r="D1796" s="389" t="s">
        <v>1968</v>
      </c>
      <c r="E1796" s="390" t="s">
        <v>367</v>
      </c>
      <c r="F1796" s="391">
        <v>22669.0</v>
      </c>
      <c r="G1796" s="391">
        <v>1.0</v>
      </c>
      <c r="H1796" s="391">
        <v>0.0</v>
      </c>
      <c r="I1796" s="391">
        <v>0.0</v>
      </c>
      <c r="J1796" s="391">
        <v>0.0</v>
      </c>
      <c r="K1796" s="391">
        <v>10.0</v>
      </c>
      <c r="L1796" s="391">
        <v>1629035.0</v>
      </c>
      <c r="M1796" s="391">
        <v>4.0E-4</v>
      </c>
      <c r="N1796" s="38">
        <v>10.0</v>
      </c>
    </row>
    <row r="1797">
      <c r="A1797" s="389" t="s">
        <v>1972</v>
      </c>
      <c r="B1797" s="389" t="s">
        <v>339</v>
      </c>
      <c r="C1797" s="389" t="s">
        <v>360</v>
      </c>
      <c r="D1797" s="389" t="s">
        <v>1968</v>
      </c>
      <c r="E1797" s="390" t="s">
        <v>370</v>
      </c>
      <c r="F1797" s="391">
        <v>22669.0</v>
      </c>
      <c r="G1797" s="391">
        <v>2.0</v>
      </c>
      <c r="H1797" s="391">
        <v>0.01</v>
      </c>
      <c r="I1797" s="391">
        <v>0.0</v>
      </c>
      <c r="J1797" s="391">
        <v>0.01</v>
      </c>
      <c r="K1797" s="391">
        <v>45.0</v>
      </c>
      <c r="L1797" s="391">
        <v>1629035.0</v>
      </c>
      <c r="M1797" s="391">
        <v>0.002</v>
      </c>
      <c r="N1797" s="38">
        <v>22.5</v>
      </c>
    </row>
    <row r="1798">
      <c r="A1798" s="389" t="s">
        <v>1972</v>
      </c>
      <c r="B1798" s="389" t="s">
        <v>339</v>
      </c>
      <c r="C1798" s="389" t="s">
        <v>360</v>
      </c>
      <c r="D1798" s="389" t="s">
        <v>1968</v>
      </c>
      <c r="E1798" s="390" t="s">
        <v>37</v>
      </c>
      <c r="F1798" s="391">
        <v>22669.0</v>
      </c>
      <c r="G1798" s="391">
        <v>1.0</v>
      </c>
      <c r="H1798" s="391">
        <v>0.0</v>
      </c>
      <c r="I1798" s="391">
        <v>0.0</v>
      </c>
      <c r="J1798" s="391">
        <v>0.0</v>
      </c>
      <c r="K1798" s="391">
        <v>15.0</v>
      </c>
      <c r="L1798" s="391">
        <v>1629035.0</v>
      </c>
      <c r="M1798" s="391">
        <v>7.0E-4</v>
      </c>
      <c r="N1798" s="38">
        <v>15.0</v>
      </c>
    </row>
    <row r="1799">
      <c r="A1799" s="389" t="s">
        <v>1972</v>
      </c>
      <c r="B1799" s="389" t="s">
        <v>339</v>
      </c>
      <c r="C1799" s="389" t="s">
        <v>360</v>
      </c>
      <c r="D1799" s="389" t="s">
        <v>1968</v>
      </c>
      <c r="E1799" s="390" t="s">
        <v>372</v>
      </c>
      <c r="F1799" s="391">
        <v>22669.0</v>
      </c>
      <c r="G1799" s="391">
        <v>1.0</v>
      </c>
      <c r="H1799" s="391">
        <v>0.0</v>
      </c>
      <c r="I1799" s="391">
        <v>0.0</v>
      </c>
      <c r="J1799" s="391">
        <v>0.0</v>
      </c>
      <c r="K1799" s="391">
        <v>10.0</v>
      </c>
      <c r="L1799" s="391">
        <v>1629035.0</v>
      </c>
      <c r="M1799" s="391">
        <v>4.0E-4</v>
      </c>
      <c r="N1799" s="38">
        <v>10.0</v>
      </c>
    </row>
    <row r="1800">
      <c r="A1800" s="389" t="s">
        <v>1972</v>
      </c>
      <c r="B1800" s="389" t="s">
        <v>339</v>
      </c>
      <c r="C1800" s="389" t="s">
        <v>12</v>
      </c>
      <c r="D1800" s="389" t="s">
        <v>1968</v>
      </c>
      <c r="E1800" s="390" t="s">
        <v>370</v>
      </c>
      <c r="F1800" s="391">
        <v>24780.0</v>
      </c>
      <c r="G1800" s="391">
        <v>24535.0</v>
      </c>
      <c r="H1800" s="391">
        <v>99.01</v>
      </c>
      <c r="I1800" s="391">
        <v>31.32</v>
      </c>
      <c r="J1800" s="391">
        <v>31.5</v>
      </c>
      <c r="K1800" s="391">
        <v>9029340.0</v>
      </c>
      <c r="L1800" s="391">
        <v>2.882951E7</v>
      </c>
      <c r="M1800" s="391">
        <v>364.3801</v>
      </c>
      <c r="N1800" s="38">
        <v>368.0187</v>
      </c>
    </row>
    <row r="1801">
      <c r="A1801" s="389" t="s">
        <v>1972</v>
      </c>
      <c r="B1801" s="389" t="s">
        <v>339</v>
      </c>
      <c r="C1801" s="389" t="s">
        <v>12</v>
      </c>
      <c r="D1801" s="389" t="s">
        <v>1968</v>
      </c>
      <c r="E1801" s="390" t="s">
        <v>371</v>
      </c>
      <c r="F1801" s="391">
        <v>24780.0</v>
      </c>
      <c r="G1801" s="391">
        <v>19253.0</v>
      </c>
      <c r="H1801" s="391">
        <v>77.7</v>
      </c>
      <c r="I1801" s="391">
        <v>17.93</v>
      </c>
      <c r="J1801" s="391">
        <v>18.81</v>
      </c>
      <c r="K1801" s="391">
        <v>5167990.0</v>
      </c>
      <c r="L1801" s="391">
        <v>2.882951E7</v>
      </c>
      <c r="M1801" s="391">
        <v>208.5549</v>
      </c>
      <c r="N1801" s="38">
        <v>268.4252</v>
      </c>
    </row>
    <row r="1802">
      <c r="A1802" s="389" t="s">
        <v>1972</v>
      </c>
      <c r="B1802" s="389" t="s">
        <v>339</v>
      </c>
      <c r="C1802" s="389" t="s">
        <v>12</v>
      </c>
      <c r="D1802" s="389" t="s">
        <v>1968</v>
      </c>
      <c r="E1802" s="390" t="s">
        <v>44</v>
      </c>
      <c r="F1802" s="391">
        <v>24780.0</v>
      </c>
      <c r="G1802" s="391">
        <v>17984.0</v>
      </c>
      <c r="H1802" s="391">
        <v>72.57</v>
      </c>
      <c r="I1802" s="391">
        <v>11.3</v>
      </c>
      <c r="J1802" s="391">
        <v>12.06</v>
      </c>
      <c r="K1802" s="391">
        <v>3259100.0</v>
      </c>
      <c r="L1802" s="391">
        <v>2.882951E7</v>
      </c>
      <c r="M1802" s="391">
        <v>131.5214</v>
      </c>
      <c r="N1802" s="38">
        <v>181.2222</v>
      </c>
    </row>
    <row r="1803">
      <c r="A1803" s="389" t="s">
        <v>1972</v>
      </c>
      <c r="B1803" s="389" t="s">
        <v>339</v>
      </c>
      <c r="C1803" s="389" t="s">
        <v>12</v>
      </c>
      <c r="D1803" s="389" t="s">
        <v>1968</v>
      </c>
      <c r="E1803" s="390" t="s">
        <v>365</v>
      </c>
      <c r="F1803" s="391">
        <v>24780.0</v>
      </c>
      <c r="G1803" s="391">
        <v>17355.0</v>
      </c>
      <c r="H1803" s="391">
        <v>70.04</v>
      </c>
      <c r="I1803" s="391">
        <v>7.8</v>
      </c>
      <c r="J1803" s="391">
        <v>7.66</v>
      </c>
      <c r="K1803" s="391">
        <v>2250000.0</v>
      </c>
      <c r="L1803" s="391">
        <v>2.882951E7</v>
      </c>
      <c r="M1803" s="391">
        <v>90.799</v>
      </c>
      <c r="N1803" s="38">
        <v>129.6456</v>
      </c>
    </row>
    <row r="1804">
      <c r="A1804" s="389" t="s">
        <v>1972</v>
      </c>
      <c r="B1804" s="389" t="s">
        <v>339</v>
      </c>
      <c r="C1804" s="389" t="s">
        <v>12</v>
      </c>
      <c r="D1804" s="389" t="s">
        <v>1968</v>
      </c>
      <c r="E1804" s="390" t="s">
        <v>366</v>
      </c>
      <c r="F1804" s="391">
        <v>24780.0</v>
      </c>
      <c r="G1804" s="391">
        <v>17935.0</v>
      </c>
      <c r="H1804" s="391">
        <v>72.38</v>
      </c>
      <c r="I1804" s="391">
        <v>6.9</v>
      </c>
      <c r="J1804" s="391">
        <v>6.3</v>
      </c>
      <c r="K1804" s="391">
        <v>1989100.0</v>
      </c>
      <c r="L1804" s="391">
        <v>2.882951E7</v>
      </c>
      <c r="M1804" s="391">
        <v>80.2704</v>
      </c>
      <c r="N1804" s="38">
        <v>110.906</v>
      </c>
    </row>
    <row r="1805">
      <c r="A1805" s="389" t="s">
        <v>1972</v>
      </c>
      <c r="B1805" s="389" t="s">
        <v>339</v>
      </c>
      <c r="C1805" s="389" t="s">
        <v>12</v>
      </c>
      <c r="D1805" s="389" t="s">
        <v>1968</v>
      </c>
      <c r="E1805" s="390" t="s">
        <v>39</v>
      </c>
      <c r="F1805" s="391">
        <v>24780.0</v>
      </c>
      <c r="G1805" s="391">
        <v>15878.0</v>
      </c>
      <c r="H1805" s="391">
        <v>64.08</v>
      </c>
      <c r="I1805" s="391">
        <v>6.76</v>
      </c>
      <c r="J1805" s="391">
        <v>8.43</v>
      </c>
      <c r="K1805" s="391">
        <v>1948710.0</v>
      </c>
      <c r="L1805" s="391">
        <v>2.882951E7</v>
      </c>
      <c r="M1805" s="391">
        <v>78.6404</v>
      </c>
      <c r="N1805" s="38">
        <v>122.7302</v>
      </c>
    </row>
    <row r="1806">
      <c r="A1806" s="389" t="s">
        <v>1972</v>
      </c>
      <c r="B1806" s="389" t="s">
        <v>339</v>
      </c>
      <c r="C1806" s="389" t="s">
        <v>12</v>
      </c>
      <c r="D1806" s="389" t="s">
        <v>1968</v>
      </c>
      <c r="E1806" s="390" t="s">
        <v>369</v>
      </c>
      <c r="F1806" s="391">
        <v>24780.0</v>
      </c>
      <c r="G1806" s="391">
        <v>7537.0</v>
      </c>
      <c r="H1806" s="391">
        <v>30.42</v>
      </c>
      <c r="I1806" s="391">
        <v>6.05</v>
      </c>
      <c r="J1806" s="391">
        <v>2.69</v>
      </c>
      <c r="K1806" s="391">
        <v>1744245.0</v>
      </c>
      <c r="L1806" s="391">
        <v>2.882951E7</v>
      </c>
      <c r="M1806" s="391">
        <v>70.3892</v>
      </c>
      <c r="N1806" s="38">
        <v>231.4243</v>
      </c>
    </row>
    <row r="1807">
      <c r="A1807" s="389" t="s">
        <v>1972</v>
      </c>
      <c r="B1807" s="389" t="s">
        <v>339</v>
      </c>
      <c r="C1807" s="389" t="s">
        <v>12</v>
      </c>
      <c r="D1807" s="389" t="s">
        <v>1968</v>
      </c>
      <c r="E1807" s="390" t="s">
        <v>368</v>
      </c>
      <c r="F1807" s="391">
        <v>24780.0</v>
      </c>
      <c r="G1807" s="391">
        <v>11293.0</v>
      </c>
      <c r="H1807" s="391">
        <v>45.57</v>
      </c>
      <c r="I1807" s="391">
        <v>3.84</v>
      </c>
      <c r="J1807" s="391">
        <v>3.99</v>
      </c>
      <c r="K1807" s="391">
        <v>1106760.0</v>
      </c>
      <c r="L1807" s="391">
        <v>2.882951E7</v>
      </c>
      <c r="M1807" s="391">
        <v>44.6634</v>
      </c>
      <c r="N1807" s="38">
        <v>98.0041</v>
      </c>
    </row>
    <row r="1808">
      <c r="A1808" s="389" t="s">
        <v>1972</v>
      </c>
      <c r="B1808" s="389" t="s">
        <v>339</v>
      </c>
      <c r="C1808" s="389" t="s">
        <v>12</v>
      </c>
      <c r="D1808" s="389" t="s">
        <v>1968</v>
      </c>
      <c r="E1808" s="390" t="s">
        <v>367</v>
      </c>
      <c r="F1808" s="391">
        <v>24780.0</v>
      </c>
      <c r="G1808" s="391">
        <v>9264.0</v>
      </c>
      <c r="H1808" s="391">
        <v>37.38</v>
      </c>
      <c r="I1808" s="391">
        <v>2.21</v>
      </c>
      <c r="J1808" s="391">
        <v>2.46</v>
      </c>
      <c r="K1808" s="391">
        <v>636460.0</v>
      </c>
      <c r="L1808" s="391">
        <v>2.882951E7</v>
      </c>
      <c r="M1808" s="391">
        <v>25.6844</v>
      </c>
      <c r="N1808" s="38">
        <v>68.7025</v>
      </c>
    </row>
    <row r="1809">
      <c r="A1809" s="389" t="s">
        <v>1972</v>
      </c>
      <c r="B1809" s="389" t="s">
        <v>339</v>
      </c>
      <c r="C1809" s="389" t="s">
        <v>12</v>
      </c>
      <c r="D1809" s="389" t="s">
        <v>1968</v>
      </c>
      <c r="E1809" s="390" t="s">
        <v>30</v>
      </c>
      <c r="F1809" s="391">
        <v>24780.0</v>
      </c>
      <c r="G1809" s="391">
        <v>5406.0</v>
      </c>
      <c r="H1809" s="391">
        <v>21.82</v>
      </c>
      <c r="I1809" s="391">
        <v>2.01</v>
      </c>
      <c r="J1809" s="391">
        <v>1.71</v>
      </c>
      <c r="K1809" s="391">
        <v>578190.0</v>
      </c>
      <c r="L1809" s="391">
        <v>2.882951E7</v>
      </c>
      <c r="M1809" s="391">
        <v>23.3329</v>
      </c>
      <c r="N1809" s="38">
        <v>106.9534</v>
      </c>
    </row>
    <row r="1810">
      <c r="A1810" s="389" t="s">
        <v>1972</v>
      </c>
      <c r="B1810" s="389" t="s">
        <v>339</v>
      </c>
      <c r="C1810" s="389" t="s">
        <v>12</v>
      </c>
      <c r="D1810" s="389" t="s">
        <v>1968</v>
      </c>
      <c r="E1810" s="390" t="s">
        <v>38</v>
      </c>
      <c r="F1810" s="391">
        <v>24780.0</v>
      </c>
      <c r="G1810" s="391">
        <v>10936.0</v>
      </c>
      <c r="H1810" s="391">
        <v>44.13</v>
      </c>
      <c r="I1810" s="391">
        <v>1.47</v>
      </c>
      <c r="J1810" s="391">
        <v>2.06</v>
      </c>
      <c r="K1810" s="391">
        <v>422735.0</v>
      </c>
      <c r="L1810" s="391">
        <v>2.882951E7</v>
      </c>
      <c r="M1810" s="391">
        <v>17.0595</v>
      </c>
      <c r="N1810" s="38">
        <v>38.6554</v>
      </c>
    </row>
    <row r="1811">
      <c r="A1811" s="389" t="s">
        <v>1972</v>
      </c>
      <c r="B1811" s="389" t="s">
        <v>339</v>
      </c>
      <c r="C1811" s="389" t="s">
        <v>12</v>
      </c>
      <c r="D1811" s="389" t="s">
        <v>1968</v>
      </c>
      <c r="E1811" s="390" t="s">
        <v>163</v>
      </c>
      <c r="F1811" s="391">
        <v>24780.0</v>
      </c>
      <c r="G1811" s="391">
        <v>4945.0</v>
      </c>
      <c r="H1811" s="391">
        <v>19.96</v>
      </c>
      <c r="I1811" s="391">
        <v>1.24</v>
      </c>
      <c r="J1811" s="391">
        <v>1.27</v>
      </c>
      <c r="K1811" s="391">
        <v>356775.0</v>
      </c>
      <c r="L1811" s="391">
        <v>2.882951E7</v>
      </c>
      <c r="M1811" s="391">
        <v>14.3977</v>
      </c>
      <c r="N1811" s="38">
        <v>72.1486</v>
      </c>
    </row>
    <row r="1812">
      <c r="A1812" s="389" t="s">
        <v>1972</v>
      </c>
      <c r="B1812" s="389" t="s">
        <v>339</v>
      </c>
      <c r="C1812" s="389" t="s">
        <v>12</v>
      </c>
      <c r="D1812" s="389" t="s">
        <v>1968</v>
      </c>
      <c r="E1812" s="390" t="s">
        <v>363</v>
      </c>
      <c r="F1812" s="391">
        <v>24780.0</v>
      </c>
      <c r="G1812" s="391">
        <v>6112.0</v>
      </c>
      <c r="H1812" s="391">
        <v>24.67</v>
      </c>
      <c r="I1812" s="391">
        <v>0.73</v>
      </c>
      <c r="J1812" s="391">
        <v>0.62</v>
      </c>
      <c r="K1812" s="391">
        <v>209330.0</v>
      </c>
      <c r="L1812" s="391">
        <v>2.882951E7</v>
      </c>
      <c r="M1812" s="391">
        <v>8.4475</v>
      </c>
      <c r="N1812" s="38">
        <v>34.249</v>
      </c>
    </row>
    <row r="1813">
      <c r="A1813" s="389" t="s">
        <v>1972</v>
      </c>
      <c r="B1813" s="389" t="s">
        <v>339</v>
      </c>
      <c r="C1813" s="389" t="s">
        <v>12</v>
      </c>
      <c r="D1813" s="389" t="s">
        <v>1968</v>
      </c>
      <c r="E1813" s="390" t="s">
        <v>27</v>
      </c>
      <c r="F1813" s="391">
        <v>24780.0</v>
      </c>
      <c r="G1813" s="391">
        <v>1718.0</v>
      </c>
      <c r="H1813" s="391">
        <v>6.93</v>
      </c>
      <c r="I1813" s="391">
        <v>0.21</v>
      </c>
      <c r="J1813" s="391">
        <v>0.18</v>
      </c>
      <c r="K1813" s="391">
        <v>59880.0</v>
      </c>
      <c r="L1813" s="391">
        <v>2.882951E7</v>
      </c>
      <c r="M1813" s="391">
        <v>2.4165</v>
      </c>
      <c r="N1813" s="38">
        <v>34.8545</v>
      </c>
    </row>
    <row r="1814">
      <c r="A1814" s="389" t="s">
        <v>1972</v>
      </c>
      <c r="B1814" s="389" t="s">
        <v>339</v>
      </c>
      <c r="C1814" s="389" t="s">
        <v>12</v>
      </c>
      <c r="D1814" s="389" t="s">
        <v>1968</v>
      </c>
      <c r="E1814" s="390" t="s">
        <v>108</v>
      </c>
      <c r="F1814" s="391">
        <v>24780.0</v>
      </c>
      <c r="G1814" s="391">
        <v>1745.0</v>
      </c>
      <c r="H1814" s="391">
        <v>7.04</v>
      </c>
      <c r="I1814" s="391">
        <v>0.21</v>
      </c>
      <c r="J1814" s="391">
        <v>0.18</v>
      </c>
      <c r="K1814" s="391">
        <v>61645.0</v>
      </c>
      <c r="L1814" s="391">
        <v>2.882951E7</v>
      </c>
      <c r="M1814" s="391">
        <v>2.4877</v>
      </c>
      <c r="N1814" s="38">
        <v>35.3266</v>
      </c>
    </row>
    <row r="1815">
      <c r="A1815" s="389" t="s">
        <v>1972</v>
      </c>
      <c r="B1815" s="389" t="s">
        <v>339</v>
      </c>
      <c r="C1815" s="389" t="s">
        <v>12</v>
      </c>
      <c r="D1815" s="389" t="s">
        <v>1968</v>
      </c>
      <c r="E1815" s="390" t="s">
        <v>45</v>
      </c>
      <c r="F1815" s="391">
        <v>24780.0</v>
      </c>
      <c r="G1815" s="391">
        <v>179.0</v>
      </c>
      <c r="H1815" s="391">
        <v>0.72</v>
      </c>
      <c r="I1815" s="391">
        <v>0.03</v>
      </c>
      <c r="J1815" s="391">
        <v>0.07</v>
      </c>
      <c r="K1815" s="391">
        <v>9250.0</v>
      </c>
      <c r="L1815" s="391">
        <v>2.882951E7</v>
      </c>
      <c r="M1815" s="391">
        <v>0.3733</v>
      </c>
      <c r="N1815" s="38">
        <v>51.676</v>
      </c>
    </row>
    <row r="1816">
      <c r="A1816" s="389" t="s">
        <v>1973</v>
      </c>
      <c r="B1816" s="389" t="s">
        <v>137</v>
      </c>
      <c r="C1816" s="389" t="s">
        <v>8</v>
      </c>
      <c r="D1816" s="389" t="s">
        <v>591</v>
      </c>
      <c r="E1816" s="390" t="s">
        <v>370</v>
      </c>
      <c r="F1816" s="391">
        <v>7186.0</v>
      </c>
      <c r="G1816" s="391">
        <v>7115.0</v>
      </c>
      <c r="H1816" s="391">
        <v>99.01</v>
      </c>
      <c r="I1816" s="391">
        <v>40.73</v>
      </c>
      <c r="J1816" s="391">
        <v>39.56</v>
      </c>
      <c r="K1816" s="391">
        <v>34595.0</v>
      </c>
      <c r="L1816" s="391">
        <v>84937.0</v>
      </c>
      <c r="M1816" s="391">
        <v>4.8142</v>
      </c>
      <c r="N1816" s="38">
        <v>4.8623</v>
      </c>
    </row>
    <row r="1817">
      <c r="A1817" s="389" t="s">
        <v>1973</v>
      </c>
      <c r="B1817" s="389" t="s">
        <v>137</v>
      </c>
      <c r="C1817" s="389" t="s">
        <v>8</v>
      </c>
      <c r="D1817" s="389" t="s">
        <v>591</v>
      </c>
      <c r="E1817" s="390" t="s">
        <v>365</v>
      </c>
      <c r="F1817" s="391">
        <v>7186.0</v>
      </c>
      <c r="G1817" s="391">
        <v>5375.0</v>
      </c>
      <c r="H1817" s="391">
        <v>74.8</v>
      </c>
      <c r="I1817" s="391">
        <v>14.15</v>
      </c>
      <c r="J1817" s="391">
        <v>16.82</v>
      </c>
      <c r="K1817" s="391">
        <v>12019.0</v>
      </c>
      <c r="L1817" s="391">
        <v>84937.0</v>
      </c>
      <c r="M1817" s="391">
        <v>1.6726</v>
      </c>
      <c r="N1817" s="38">
        <v>2.2361</v>
      </c>
    </row>
    <row r="1818">
      <c r="A1818" s="389" t="s">
        <v>1973</v>
      </c>
      <c r="B1818" s="389" t="s">
        <v>137</v>
      </c>
      <c r="C1818" s="389" t="s">
        <v>8</v>
      </c>
      <c r="D1818" s="389" t="s">
        <v>591</v>
      </c>
      <c r="E1818" s="390" t="s">
        <v>369</v>
      </c>
      <c r="F1818" s="391">
        <v>7186.0</v>
      </c>
      <c r="G1818" s="391">
        <v>4592.0</v>
      </c>
      <c r="H1818" s="391">
        <v>63.9</v>
      </c>
      <c r="I1818" s="391">
        <v>10.37</v>
      </c>
      <c r="J1818" s="391">
        <v>10.46</v>
      </c>
      <c r="K1818" s="391">
        <v>8805.0</v>
      </c>
      <c r="L1818" s="391">
        <v>84937.0</v>
      </c>
      <c r="M1818" s="391">
        <v>1.2253</v>
      </c>
      <c r="N1818" s="38">
        <v>1.9175</v>
      </c>
    </row>
    <row r="1819">
      <c r="A1819" s="389" t="s">
        <v>1973</v>
      </c>
      <c r="B1819" s="389" t="s">
        <v>137</v>
      </c>
      <c r="C1819" s="389" t="s">
        <v>8</v>
      </c>
      <c r="D1819" s="389" t="s">
        <v>591</v>
      </c>
      <c r="E1819" s="390" t="s">
        <v>371</v>
      </c>
      <c r="F1819" s="391">
        <v>7186.0</v>
      </c>
      <c r="G1819" s="391">
        <v>4514.0</v>
      </c>
      <c r="H1819" s="391">
        <v>62.82</v>
      </c>
      <c r="I1819" s="391">
        <v>9.31</v>
      </c>
      <c r="J1819" s="391">
        <v>12.0</v>
      </c>
      <c r="K1819" s="391">
        <v>7908.0</v>
      </c>
      <c r="L1819" s="391">
        <v>84937.0</v>
      </c>
      <c r="M1819" s="391">
        <v>1.1005</v>
      </c>
      <c r="N1819" s="38">
        <v>1.7519</v>
      </c>
    </row>
    <row r="1820">
      <c r="A1820" s="389" t="s">
        <v>1973</v>
      </c>
      <c r="B1820" s="389" t="s">
        <v>137</v>
      </c>
      <c r="C1820" s="389" t="s">
        <v>8</v>
      </c>
      <c r="D1820" s="389" t="s">
        <v>591</v>
      </c>
      <c r="E1820" s="390" t="s">
        <v>44</v>
      </c>
      <c r="F1820" s="391">
        <v>7186.0</v>
      </c>
      <c r="G1820" s="391">
        <v>3012.0</v>
      </c>
      <c r="H1820" s="391">
        <v>41.91</v>
      </c>
      <c r="I1820" s="391">
        <v>8.11</v>
      </c>
      <c r="J1820" s="391">
        <v>6.39</v>
      </c>
      <c r="K1820" s="391">
        <v>6885.0</v>
      </c>
      <c r="L1820" s="391">
        <v>84937.0</v>
      </c>
      <c r="M1820" s="391">
        <v>0.9581</v>
      </c>
      <c r="N1820" s="38">
        <v>2.2859</v>
      </c>
    </row>
    <row r="1821">
      <c r="A1821" s="389" t="s">
        <v>1973</v>
      </c>
      <c r="B1821" s="389" t="s">
        <v>137</v>
      </c>
      <c r="C1821" s="389" t="s">
        <v>8</v>
      </c>
      <c r="D1821" s="389" t="s">
        <v>591</v>
      </c>
      <c r="E1821" s="390" t="s">
        <v>39</v>
      </c>
      <c r="F1821" s="391">
        <v>7186.0</v>
      </c>
      <c r="G1821" s="391">
        <v>3732.0</v>
      </c>
      <c r="H1821" s="391">
        <v>51.93</v>
      </c>
      <c r="I1821" s="391">
        <v>6.06</v>
      </c>
      <c r="J1821" s="391">
        <v>6.29</v>
      </c>
      <c r="K1821" s="391">
        <v>5147.0</v>
      </c>
      <c r="L1821" s="391">
        <v>84937.0</v>
      </c>
      <c r="M1821" s="391">
        <v>0.7163</v>
      </c>
      <c r="N1821" s="38">
        <v>1.3792</v>
      </c>
    </row>
    <row r="1822">
      <c r="A1822" s="389" t="s">
        <v>1973</v>
      </c>
      <c r="B1822" s="389" t="s">
        <v>137</v>
      </c>
      <c r="C1822" s="389" t="s">
        <v>8</v>
      </c>
      <c r="D1822" s="389" t="s">
        <v>591</v>
      </c>
      <c r="E1822" s="390" t="s">
        <v>108</v>
      </c>
      <c r="F1822" s="391">
        <v>7186.0</v>
      </c>
      <c r="G1822" s="391">
        <v>1178.0</v>
      </c>
      <c r="H1822" s="391">
        <v>16.39</v>
      </c>
      <c r="I1822" s="391">
        <v>3.88</v>
      </c>
      <c r="J1822" s="391">
        <v>2.2</v>
      </c>
      <c r="K1822" s="391">
        <v>3298.0</v>
      </c>
      <c r="L1822" s="391">
        <v>84937.0</v>
      </c>
      <c r="M1822" s="391">
        <v>0.4589</v>
      </c>
      <c r="N1822" s="38">
        <v>2.7997</v>
      </c>
    </row>
    <row r="1823">
      <c r="A1823" s="389" t="s">
        <v>1973</v>
      </c>
      <c r="B1823" s="389" t="s">
        <v>137</v>
      </c>
      <c r="C1823" s="389" t="s">
        <v>8</v>
      </c>
      <c r="D1823" s="389" t="s">
        <v>591</v>
      </c>
      <c r="E1823" s="390" t="s">
        <v>368</v>
      </c>
      <c r="F1823" s="391">
        <v>7186.0</v>
      </c>
      <c r="G1823" s="391">
        <v>1911.0</v>
      </c>
      <c r="H1823" s="391">
        <v>26.59</v>
      </c>
      <c r="I1823" s="391">
        <v>2.58</v>
      </c>
      <c r="J1823" s="391">
        <v>2.53</v>
      </c>
      <c r="K1823" s="391">
        <v>2192.0</v>
      </c>
      <c r="L1823" s="391">
        <v>84937.0</v>
      </c>
      <c r="M1823" s="391">
        <v>0.305</v>
      </c>
      <c r="N1823" s="38">
        <v>1.147</v>
      </c>
    </row>
    <row r="1824">
      <c r="A1824" s="389" t="s">
        <v>1973</v>
      </c>
      <c r="B1824" s="389" t="s">
        <v>137</v>
      </c>
      <c r="C1824" s="389" t="s">
        <v>8</v>
      </c>
      <c r="D1824" s="389" t="s">
        <v>591</v>
      </c>
      <c r="E1824" s="390" t="s">
        <v>37</v>
      </c>
      <c r="F1824" s="391">
        <v>7186.0</v>
      </c>
      <c r="G1824" s="391">
        <v>1214.0</v>
      </c>
      <c r="H1824" s="391">
        <v>16.89</v>
      </c>
      <c r="I1824" s="391">
        <v>1.99</v>
      </c>
      <c r="J1824" s="391">
        <v>1.48</v>
      </c>
      <c r="K1824" s="391">
        <v>1689.0</v>
      </c>
      <c r="L1824" s="391">
        <v>84937.0</v>
      </c>
      <c r="M1824" s="391">
        <v>0.235</v>
      </c>
      <c r="N1824" s="38">
        <v>1.3913</v>
      </c>
    </row>
    <row r="1825">
      <c r="A1825" s="389" t="s">
        <v>1973</v>
      </c>
      <c r="B1825" s="389" t="s">
        <v>137</v>
      </c>
      <c r="C1825" s="389" t="s">
        <v>8</v>
      </c>
      <c r="D1825" s="389" t="s">
        <v>591</v>
      </c>
      <c r="E1825" s="390" t="s">
        <v>45</v>
      </c>
      <c r="F1825" s="391">
        <v>7186.0</v>
      </c>
      <c r="G1825" s="391">
        <v>782.0</v>
      </c>
      <c r="H1825" s="391">
        <v>10.88</v>
      </c>
      <c r="I1825" s="391">
        <v>1.13</v>
      </c>
      <c r="J1825" s="391">
        <v>1.0</v>
      </c>
      <c r="K1825" s="391">
        <v>956.0</v>
      </c>
      <c r="L1825" s="391">
        <v>84937.0</v>
      </c>
      <c r="M1825" s="391">
        <v>0.133</v>
      </c>
      <c r="N1825" s="38">
        <v>1.2225</v>
      </c>
    </row>
    <row r="1826">
      <c r="A1826" s="389" t="s">
        <v>1973</v>
      </c>
      <c r="B1826" s="389" t="s">
        <v>137</v>
      </c>
      <c r="C1826" s="389" t="s">
        <v>8</v>
      </c>
      <c r="D1826" s="389" t="s">
        <v>591</v>
      </c>
      <c r="E1826" s="390" t="s">
        <v>30</v>
      </c>
      <c r="F1826" s="391">
        <v>7186.0</v>
      </c>
      <c r="G1826" s="391">
        <v>713.0</v>
      </c>
      <c r="H1826" s="391">
        <v>9.92</v>
      </c>
      <c r="I1826" s="391">
        <v>0.84</v>
      </c>
      <c r="J1826" s="391">
        <v>0.66</v>
      </c>
      <c r="K1826" s="391">
        <v>717.0</v>
      </c>
      <c r="L1826" s="391">
        <v>84937.0</v>
      </c>
      <c r="M1826" s="391">
        <v>0.0998</v>
      </c>
      <c r="N1826" s="38">
        <v>1.0056</v>
      </c>
    </row>
    <row r="1827">
      <c r="A1827" s="389" t="s">
        <v>1973</v>
      </c>
      <c r="B1827" s="389" t="s">
        <v>137</v>
      </c>
      <c r="C1827" s="389" t="s">
        <v>8</v>
      </c>
      <c r="D1827" s="389" t="s">
        <v>591</v>
      </c>
      <c r="E1827" s="390" t="s">
        <v>163</v>
      </c>
      <c r="F1827" s="391">
        <v>7186.0</v>
      </c>
      <c r="G1827" s="391">
        <v>650.0</v>
      </c>
      <c r="H1827" s="391">
        <v>9.05</v>
      </c>
      <c r="I1827" s="391">
        <v>0.78</v>
      </c>
      <c r="J1827" s="391">
        <v>0.53</v>
      </c>
      <c r="K1827" s="391">
        <v>661.0</v>
      </c>
      <c r="L1827" s="391">
        <v>84937.0</v>
      </c>
      <c r="M1827" s="391">
        <v>0.092</v>
      </c>
      <c r="N1827" s="38">
        <v>1.0169</v>
      </c>
    </row>
    <row r="1828">
      <c r="A1828" s="389" t="s">
        <v>1973</v>
      </c>
      <c r="B1828" s="389" t="s">
        <v>137</v>
      </c>
      <c r="C1828" s="389" t="s">
        <v>8</v>
      </c>
      <c r="D1828" s="389" t="s">
        <v>591</v>
      </c>
      <c r="E1828" s="390" t="s">
        <v>38</v>
      </c>
      <c r="F1828" s="391">
        <v>7186.0</v>
      </c>
      <c r="G1828" s="391">
        <v>40.0</v>
      </c>
      <c r="H1828" s="391">
        <v>0.56</v>
      </c>
      <c r="I1828" s="391">
        <v>0.05</v>
      </c>
      <c r="J1828" s="391">
        <v>0.06</v>
      </c>
      <c r="K1828" s="391">
        <v>41.0</v>
      </c>
      <c r="L1828" s="391">
        <v>84937.0</v>
      </c>
      <c r="M1828" s="391">
        <v>0.0057</v>
      </c>
      <c r="N1828" s="38">
        <v>1.025</v>
      </c>
    </row>
    <row r="1829">
      <c r="A1829" s="389" t="s">
        <v>1973</v>
      </c>
      <c r="B1829" s="389" t="s">
        <v>137</v>
      </c>
      <c r="C1829" s="389" t="s">
        <v>8</v>
      </c>
      <c r="D1829" s="389" t="s">
        <v>591</v>
      </c>
      <c r="E1829" s="390" t="s">
        <v>363</v>
      </c>
      <c r="F1829" s="391">
        <v>7186.0</v>
      </c>
      <c r="G1829" s="391">
        <v>11.0</v>
      </c>
      <c r="H1829" s="391">
        <v>0.15</v>
      </c>
      <c r="I1829" s="391">
        <v>0.01</v>
      </c>
      <c r="J1829" s="391">
        <v>0.01</v>
      </c>
      <c r="K1829" s="391">
        <v>11.0</v>
      </c>
      <c r="L1829" s="391">
        <v>84937.0</v>
      </c>
      <c r="M1829" s="391">
        <v>0.0015</v>
      </c>
      <c r="N1829" s="38">
        <v>1.0</v>
      </c>
    </row>
    <row r="1830">
      <c r="A1830" s="389" t="s">
        <v>1973</v>
      </c>
      <c r="B1830" s="389" t="s">
        <v>137</v>
      </c>
      <c r="C1830" s="389" t="s">
        <v>8</v>
      </c>
      <c r="D1830" s="389" t="s">
        <v>591</v>
      </c>
      <c r="E1830" s="390" t="s">
        <v>27</v>
      </c>
      <c r="F1830" s="391">
        <v>7186.0</v>
      </c>
      <c r="G1830" s="391">
        <v>4.0</v>
      </c>
      <c r="H1830" s="391">
        <v>0.06</v>
      </c>
      <c r="I1830" s="391">
        <v>0.01</v>
      </c>
      <c r="J1830" s="391">
        <v>0.01</v>
      </c>
      <c r="K1830" s="391">
        <v>7.0</v>
      </c>
      <c r="L1830" s="391">
        <v>84937.0</v>
      </c>
      <c r="M1830" s="391">
        <v>0.001</v>
      </c>
      <c r="N1830" s="38">
        <v>1.75</v>
      </c>
    </row>
    <row r="1831">
      <c r="A1831" s="389" t="s">
        <v>1973</v>
      </c>
      <c r="B1831" s="389" t="s">
        <v>137</v>
      </c>
      <c r="C1831" s="389" t="s">
        <v>8</v>
      </c>
      <c r="D1831" s="389" t="s">
        <v>591</v>
      </c>
      <c r="E1831" s="390" t="s">
        <v>372</v>
      </c>
      <c r="F1831" s="391">
        <v>7186.0</v>
      </c>
      <c r="G1831" s="391">
        <v>1.0</v>
      </c>
      <c r="H1831" s="391">
        <v>0.01</v>
      </c>
      <c r="I1831" s="391">
        <v>0.0</v>
      </c>
      <c r="J1831" s="391">
        <v>0.01</v>
      </c>
      <c r="K1831" s="391">
        <v>4.0</v>
      </c>
      <c r="L1831" s="391">
        <v>84937.0</v>
      </c>
      <c r="M1831" s="391">
        <v>6.0E-4</v>
      </c>
      <c r="N1831" s="38">
        <v>4.0</v>
      </c>
    </row>
    <row r="1832">
      <c r="A1832" s="389" t="s">
        <v>1973</v>
      </c>
      <c r="B1832" s="389" t="s">
        <v>137</v>
      </c>
      <c r="C1832" s="389" t="s">
        <v>8</v>
      </c>
      <c r="D1832" s="389" t="s">
        <v>591</v>
      </c>
      <c r="E1832" s="390" t="s">
        <v>367</v>
      </c>
      <c r="F1832" s="391">
        <v>7186.0</v>
      </c>
      <c r="G1832" s="391">
        <v>1.0</v>
      </c>
      <c r="H1832" s="391">
        <v>0.01</v>
      </c>
      <c r="I1832" s="391">
        <v>0.0</v>
      </c>
      <c r="J1832" s="391">
        <v>0.0</v>
      </c>
      <c r="K1832" s="391">
        <v>2.0</v>
      </c>
      <c r="L1832" s="391">
        <v>84937.0</v>
      </c>
      <c r="M1832" s="391">
        <v>3.0E-4</v>
      </c>
      <c r="N1832" s="38">
        <v>2.0</v>
      </c>
    </row>
    <row r="1833">
      <c r="A1833" s="389" t="s">
        <v>1973</v>
      </c>
      <c r="B1833" s="389" t="s">
        <v>137</v>
      </c>
      <c r="C1833" s="389" t="s">
        <v>7</v>
      </c>
      <c r="D1833" s="389" t="s">
        <v>591</v>
      </c>
      <c r="E1833" s="390" t="s">
        <v>370</v>
      </c>
      <c r="F1833" s="391">
        <v>7202.0</v>
      </c>
      <c r="G1833" s="391">
        <v>7180.0</v>
      </c>
      <c r="H1833" s="391">
        <v>99.69</v>
      </c>
      <c r="I1833" s="391">
        <v>66.3</v>
      </c>
      <c r="J1833" s="391">
        <v>61.42</v>
      </c>
      <c r="K1833" s="391">
        <v>138368.0</v>
      </c>
      <c r="L1833" s="391">
        <v>208698.0</v>
      </c>
      <c r="M1833" s="391">
        <v>19.2124</v>
      </c>
      <c r="N1833" s="38">
        <v>19.2713</v>
      </c>
    </row>
    <row r="1834">
      <c r="A1834" s="389" t="s">
        <v>1973</v>
      </c>
      <c r="B1834" s="389" t="s">
        <v>137</v>
      </c>
      <c r="C1834" s="389" t="s">
        <v>7</v>
      </c>
      <c r="D1834" s="389" t="s">
        <v>591</v>
      </c>
      <c r="E1834" s="390" t="s">
        <v>371</v>
      </c>
      <c r="F1834" s="391">
        <v>7202.0</v>
      </c>
      <c r="G1834" s="391">
        <v>5307.0</v>
      </c>
      <c r="H1834" s="391">
        <v>73.69</v>
      </c>
      <c r="I1834" s="391">
        <v>10.21</v>
      </c>
      <c r="J1834" s="391">
        <v>14.81</v>
      </c>
      <c r="K1834" s="391">
        <v>21306.0</v>
      </c>
      <c r="L1834" s="391">
        <v>208698.0</v>
      </c>
      <c r="M1834" s="391">
        <v>2.9583</v>
      </c>
      <c r="N1834" s="38">
        <v>4.0147</v>
      </c>
    </row>
    <row r="1835">
      <c r="A1835" s="389" t="s">
        <v>1973</v>
      </c>
      <c r="B1835" s="389" t="s">
        <v>137</v>
      </c>
      <c r="C1835" s="389" t="s">
        <v>7</v>
      </c>
      <c r="D1835" s="389" t="s">
        <v>591</v>
      </c>
      <c r="E1835" s="390" t="s">
        <v>365</v>
      </c>
      <c r="F1835" s="391">
        <v>7202.0</v>
      </c>
      <c r="G1835" s="391">
        <v>5055.0</v>
      </c>
      <c r="H1835" s="391">
        <v>70.19</v>
      </c>
      <c r="I1835" s="391">
        <v>7.53</v>
      </c>
      <c r="J1835" s="391">
        <v>8.63</v>
      </c>
      <c r="K1835" s="391">
        <v>15724.0</v>
      </c>
      <c r="L1835" s="391">
        <v>208698.0</v>
      </c>
      <c r="M1835" s="391">
        <v>2.1833</v>
      </c>
      <c r="N1835" s="38">
        <v>3.1106</v>
      </c>
    </row>
    <row r="1836">
      <c r="A1836" s="389" t="s">
        <v>1973</v>
      </c>
      <c r="B1836" s="389" t="s">
        <v>137</v>
      </c>
      <c r="C1836" s="389" t="s">
        <v>7</v>
      </c>
      <c r="D1836" s="389" t="s">
        <v>591</v>
      </c>
      <c r="E1836" s="390" t="s">
        <v>369</v>
      </c>
      <c r="F1836" s="391">
        <v>7202.0</v>
      </c>
      <c r="G1836" s="391">
        <v>4581.0</v>
      </c>
      <c r="H1836" s="391">
        <v>63.61</v>
      </c>
      <c r="I1836" s="391">
        <v>4.09</v>
      </c>
      <c r="J1836" s="391">
        <v>4.28</v>
      </c>
      <c r="K1836" s="391">
        <v>8541.0</v>
      </c>
      <c r="L1836" s="391">
        <v>208698.0</v>
      </c>
      <c r="M1836" s="391">
        <v>1.1859</v>
      </c>
      <c r="N1836" s="38">
        <v>1.8644</v>
      </c>
    </row>
    <row r="1837">
      <c r="A1837" s="389" t="s">
        <v>1973</v>
      </c>
      <c r="B1837" s="389" t="s">
        <v>137</v>
      </c>
      <c r="C1837" s="389" t="s">
        <v>7</v>
      </c>
      <c r="D1837" s="389" t="s">
        <v>591</v>
      </c>
      <c r="E1837" s="390" t="s">
        <v>44</v>
      </c>
      <c r="F1837" s="391">
        <v>7202.0</v>
      </c>
      <c r="G1837" s="391">
        <v>3012.0</v>
      </c>
      <c r="H1837" s="391">
        <v>41.82</v>
      </c>
      <c r="I1837" s="391">
        <v>3.3</v>
      </c>
      <c r="J1837" s="391">
        <v>2.76</v>
      </c>
      <c r="K1837" s="391">
        <v>6885.0</v>
      </c>
      <c r="L1837" s="391">
        <v>208698.0</v>
      </c>
      <c r="M1837" s="391">
        <v>0.956</v>
      </c>
      <c r="N1837" s="38">
        <v>2.2859</v>
      </c>
    </row>
    <row r="1838">
      <c r="A1838" s="389" t="s">
        <v>1973</v>
      </c>
      <c r="B1838" s="389" t="s">
        <v>137</v>
      </c>
      <c r="C1838" s="389" t="s">
        <v>7</v>
      </c>
      <c r="D1838" s="389" t="s">
        <v>591</v>
      </c>
      <c r="E1838" s="390" t="s">
        <v>367</v>
      </c>
      <c r="F1838" s="391">
        <v>7202.0</v>
      </c>
      <c r="G1838" s="391">
        <v>1416.0</v>
      </c>
      <c r="H1838" s="391">
        <v>19.66</v>
      </c>
      <c r="I1838" s="391">
        <v>2.58</v>
      </c>
      <c r="J1838" s="391">
        <v>1.77</v>
      </c>
      <c r="K1838" s="391">
        <v>5392.0</v>
      </c>
      <c r="L1838" s="391">
        <v>208698.0</v>
      </c>
      <c r="M1838" s="391">
        <v>0.7487</v>
      </c>
      <c r="N1838" s="38">
        <v>3.8079</v>
      </c>
    </row>
    <row r="1839">
      <c r="A1839" s="389" t="s">
        <v>1973</v>
      </c>
      <c r="B1839" s="389" t="s">
        <v>137</v>
      </c>
      <c r="C1839" s="389" t="s">
        <v>7</v>
      </c>
      <c r="D1839" s="389" t="s">
        <v>591</v>
      </c>
      <c r="E1839" s="390" t="s">
        <v>39</v>
      </c>
      <c r="F1839" s="391">
        <v>7202.0</v>
      </c>
      <c r="G1839" s="391">
        <v>3791.0</v>
      </c>
      <c r="H1839" s="391">
        <v>52.64</v>
      </c>
      <c r="I1839" s="391">
        <v>2.5</v>
      </c>
      <c r="J1839" s="391">
        <v>2.77</v>
      </c>
      <c r="K1839" s="391">
        <v>5213.0</v>
      </c>
      <c r="L1839" s="391">
        <v>208698.0</v>
      </c>
      <c r="M1839" s="391">
        <v>0.7238</v>
      </c>
      <c r="N1839" s="38">
        <v>1.3751</v>
      </c>
    </row>
    <row r="1840">
      <c r="A1840" s="389" t="s">
        <v>1973</v>
      </c>
      <c r="B1840" s="389" t="s">
        <v>137</v>
      </c>
      <c r="C1840" s="389" t="s">
        <v>7</v>
      </c>
      <c r="D1840" s="389" t="s">
        <v>591</v>
      </c>
      <c r="E1840" s="390" t="s">
        <v>368</v>
      </c>
      <c r="F1840" s="391">
        <v>7202.0</v>
      </c>
      <c r="G1840" s="391">
        <v>2261.0</v>
      </c>
      <c r="H1840" s="391">
        <v>31.39</v>
      </c>
      <c r="I1840" s="391">
        <v>1.25</v>
      </c>
      <c r="J1840" s="391">
        <v>1.49</v>
      </c>
      <c r="K1840" s="391">
        <v>2601.0</v>
      </c>
      <c r="L1840" s="391">
        <v>208698.0</v>
      </c>
      <c r="M1840" s="391">
        <v>0.3611</v>
      </c>
      <c r="N1840" s="38">
        <v>1.1504</v>
      </c>
    </row>
    <row r="1841">
      <c r="A1841" s="389" t="s">
        <v>1973</v>
      </c>
      <c r="B1841" s="389" t="s">
        <v>137</v>
      </c>
      <c r="C1841" s="389" t="s">
        <v>7</v>
      </c>
      <c r="D1841" s="389" t="s">
        <v>591</v>
      </c>
      <c r="E1841" s="390" t="s">
        <v>108</v>
      </c>
      <c r="F1841" s="391">
        <v>7202.0</v>
      </c>
      <c r="G1841" s="391">
        <v>896.0</v>
      </c>
      <c r="H1841" s="391">
        <v>12.44</v>
      </c>
      <c r="I1841" s="391">
        <v>0.87</v>
      </c>
      <c r="J1841" s="391">
        <v>0.58</v>
      </c>
      <c r="K1841" s="391">
        <v>1810.0</v>
      </c>
      <c r="L1841" s="391">
        <v>208698.0</v>
      </c>
      <c r="M1841" s="391">
        <v>0.2513</v>
      </c>
      <c r="N1841" s="38">
        <v>2.0201</v>
      </c>
    </row>
    <row r="1842">
      <c r="A1842" s="389" t="s">
        <v>1973</v>
      </c>
      <c r="B1842" s="389" t="s">
        <v>137</v>
      </c>
      <c r="C1842" s="389" t="s">
        <v>7</v>
      </c>
      <c r="D1842" s="389" t="s">
        <v>591</v>
      </c>
      <c r="E1842" s="390" t="s">
        <v>163</v>
      </c>
      <c r="F1842" s="391">
        <v>7202.0</v>
      </c>
      <c r="G1842" s="391">
        <v>1062.0</v>
      </c>
      <c r="H1842" s="391">
        <v>14.75</v>
      </c>
      <c r="I1842" s="391">
        <v>0.52</v>
      </c>
      <c r="J1842" s="391">
        <v>0.58</v>
      </c>
      <c r="K1842" s="391">
        <v>1080.0</v>
      </c>
      <c r="L1842" s="391">
        <v>208698.0</v>
      </c>
      <c r="M1842" s="391">
        <v>0.15</v>
      </c>
      <c r="N1842" s="38">
        <v>1.0169</v>
      </c>
    </row>
    <row r="1843">
      <c r="A1843" s="389" t="s">
        <v>1973</v>
      </c>
      <c r="B1843" s="389" t="s">
        <v>137</v>
      </c>
      <c r="C1843" s="389" t="s">
        <v>7</v>
      </c>
      <c r="D1843" s="389" t="s">
        <v>591</v>
      </c>
      <c r="E1843" s="390" t="s">
        <v>30</v>
      </c>
      <c r="F1843" s="391">
        <v>7202.0</v>
      </c>
      <c r="G1843" s="391">
        <v>1030.0</v>
      </c>
      <c r="H1843" s="391">
        <v>14.3</v>
      </c>
      <c r="I1843" s="391">
        <v>0.5</v>
      </c>
      <c r="J1843" s="391">
        <v>0.56</v>
      </c>
      <c r="K1843" s="391">
        <v>1034.0</v>
      </c>
      <c r="L1843" s="391">
        <v>208698.0</v>
      </c>
      <c r="M1843" s="391">
        <v>0.1436</v>
      </c>
      <c r="N1843" s="38">
        <v>1.0039</v>
      </c>
    </row>
    <row r="1844">
      <c r="A1844" s="389" t="s">
        <v>1973</v>
      </c>
      <c r="B1844" s="389" t="s">
        <v>137</v>
      </c>
      <c r="C1844" s="389" t="s">
        <v>7</v>
      </c>
      <c r="D1844" s="389" t="s">
        <v>591</v>
      </c>
      <c r="E1844" s="390" t="s">
        <v>45</v>
      </c>
      <c r="F1844" s="391">
        <v>7202.0</v>
      </c>
      <c r="G1844" s="391">
        <v>383.0</v>
      </c>
      <c r="H1844" s="391">
        <v>5.32</v>
      </c>
      <c r="I1844" s="391">
        <v>0.21</v>
      </c>
      <c r="J1844" s="391">
        <v>0.19</v>
      </c>
      <c r="K1844" s="391">
        <v>431.0</v>
      </c>
      <c r="L1844" s="391">
        <v>208698.0</v>
      </c>
      <c r="M1844" s="391">
        <v>0.0598</v>
      </c>
      <c r="N1844" s="38">
        <v>1.1253</v>
      </c>
    </row>
    <row r="1845">
      <c r="A1845" s="389" t="s">
        <v>1973</v>
      </c>
      <c r="B1845" s="389" t="s">
        <v>137</v>
      </c>
      <c r="C1845" s="389" t="s">
        <v>7</v>
      </c>
      <c r="D1845" s="389" t="s">
        <v>591</v>
      </c>
      <c r="E1845" s="390" t="s">
        <v>37</v>
      </c>
      <c r="F1845" s="391">
        <v>7202.0</v>
      </c>
      <c r="G1845" s="391">
        <v>247.0</v>
      </c>
      <c r="H1845" s="391">
        <v>3.43</v>
      </c>
      <c r="I1845" s="391">
        <v>0.13</v>
      </c>
      <c r="J1845" s="391">
        <v>0.15</v>
      </c>
      <c r="K1845" s="391">
        <v>267.0</v>
      </c>
      <c r="L1845" s="391">
        <v>208698.0</v>
      </c>
      <c r="M1845" s="391">
        <v>0.0371</v>
      </c>
      <c r="N1845" s="38">
        <v>1.081</v>
      </c>
    </row>
    <row r="1846">
      <c r="A1846" s="389" t="s">
        <v>1973</v>
      </c>
      <c r="B1846" s="389" t="s">
        <v>137</v>
      </c>
      <c r="C1846" s="389" t="s">
        <v>7</v>
      </c>
      <c r="D1846" s="389" t="s">
        <v>591</v>
      </c>
      <c r="E1846" s="390" t="s">
        <v>38</v>
      </c>
      <c r="F1846" s="391">
        <v>7202.0</v>
      </c>
      <c r="G1846" s="391">
        <v>24.0</v>
      </c>
      <c r="H1846" s="391">
        <v>0.33</v>
      </c>
      <c r="I1846" s="391">
        <v>0.01</v>
      </c>
      <c r="J1846" s="391">
        <v>0.01</v>
      </c>
      <c r="K1846" s="391">
        <v>25.0</v>
      </c>
      <c r="L1846" s="391">
        <v>208698.0</v>
      </c>
      <c r="M1846" s="391">
        <v>0.0035</v>
      </c>
      <c r="N1846" s="38">
        <v>1.0417</v>
      </c>
    </row>
    <row r="1847">
      <c r="A1847" s="389" t="s">
        <v>1973</v>
      </c>
      <c r="B1847" s="389" t="s">
        <v>137</v>
      </c>
      <c r="C1847" s="389" t="s">
        <v>7</v>
      </c>
      <c r="D1847" s="389" t="s">
        <v>591</v>
      </c>
      <c r="E1847" s="390" t="s">
        <v>27</v>
      </c>
      <c r="F1847" s="391">
        <v>7202.0</v>
      </c>
      <c r="G1847" s="391">
        <v>5.0</v>
      </c>
      <c r="H1847" s="391">
        <v>0.07</v>
      </c>
      <c r="I1847" s="391">
        <v>0.0</v>
      </c>
      <c r="J1847" s="391">
        <v>0.0</v>
      </c>
      <c r="K1847" s="391">
        <v>7.0</v>
      </c>
      <c r="L1847" s="391">
        <v>208698.0</v>
      </c>
      <c r="M1847" s="391">
        <v>0.001</v>
      </c>
      <c r="N1847" s="38">
        <v>1.4</v>
      </c>
    </row>
    <row r="1848">
      <c r="A1848" s="389" t="s">
        <v>1973</v>
      </c>
      <c r="B1848" s="389" t="s">
        <v>137</v>
      </c>
      <c r="C1848" s="389" t="s">
        <v>7</v>
      </c>
      <c r="D1848" s="389" t="s">
        <v>591</v>
      </c>
      <c r="E1848" s="390" t="s">
        <v>372</v>
      </c>
      <c r="F1848" s="391">
        <v>7202.0</v>
      </c>
      <c r="G1848" s="391">
        <v>1.0</v>
      </c>
      <c r="H1848" s="391">
        <v>0.01</v>
      </c>
      <c r="I1848" s="391">
        <v>0.0</v>
      </c>
      <c r="J1848" s="391">
        <v>0.0</v>
      </c>
      <c r="K1848" s="391">
        <v>4.0</v>
      </c>
      <c r="L1848" s="391">
        <v>208698.0</v>
      </c>
      <c r="M1848" s="391">
        <v>6.0E-4</v>
      </c>
      <c r="N1848" s="38">
        <v>4.0</v>
      </c>
    </row>
    <row r="1849">
      <c r="A1849" s="389" t="s">
        <v>1973</v>
      </c>
      <c r="B1849" s="389" t="s">
        <v>137</v>
      </c>
      <c r="C1849" s="389" t="s">
        <v>7</v>
      </c>
      <c r="D1849" s="389" t="s">
        <v>591</v>
      </c>
      <c r="E1849" s="390" t="s">
        <v>363</v>
      </c>
      <c r="F1849" s="391">
        <v>7202.0</v>
      </c>
      <c r="G1849" s="391">
        <v>9.0</v>
      </c>
      <c r="H1849" s="391">
        <v>0.12</v>
      </c>
      <c r="I1849" s="391">
        <v>0.0</v>
      </c>
      <c r="J1849" s="391">
        <v>0.0</v>
      </c>
      <c r="K1849" s="391">
        <v>10.0</v>
      </c>
      <c r="L1849" s="391">
        <v>208698.0</v>
      </c>
      <c r="M1849" s="391">
        <v>0.0014</v>
      </c>
      <c r="N1849" s="38">
        <v>1.1111</v>
      </c>
    </row>
    <row r="1850">
      <c r="A1850" s="389" t="s">
        <v>1973</v>
      </c>
      <c r="B1850" s="389" t="s">
        <v>137</v>
      </c>
      <c r="C1850" s="389" t="s">
        <v>11</v>
      </c>
      <c r="D1850" s="389" t="s">
        <v>591</v>
      </c>
      <c r="E1850" s="390" t="s">
        <v>370</v>
      </c>
      <c r="F1850" s="391">
        <v>7187.0</v>
      </c>
      <c r="G1850" s="391">
        <v>7114.0</v>
      </c>
      <c r="H1850" s="391">
        <v>98.98</v>
      </c>
      <c r="I1850" s="391">
        <v>40.94</v>
      </c>
      <c r="J1850" s="391">
        <v>47.18</v>
      </c>
      <c r="K1850" s="391">
        <v>34584.0</v>
      </c>
      <c r="L1850" s="391">
        <v>84470.0</v>
      </c>
      <c r="M1850" s="391">
        <v>4.812</v>
      </c>
      <c r="N1850" s="38">
        <v>4.8614</v>
      </c>
    </row>
    <row r="1851">
      <c r="A1851" s="389" t="s">
        <v>1973</v>
      </c>
      <c r="B1851" s="389" t="s">
        <v>137</v>
      </c>
      <c r="C1851" s="389" t="s">
        <v>11</v>
      </c>
      <c r="D1851" s="389" t="s">
        <v>591</v>
      </c>
      <c r="E1851" s="390" t="s">
        <v>365</v>
      </c>
      <c r="F1851" s="391">
        <v>7187.0</v>
      </c>
      <c r="G1851" s="391">
        <v>5043.0</v>
      </c>
      <c r="H1851" s="391">
        <v>70.17</v>
      </c>
      <c r="I1851" s="391">
        <v>14.08</v>
      </c>
      <c r="J1851" s="391">
        <v>15.81</v>
      </c>
      <c r="K1851" s="391">
        <v>11891.0</v>
      </c>
      <c r="L1851" s="391">
        <v>84470.0</v>
      </c>
      <c r="M1851" s="391">
        <v>1.6545</v>
      </c>
      <c r="N1851" s="38">
        <v>2.3579</v>
      </c>
    </row>
    <row r="1852">
      <c r="A1852" s="389" t="s">
        <v>1973</v>
      </c>
      <c r="B1852" s="389" t="s">
        <v>137</v>
      </c>
      <c r="C1852" s="389" t="s">
        <v>11</v>
      </c>
      <c r="D1852" s="389" t="s">
        <v>591</v>
      </c>
      <c r="E1852" s="390" t="s">
        <v>108</v>
      </c>
      <c r="F1852" s="391">
        <v>7187.0</v>
      </c>
      <c r="G1852" s="391">
        <v>1601.0</v>
      </c>
      <c r="H1852" s="391">
        <v>22.28</v>
      </c>
      <c r="I1852" s="391">
        <v>7.59</v>
      </c>
      <c r="J1852" s="391">
        <v>4.74</v>
      </c>
      <c r="K1852" s="391">
        <v>6413.0</v>
      </c>
      <c r="L1852" s="391">
        <v>84470.0</v>
      </c>
      <c r="M1852" s="391">
        <v>0.8923</v>
      </c>
      <c r="N1852" s="38">
        <v>4.0056</v>
      </c>
    </row>
    <row r="1853">
      <c r="A1853" s="389" t="s">
        <v>1973</v>
      </c>
      <c r="B1853" s="389" t="s">
        <v>137</v>
      </c>
      <c r="C1853" s="389" t="s">
        <v>11</v>
      </c>
      <c r="D1853" s="389" t="s">
        <v>591</v>
      </c>
      <c r="E1853" s="390" t="s">
        <v>39</v>
      </c>
      <c r="F1853" s="391">
        <v>7187.0</v>
      </c>
      <c r="G1853" s="391">
        <v>3415.0</v>
      </c>
      <c r="H1853" s="391">
        <v>47.52</v>
      </c>
      <c r="I1853" s="391">
        <v>5.58</v>
      </c>
      <c r="J1853" s="391">
        <v>6.67</v>
      </c>
      <c r="K1853" s="391">
        <v>4713.0</v>
      </c>
      <c r="L1853" s="391">
        <v>84470.0</v>
      </c>
      <c r="M1853" s="391">
        <v>0.6558</v>
      </c>
      <c r="N1853" s="38">
        <v>1.3801</v>
      </c>
    </row>
    <row r="1854">
      <c r="A1854" s="389" t="s">
        <v>1973</v>
      </c>
      <c r="B1854" s="389" t="s">
        <v>137</v>
      </c>
      <c r="C1854" s="389" t="s">
        <v>11</v>
      </c>
      <c r="D1854" s="389" t="s">
        <v>591</v>
      </c>
      <c r="E1854" s="390" t="s">
        <v>45</v>
      </c>
      <c r="F1854" s="391">
        <v>7187.0</v>
      </c>
      <c r="G1854" s="391">
        <v>2762.0</v>
      </c>
      <c r="H1854" s="391">
        <v>38.43</v>
      </c>
      <c r="I1854" s="391">
        <v>5.4</v>
      </c>
      <c r="J1854" s="391">
        <v>5.41</v>
      </c>
      <c r="K1854" s="391">
        <v>4564.0</v>
      </c>
      <c r="L1854" s="391">
        <v>84470.0</v>
      </c>
      <c r="M1854" s="391">
        <v>0.635</v>
      </c>
      <c r="N1854" s="38">
        <v>1.6524</v>
      </c>
    </row>
    <row r="1855">
      <c r="A1855" s="389" t="s">
        <v>1973</v>
      </c>
      <c r="B1855" s="389" t="s">
        <v>137</v>
      </c>
      <c r="C1855" s="389" t="s">
        <v>11</v>
      </c>
      <c r="D1855" s="389" t="s">
        <v>591</v>
      </c>
      <c r="E1855" s="390" t="s">
        <v>369</v>
      </c>
      <c r="F1855" s="391">
        <v>7187.0</v>
      </c>
      <c r="G1855" s="391">
        <v>2329.0</v>
      </c>
      <c r="H1855" s="391">
        <v>32.41</v>
      </c>
      <c r="I1855" s="391">
        <v>5.38</v>
      </c>
      <c r="J1855" s="391">
        <v>4.1</v>
      </c>
      <c r="K1855" s="391">
        <v>4545.0</v>
      </c>
      <c r="L1855" s="391">
        <v>84470.0</v>
      </c>
      <c r="M1855" s="391">
        <v>0.6324</v>
      </c>
      <c r="N1855" s="38">
        <v>1.9515</v>
      </c>
    </row>
    <row r="1856">
      <c r="A1856" s="389" t="s">
        <v>1973</v>
      </c>
      <c r="B1856" s="389" t="s">
        <v>137</v>
      </c>
      <c r="C1856" s="389" t="s">
        <v>11</v>
      </c>
      <c r="D1856" s="389" t="s">
        <v>591</v>
      </c>
      <c r="E1856" s="390" t="s">
        <v>37</v>
      </c>
      <c r="F1856" s="391">
        <v>7187.0</v>
      </c>
      <c r="G1856" s="391">
        <v>1572.0</v>
      </c>
      <c r="H1856" s="391">
        <v>21.87</v>
      </c>
      <c r="I1856" s="391">
        <v>4.34</v>
      </c>
      <c r="J1856" s="391">
        <v>3.31</v>
      </c>
      <c r="K1856" s="391">
        <v>3665.0</v>
      </c>
      <c r="L1856" s="391">
        <v>84470.0</v>
      </c>
      <c r="M1856" s="391">
        <v>0.5099</v>
      </c>
      <c r="N1856" s="38">
        <v>2.3314</v>
      </c>
    </row>
    <row r="1857">
      <c r="A1857" s="389" t="s">
        <v>1973</v>
      </c>
      <c r="B1857" s="389" t="s">
        <v>137</v>
      </c>
      <c r="C1857" s="389" t="s">
        <v>11</v>
      </c>
      <c r="D1857" s="389" t="s">
        <v>591</v>
      </c>
      <c r="E1857" s="390" t="s">
        <v>363</v>
      </c>
      <c r="F1857" s="391">
        <v>7187.0</v>
      </c>
      <c r="G1857" s="391">
        <v>1006.0</v>
      </c>
      <c r="H1857" s="391">
        <v>14.0</v>
      </c>
      <c r="I1857" s="391">
        <v>3.5</v>
      </c>
      <c r="J1857" s="391">
        <v>1.89</v>
      </c>
      <c r="K1857" s="391">
        <v>2957.0</v>
      </c>
      <c r="L1857" s="391">
        <v>84470.0</v>
      </c>
      <c r="M1857" s="391">
        <v>0.4114</v>
      </c>
      <c r="N1857" s="38">
        <v>2.9394</v>
      </c>
    </row>
    <row r="1858">
      <c r="A1858" s="389" t="s">
        <v>1973</v>
      </c>
      <c r="B1858" s="389" t="s">
        <v>137</v>
      </c>
      <c r="C1858" s="389" t="s">
        <v>11</v>
      </c>
      <c r="D1858" s="389" t="s">
        <v>591</v>
      </c>
      <c r="E1858" s="390" t="s">
        <v>368</v>
      </c>
      <c r="F1858" s="391">
        <v>7187.0</v>
      </c>
      <c r="G1858" s="391">
        <v>1911.0</v>
      </c>
      <c r="H1858" s="391">
        <v>26.59</v>
      </c>
      <c r="I1858" s="391">
        <v>2.6</v>
      </c>
      <c r="J1858" s="391">
        <v>2.73</v>
      </c>
      <c r="K1858" s="391">
        <v>2192.0</v>
      </c>
      <c r="L1858" s="391">
        <v>84470.0</v>
      </c>
      <c r="M1858" s="391">
        <v>0.305</v>
      </c>
      <c r="N1858" s="38">
        <v>1.147</v>
      </c>
    </row>
    <row r="1859">
      <c r="A1859" s="389" t="s">
        <v>1973</v>
      </c>
      <c r="B1859" s="389" t="s">
        <v>137</v>
      </c>
      <c r="C1859" s="389" t="s">
        <v>11</v>
      </c>
      <c r="D1859" s="389" t="s">
        <v>591</v>
      </c>
      <c r="E1859" s="390" t="s">
        <v>282</v>
      </c>
      <c r="F1859" s="391">
        <v>7187.0</v>
      </c>
      <c r="G1859" s="391">
        <v>1458.0</v>
      </c>
      <c r="H1859" s="391">
        <v>20.29</v>
      </c>
      <c r="I1859" s="391">
        <v>2.31</v>
      </c>
      <c r="J1859" s="391">
        <v>1.85</v>
      </c>
      <c r="K1859" s="391">
        <v>1955.0</v>
      </c>
      <c r="L1859" s="391">
        <v>84470.0</v>
      </c>
      <c r="M1859" s="391">
        <v>0.272</v>
      </c>
      <c r="N1859" s="38">
        <v>1.3409</v>
      </c>
    </row>
    <row r="1860">
      <c r="A1860" s="389" t="s">
        <v>1973</v>
      </c>
      <c r="B1860" s="389" t="s">
        <v>137</v>
      </c>
      <c r="C1860" s="389" t="s">
        <v>11</v>
      </c>
      <c r="D1860" s="389" t="s">
        <v>591</v>
      </c>
      <c r="E1860" s="390" t="s">
        <v>283</v>
      </c>
      <c r="F1860" s="391">
        <v>7187.0</v>
      </c>
      <c r="G1860" s="391">
        <v>1471.0</v>
      </c>
      <c r="H1860" s="391">
        <v>20.47</v>
      </c>
      <c r="I1860" s="391">
        <v>2.28</v>
      </c>
      <c r="J1860" s="391">
        <v>2.06</v>
      </c>
      <c r="K1860" s="391">
        <v>1922.0</v>
      </c>
      <c r="L1860" s="391">
        <v>84470.0</v>
      </c>
      <c r="M1860" s="391">
        <v>0.2674</v>
      </c>
      <c r="N1860" s="38">
        <v>1.3066</v>
      </c>
    </row>
    <row r="1861">
      <c r="A1861" s="389" t="s">
        <v>1973</v>
      </c>
      <c r="B1861" s="389" t="s">
        <v>137</v>
      </c>
      <c r="C1861" s="389" t="s">
        <v>11</v>
      </c>
      <c r="D1861" s="389" t="s">
        <v>591</v>
      </c>
      <c r="E1861" s="390" t="s">
        <v>284</v>
      </c>
      <c r="F1861" s="391">
        <v>7187.0</v>
      </c>
      <c r="G1861" s="391">
        <v>1376.0</v>
      </c>
      <c r="H1861" s="391">
        <v>19.15</v>
      </c>
      <c r="I1861" s="391">
        <v>2.22</v>
      </c>
      <c r="J1861" s="391">
        <v>1.77</v>
      </c>
      <c r="K1861" s="391">
        <v>1877.0</v>
      </c>
      <c r="L1861" s="391">
        <v>84470.0</v>
      </c>
      <c r="M1861" s="391">
        <v>0.2612</v>
      </c>
      <c r="N1861" s="38">
        <v>1.3641</v>
      </c>
    </row>
    <row r="1862">
      <c r="A1862" s="389" t="s">
        <v>1973</v>
      </c>
      <c r="B1862" s="389" t="s">
        <v>137</v>
      </c>
      <c r="C1862" s="389" t="s">
        <v>11</v>
      </c>
      <c r="D1862" s="389" t="s">
        <v>591</v>
      </c>
      <c r="E1862" s="390" t="s">
        <v>35</v>
      </c>
      <c r="F1862" s="391">
        <v>7187.0</v>
      </c>
      <c r="G1862" s="391">
        <v>700.0</v>
      </c>
      <c r="H1862" s="391">
        <v>9.74</v>
      </c>
      <c r="I1862" s="391">
        <v>1.25</v>
      </c>
      <c r="J1862" s="391">
        <v>0.83</v>
      </c>
      <c r="K1862" s="391">
        <v>1057.0</v>
      </c>
      <c r="L1862" s="391">
        <v>84470.0</v>
      </c>
      <c r="M1862" s="391">
        <v>0.1471</v>
      </c>
      <c r="N1862" s="38">
        <v>1.51</v>
      </c>
    </row>
    <row r="1863">
      <c r="A1863" s="389" t="s">
        <v>1973</v>
      </c>
      <c r="B1863" s="389" t="s">
        <v>137</v>
      </c>
      <c r="C1863" s="389" t="s">
        <v>11</v>
      </c>
      <c r="D1863" s="389" t="s">
        <v>591</v>
      </c>
      <c r="E1863" s="390" t="s">
        <v>163</v>
      </c>
      <c r="F1863" s="391">
        <v>7187.0</v>
      </c>
      <c r="G1863" s="391">
        <v>650.0</v>
      </c>
      <c r="H1863" s="391">
        <v>9.04</v>
      </c>
      <c r="I1863" s="391">
        <v>0.78</v>
      </c>
      <c r="J1863" s="391">
        <v>0.55</v>
      </c>
      <c r="K1863" s="391">
        <v>661.0</v>
      </c>
      <c r="L1863" s="391">
        <v>84470.0</v>
      </c>
      <c r="M1863" s="391">
        <v>0.092</v>
      </c>
      <c r="N1863" s="38">
        <v>1.0169</v>
      </c>
    </row>
    <row r="1864">
      <c r="A1864" s="389" t="s">
        <v>1973</v>
      </c>
      <c r="B1864" s="389" t="s">
        <v>137</v>
      </c>
      <c r="C1864" s="389" t="s">
        <v>11</v>
      </c>
      <c r="D1864" s="389" t="s">
        <v>591</v>
      </c>
      <c r="E1864" s="390" t="s">
        <v>38</v>
      </c>
      <c r="F1864" s="391">
        <v>7187.0</v>
      </c>
      <c r="G1864" s="391">
        <v>560.0</v>
      </c>
      <c r="H1864" s="391">
        <v>7.79</v>
      </c>
      <c r="I1864" s="391">
        <v>0.77</v>
      </c>
      <c r="J1864" s="391">
        <v>0.36</v>
      </c>
      <c r="K1864" s="391">
        <v>651.0</v>
      </c>
      <c r="L1864" s="391">
        <v>84470.0</v>
      </c>
      <c r="M1864" s="391">
        <v>0.0906</v>
      </c>
      <c r="N1864" s="38">
        <v>1.1625</v>
      </c>
    </row>
    <row r="1865">
      <c r="A1865" s="389" t="s">
        <v>1973</v>
      </c>
      <c r="B1865" s="389" t="s">
        <v>137</v>
      </c>
      <c r="C1865" s="389" t="s">
        <v>11</v>
      </c>
      <c r="D1865" s="389" t="s">
        <v>591</v>
      </c>
      <c r="E1865" s="390" t="s">
        <v>27</v>
      </c>
      <c r="F1865" s="391">
        <v>7187.0</v>
      </c>
      <c r="G1865" s="391">
        <v>408.0</v>
      </c>
      <c r="H1865" s="391">
        <v>5.68</v>
      </c>
      <c r="I1865" s="391">
        <v>0.49</v>
      </c>
      <c r="J1865" s="391">
        <v>0.51</v>
      </c>
      <c r="K1865" s="391">
        <v>418.0</v>
      </c>
      <c r="L1865" s="391">
        <v>84470.0</v>
      </c>
      <c r="M1865" s="391">
        <v>0.0582</v>
      </c>
      <c r="N1865" s="38">
        <v>1.0245</v>
      </c>
    </row>
    <row r="1866">
      <c r="A1866" s="389" t="s">
        <v>1973</v>
      </c>
      <c r="B1866" s="389" t="s">
        <v>137</v>
      </c>
      <c r="C1866" s="389" t="s">
        <v>11</v>
      </c>
      <c r="D1866" s="389" t="s">
        <v>591</v>
      </c>
      <c r="E1866" s="390" t="s">
        <v>366</v>
      </c>
      <c r="F1866" s="391">
        <v>7187.0</v>
      </c>
      <c r="G1866" s="391">
        <v>392.0</v>
      </c>
      <c r="H1866" s="391">
        <v>5.45</v>
      </c>
      <c r="I1866" s="391">
        <v>0.47</v>
      </c>
      <c r="J1866" s="391">
        <v>0.23</v>
      </c>
      <c r="K1866" s="391">
        <v>401.0</v>
      </c>
      <c r="L1866" s="391">
        <v>84470.0</v>
      </c>
      <c r="M1866" s="391">
        <v>0.0558</v>
      </c>
      <c r="N1866" s="38">
        <v>1.023</v>
      </c>
    </row>
    <row r="1867">
      <c r="A1867" s="389" t="s">
        <v>1973</v>
      </c>
      <c r="B1867" s="389" t="s">
        <v>137</v>
      </c>
      <c r="C1867" s="389" t="s">
        <v>11</v>
      </c>
      <c r="D1867" s="389" t="s">
        <v>591</v>
      </c>
      <c r="E1867" s="390" t="s">
        <v>372</v>
      </c>
      <c r="F1867" s="391">
        <v>7187.0</v>
      </c>
      <c r="G1867" s="391">
        <v>1.0</v>
      </c>
      <c r="H1867" s="391">
        <v>0.01</v>
      </c>
      <c r="I1867" s="391">
        <v>0.0</v>
      </c>
      <c r="J1867" s="391">
        <v>0.01</v>
      </c>
      <c r="K1867" s="391">
        <v>4.0</v>
      </c>
      <c r="L1867" s="391">
        <v>84470.0</v>
      </c>
      <c r="M1867" s="391">
        <v>6.0E-4</v>
      </c>
      <c r="N1867" s="38">
        <v>4.0</v>
      </c>
    </row>
    <row r="1868">
      <c r="A1868" s="389" t="s">
        <v>1973</v>
      </c>
      <c r="B1868" s="389" t="s">
        <v>137</v>
      </c>
      <c r="C1868" s="389" t="s">
        <v>357</v>
      </c>
      <c r="D1868" s="389" t="s">
        <v>357</v>
      </c>
      <c r="E1868" s="390" t="s">
        <v>370</v>
      </c>
      <c r="F1868" s="391">
        <v>7223.0</v>
      </c>
      <c r="G1868" s="391">
        <v>7213.0</v>
      </c>
      <c r="H1868" s="391">
        <v>99.86</v>
      </c>
      <c r="I1868" s="391">
        <v>38.75</v>
      </c>
      <c r="J1868" s="391">
        <v>39.93</v>
      </c>
      <c r="K1868" s="391">
        <v>6495730.0</v>
      </c>
      <c r="L1868" s="391">
        <v>1.6763191E7</v>
      </c>
      <c r="M1868" s="391">
        <v>899.3119</v>
      </c>
      <c r="N1868" s="38">
        <v>900.5587</v>
      </c>
    </row>
    <row r="1869">
      <c r="A1869" s="389" t="s">
        <v>1973</v>
      </c>
      <c r="B1869" s="389" t="s">
        <v>137</v>
      </c>
      <c r="C1869" s="389" t="s">
        <v>357</v>
      </c>
      <c r="D1869" s="389" t="s">
        <v>357</v>
      </c>
      <c r="E1869" s="390" t="s">
        <v>365</v>
      </c>
      <c r="F1869" s="391">
        <v>7223.0</v>
      </c>
      <c r="G1869" s="391">
        <v>7137.0</v>
      </c>
      <c r="H1869" s="391">
        <v>98.81</v>
      </c>
      <c r="I1869" s="391">
        <v>17.95</v>
      </c>
      <c r="J1869" s="391">
        <v>22.15</v>
      </c>
      <c r="K1869" s="391">
        <v>3009200.0</v>
      </c>
      <c r="L1869" s="391">
        <v>1.6763191E7</v>
      </c>
      <c r="M1869" s="391">
        <v>416.6136</v>
      </c>
      <c r="N1869" s="38">
        <v>421.6337</v>
      </c>
    </row>
    <row r="1870">
      <c r="A1870" s="389" t="s">
        <v>1973</v>
      </c>
      <c r="B1870" s="389" t="s">
        <v>137</v>
      </c>
      <c r="C1870" s="389" t="s">
        <v>357</v>
      </c>
      <c r="D1870" s="389" t="s">
        <v>357</v>
      </c>
      <c r="E1870" s="390" t="s">
        <v>369</v>
      </c>
      <c r="F1870" s="391">
        <v>7223.0</v>
      </c>
      <c r="G1870" s="391">
        <v>3847.0</v>
      </c>
      <c r="H1870" s="391">
        <v>53.26</v>
      </c>
      <c r="I1870" s="391">
        <v>6.13</v>
      </c>
      <c r="J1870" s="391">
        <v>4.84</v>
      </c>
      <c r="K1870" s="391">
        <v>1027091.0</v>
      </c>
      <c r="L1870" s="391">
        <v>1.6763191E7</v>
      </c>
      <c r="M1870" s="391">
        <v>142.1973</v>
      </c>
      <c r="N1870" s="38">
        <v>266.9849</v>
      </c>
    </row>
    <row r="1871">
      <c r="A1871" s="389" t="s">
        <v>1973</v>
      </c>
      <c r="B1871" s="389" t="s">
        <v>137</v>
      </c>
      <c r="C1871" s="389" t="s">
        <v>357</v>
      </c>
      <c r="D1871" s="389" t="s">
        <v>357</v>
      </c>
      <c r="E1871" s="390" t="s">
        <v>108</v>
      </c>
      <c r="F1871" s="391">
        <v>7223.0</v>
      </c>
      <c r="G1871" s="391">
        <v>1755.0</v>
      </c>
      <c r="H1871" s="391">
        <v>24.3</v>
      </c>
      <c r="I1871" s="391">
        <v>4.42</v>
      </c>
      <c r="J1871" s="391">
        <v>2.65</v>
      </c>
      <c r="K1871" s="391">
        <v>741260.0</v>
      </c>
      <c r="L1871" s="391">
        <v>1.6763191E7</v>
      </c>
      <c r="M1871" s="391">
        <v>102.6249</v>
      </c>
      <c r="N1871" s="38">
        <v>422.3704</v>
      </c>
    </row>
    <row r="1872">
      <c r="A1872" s="389" t="s">
        <v>1973</v>
      </c>
      <c r="B1872" s="389" t="s">
        <v>137</v>
      </c>
      <c r="C1872" s="389" t="s">
        <v>357</v>
      </c>
      <c r="D1872" s="389" t="s">
        <v>357</v>
      </c>
      <c r="E1872" s="390" t="s">
        <v>45</v>
      </c>
      <c r="F1872" s="391">
        <v>7223.0</v>
      </c>
      <c r="G1872" s="391">
        <v>4315.0</v>
      </c>
      <c r="H1872" s="391">
        <v>59.74</v>
      </c>
      <c r="I1872" s="391">
        <v>3.8</v>
      </c>
      <c r="J1872" s="391">
        <v>3.8</v>
      </c>
      <c r="K1872" s="391">
        <v>637200.0</v>
      </c>
      <c r="L1872" s="391">
        <v>1.6763191E7</v>
      </c>
      <c r="M1872" s="391">
        <v>88.2182</v>
      </c>
      <c r="N1872" s="38">
        <v>147.6709</v>
      </c>
    </row>
    <row r="1873">
      <c r="A1873" s="389" t="s">
        <v>1973</v>
      </c>
      <c r="B1873" s="389" t="s">
        <v>137</v>
      </c>
      <c r="C1873" s="389" t="s">
        <v>357</v>
      </c>
      <c r="D1873" s="389" t="s">
        <v>357</v>
      </c>
      <c r="E1873" s="390" t="s">
        <v>366</v>
      </c>
      <c r="F1873" s="391">
        <v>7223.0</v>
      </c>
      <c r="G1873" s="391">
        <v>4893.0</v>
      </c>
      <c r="H1873" s="391">
        <v>67.74</v>
      </c>
      <c r="I1873" s="391">
        <v>3.16</v>
      </c>
      <c r="J1873" s="391">
        <v>2.67</v>
      </c>
      <c r="K1873" s="391">
        <v>529230.0</v>
      </c>
      <c r="L1873" s="391">
        <v>1.6763191E7</v>
      </c>
      <c r="M1873" s="391">
        <v>73.2701</v>
      </c>
      <c r="N1873" s="38">
        <v>108.1606</v>
      </c>
    </row>
    <row r="1874">
      <c r="A1874" s="389" t="s">
        <v>1973</v>
      </c>
      <c r="B1874" s="389" t="s">
        <v>137</v>
      </c>
      <c r="C1874" s="389" t="s">
        <v>357</v>
      </c>
      <c r="D1874" s="389" t="s">
        <v>357</v>
      </c>
      <c r="E1874" s="390" t="s">
        <v>371</v>
      </c>
      <c r="F1874" s="391">
        <v>7223.0</v>
      </c>
      <c r="G1874" s="391">
        <v>5492.0</v>
      </c>
      <c r="H1874" s="391">
        <v>76.03</v>
      </c>
      <c r="I1874" s="391">
        <v>3.0</v>
      </c>
      <c r="J1874" s="391">
        <v>4.93</v>
      </c>
      <c r="K1874" s="391">
        <v>502495.0</v>
      </c>
      <c r="L1874" s="391">
        <v>1.6763191E7</v>
      </c>
      <c r="M1874" s="391">
        <v>69.5687</v>
      </c>
      <c r="N1874" s="38">
        <v>91.4958</v>
      </c>
    </row>
    <row r="1875">
      <c r="A1875" s="389" t="s">
        <v>1973</v>
      </c>
      <c r="B1875" s="389" t="s">
        <v>137</v>
      </c>
      <c r="C1875" s="389" t="s">
        <v>357</v>
      </c>
      <c r="D1875" s="389" t="s">
        <v>357</v>
      </c>
      <c r="E1875" s="390" t="s">
        <v>284</v>
      </c>
      <c r="F1875" s="391">
        <v>7223.0</v>
      </c>
      <c r="G1875" s="391">
        <v>2120.0</v>
      </c>
      <c r="H1875" s="391">
        <v>29.35</v>
      </c>
      <c r="I1875" s="391">
        <v>2.84</v>
      </c>
      <c r="J1875" s="391">
        <v>2.41</v>
      </c>
      <c r="K1875" s="391">
        <v>475700.0</v>
      </c>
      <c r="L1875" s="391">
        <v>1.6763191E7</v>
      </c>
      <c r="M1875" s="391">
        <v>65.8591</v>
      </c>
      <c r="N1875" s="38">
        <v>224.3868</v>
      </c>
    </row>
    <row r="1876">
      <c r="A1876" s="389" t="s">
        <v>1973</v>
      </c>
      <c r="B1876" s="389" t="s">
        <v>137</v>
      </c>
      <c r="C1876" s="389" t="s">
        <v>357</v>
      </c>
      <c r="D1876" s="389" t="s">
        <v>357</v>
      </c>
      <c r="E1876" s="390" t="s">
        <v>282</v>
      </c>
      <c r="F1876" s="391">
        <v>7223.0</v>
      </c>
      <c r="G1876" s="391">
        <v>2003.0</v>
      </c>
      <c r="H1876" s="391">
        <v>27.73</v>
      </c>
      <c r="I1876" s="391">
        <v>2.77</v>
      </c>
      <c r="J1876" s="391">
        <v>2.17</v>
      </c>
      <c r="K1876" s="391">
        <v>463775.0</v>
      </c>
      <c r="L1876" s="391">
        <v>1.6763191E7</v>
      </c>
      <c r="M1876" s="391">
        <v>64.2081</v>
      </c>
      <c r="N1876" s="38">
        <v>231.5402</v>
      </c>
    </row>
    <row r="1877">
      <c r="A1877" s="389" t="s">
        <v>1973</v>
      </c>
      <c r="B1877" s="389" t="s">
        <v>137</v>
      </c>
      <c r="C1877" s="389" t="s">
        <v>357</v>
      </c>
      <c r="D1877" s="389" t="s">
        <v>357</v>
      </c>
      <c r="E1877" s="390" t="s">
        <v>283</v>
      </c>
      <c r="F1877" s="391">
        <v>7223.0</v>
      </c>
      <c r="G1877" s="391">
        <v>2067.0</v>
      </c>
      <c r="H1877" s="391">
        <v>28.62</v>
      </c>
      <c r="I1877" s="391">
        <v>2.75</v>
      </c>
      <c r="J1877" s="391">
        <v>2.48</v>
      </c>
      <c r="K1877" s="391">
        <v>460200.0</v>
      </c>
      <c r="L1877" s="391">
        <v>1.6763191E7</v>
      </c>
      <c r="M1877" s="391">
        <v>63.7131</v>
      </c>
      <c r="N1877" s="38">
        <v>222.6415</v>
      </c>
    </row>
    <row r="1878">
      <c r="A1878" s="389" t="s">
        <v>1973</v>
      </c>
      <c r="B1878" s="389" t="s">
        <v>137</v>
      </c>
      <c r="C1878" s="389" t="s">
        <v>357</v>
      </c>
      <c r="D1878" s="389" t="s">
        <v>357</v>
      </c>
      <c r="E1878" s="390" t="s">
        <v>367</v>
      </c>
      <c r="F1878" s="391">
        <v>7223.0</v>
      </c>
      <c r="G1878" s="391">
        <v>1556.0</v>
      </c>
      <c r="H1878" s="391">
        <v>21.54</v>
      </c>
      <c r="I1878" s="391">
        <v>2.7</v>
      </c>
      <c r="J1878" s="391">
        <v>1.79</v>
      </c>
      <c r="K1878" s="391">
        <v>452565.0</v>
      </c>
      <c r="L1878" s="391">
        <v>1.6763191E7</v>
      </c>
      <c r="M1878" s="391">
        <v>62.6561</v>
      </c>
      <c r="N1878" s="38">
        <v>290.8515</v>
      </c>
    </row>
    <row r="1879">
      <c r="A1879" s="389" t="s">
        <v>1973</v>
      </c>
      <c r="B1879" s="389" t="s">
        <v>137</v>
      </c>
      <c r="C1879" s="389" t="s">
        <v>357</v>
      </c>
      <c r="D1879" s="389" t="s">
        <v>357</v>
      </c>
      <c r="E1879" s="390" t="s">
        <v>39</v>
      </c>
      <c r="F1879" s="391">
        <v>7223.0</v>
      </c>
      <c r="G1879" s="391">
        <v>4167.0</v>
      </c>
      <c r="H1879" s="391">
        <v>57.69</v>
      </c>
      <c r="I1879" s="391">
        <v>1.88</v>
      </c>
      <c r="J1879" s="391">
        <v>2.32</v>
      </c>
      <c r="K1879" s="391">
        <v>315110.0</v>
      </c>
      <c r="L1879" s="391">
        <v>1.6763191E7</v>
      </c>
      <c r="M1879" s="391">
        <v>43.6259</v>
      </c>
      <c r="N1879" s="38">
        <v>75.6204</v>
      </c>
    </row>
    <row r="1880">
      <c r="A1880" s="389" t="s">
        <v>1973</v>
      </c>
      <c r="B1880" s="389" t="s">
        <v>137</v>
      </c>
      <c r="C1880" s="389" t="s">
        <v>357</v>
      </c>
      <c r="D1880" s="389" t="s">
        <v>357</v>
      </c>
      <c r="E1880" s="390" t="s">
        <v>35</v>
      </c>
      <c r="F1880" s="391">
        <v>7223.0</v>
      </c>
      <c r="G1880" s="391">
        <v>1856.0</v>
      </c>
      <c r="H1880" s="391">
        <v>25.7</v>
      </c>
      <c r="I1880" s="391">
        <v>1.88</v>
      </c>
      <c r="J1880" s="391">
        <v>1.42</v>
      </c>
      <c r="K1880" s="391">
        <v>315490.0</v>
      </c>
      <c r="L1880" s="391">
        <v>1.6763191E7</v>
      </c>
      <c r="M1880" s="391">
        <v>43.6785</v>
      </c>
      <c r="N1880" s="38">
        <v>169.9838</v>
      </c>
    </row>
    <row r="1881">
      <c r="A1881" s="389" t="s">
        <v>1973</v>
      </c>
      <c r="B1881" s="389" t="s">
        <v>137</v>
      </c>
      <c r="C1881" s="389" t="s">
        <v>357</v>
      </c>
      <c r="D1881" s="389" t="s">
        <v>357</v>
      </c>
      <c r="E1881" s="390" t="s">
        <v>363</v>
      </c>
      <c r="F1881" s="391">
        <v>7223.0</v>
      </c>
      <c r="G1881" s="391">
        <v>2569.0</v>
      </c>
      <c r="H1881" s="391">
        <v>35.57</v>
      </c>
      <c r="I1881" s="391">
        <v>1.69</v>
      </c>
      <c r="J1881" s="391">
        <v>1.0</v>
      </c>
      <c r="K1881" s="391">
        <v>282745.0</v>
      </c>
      <c r="L1881" s="391">
        <v>1.6763191E7</v>
      </c>
      <c r="M1881" s="391">
        <v>39.1451</v>
      </c>
      <c r="N1881" s="38">
        <v>110.0603</v>
      </c>
    </row>
    <row r="1882">
      <c r="A1882" s="389" t="s">
        <v>1973</v>
      </c>
      <c r="B1882" s="389" t="s">
        <v>137</v>
      </c>
      <c r="C1882" s="389" t="s">
        <v>357</v>
      </c>
      <c r="D1882" s="389" t="s">
        <v>357</v>
      </c>
      <c r="E1882" s="390" t="s">
        <v>37</v>
      </c>
      <c r="F1882" s="391">
        <v>7223.0</v>
      </c>
      <c r="G1882" s="391">
        <v>1582.0</v>
      </c>
      <c r="H1882" s="391">
        <v>21.9</v>
      </c>
      <c r="I1882" s="391">
        <v>1.68</v>
      </c>
      <c r="J1882" s="391">
        <v>1.39</v>
      </c>
      <c r="K1882" s="391">
        <v>281805.0</v>
      </c>
      <c r="L1882" s="391">
        <v>1.6763191E7</v>
      </c>
      <c r="M1882" s="391">
        <v>39.015</v>
      </c>
      <c r="N1882" s="38">
        <v>178.1321</v>
      </c>
    </row>
    <row r="1883">
      <c r="A1883" s="389" t="s">
        <v>1973</v>
      </c>
      <c r="B1883" s="389" t="s">
        <v>137</v>
      </c>
      <c r="C1883" s="389" t="s">
        <v>357</v>
      </c>
      <c r="D1883" s="389" t="s">
        <v>357</v>
      </c>
      <c r="E1883" s="390" t="s">
        <v>38</v>
      </c>
      <c r="F1883" s="391">
        <v>7223.0</v>
      </c>
      <c r="G1883" s="391">
        <v>937.0</v>
      </c>
      <c r="H1883" s="391">
        <v>12.97</v>
      </c>
      <c r="I1883" s="391">
        <v>1.64</v>
      </c>
      <c r="J1883" s="391">
        <v>0.85</v>
      </c>
      <c r="K1883" s="391">
        <v>274850.0</v>
      </c>
      <c r="L1883" s="391">
        <v>1.6763191E7</v>
      </c>
      <c r="M1883" s="391">
        <v>38.0521</v>
      </c>
      <c r="N1883" s="38">
        <v>293.3298</v>
      </c>
    </row>
    <row r="1884">
      <c r="A1884" s="389" t="s">
        <v>1973</v>
      </c>
      <c r="B1884" s="389" t="s">
        <v>137</v>
      </c>
      <c r="C1884" s="389" t="s">
        <v>357</v>
      </c>
      <c r="D1884" s="389" t="s">
        <v>357</v>
      </c>
      <c r="E1884" s="390" t="s">
        <v>368</v>
      </c>
      <c r="F1884" s="391">
        <v>7223.0</v>
      </c>
      <c r="G1884" s="391">
        <v>2854.0</v>
      </c>
      <c r="H1884" s="391">
        <v>39.51</v>
      </c>
      <c r="I1884" s="391">
        <v>1.4</v>
      </c>
      <c r="J1884" s="391">
        <v>1.65</v>
      </c>
      <c r="K1884" s="391">
        <v>234900.0</v>
      </c>
      <c r="L1884" s="391">
        <v>1.6763191E7</v>
      </c>
      <c r="M1884" s="391">
        <v>32.5211</v>
      </c>
      <c r="N1884" s="38">
        <v>82.3055</v>
      </c>
    </row>
    <row r="1885">
      <c r="A1885" s="389" t="s">
        <v>1973</v>
      </c>
      <c r="B1885" s="389" t="s">
        <v>137</v>
      </c>
      <c r="C1885" s="389" t="s">
        <v>357</v>
      </c>
      <c r="D1885" s="389" t="s">
        <v>357</v>
      </c>
      <c r="E1885" s="390" t="s">
        <v>27</v>
      </c>
      <c r="F1885" s="391">
        <v>7223.0</v>
      </c>
      <c r="G1885" s="391">
        <v>590.0</v>
      </c>
      <c r="H1885" s="391">
        <v>8.17</v>
      </c>
      <c r="I1885" s="391">
        <v>0.59</v>
      </c>
      <c r="J1885" s="391">
        <v>0.56</v>
      </c>
      <c r="K1885" s="391">
        <v>98670.0</v>
      </c>
      <c r="L1885" s="391">
        <v>1.6763191E7</v>
      </c>
      <c r="M1885" s="391">
        <v>13.6605</v>
      </c>
      <c r="N1885" s="38">
        <v>167.2373</v>
      </c>
    </row>
    <row r="1886">
      <c r="A1886" s="389" t="s">
        <v>1973</v>
      </c>
      <c r="B1886" s="389" t="s">
        <v>137</v>
      </c>
      <c r="C1886" s="389" t="s">
        <v>357</v>
      </c>
      <c r="D1886" s="389" t="s">
        <v>357</v>
      </c>
      <c r="E1886" s="390" t="s">
        <v>30</v>
      </c>
      <c r="F1886" s="391">
        <v>7223.0</v>
      </c>
      <c r="G1886" s="391">
        <v>1192.0</v>
      </c>
      <c r="H1886" s="391">
        <v>16.5</v>
      </c>
      <c r="I1886" s="391">
        <v>0.49</v>
      </c>
      <c r="J1886" s="391">
        <v>0.51</v>
      </c>
      <c r="K1886" s="391">
        <v>82800.0</v>
      </c>
      <c r="L1886" s="391">
        <v>1.6763191E7</v>
      </c>
      <c r="M1886" s="391">
        <v>11.4634</v>
      </c>
      <c r="N1886" s="38">
        <v>69.4631</v>
      </c>
    </row>
    <row r="1887">
      <c r="A1887" s="389" t="s">
        <v>1973</v>
      </c>
      <c r="B1887" s="389" t="s">
        <v>137</v>
      </c>
      <c r="C1887" s="389" t="s">
        <v>357</v>
      </c>
      <c r="D1887" s="389" t="s">
        <v>357</v>
      </c>
      <c r="E1887" s="390" t="s">
        <v>163</v>
      </c>
      <c r="F1887" s="391">
        <v>7223.0</v>
      </c>
      <c r="G1887" s="391">
        <v>1245.0</v>
      </c>
      <c r="H1887" s="391">
        <v>17.24</v>
      </c>
      <c r="I1887" s="391">
        <v>0.49</v>
      </c>
      <c r="J1887" s="391">
        <v>0.5</v>
      </c>
      <c r="K1887" s="391">
        <v>82375.0</v>
      </c>
      <c r="L1887" s="391">
        <v>1.6763191E7</v>
      </c>
      <c r="M1887" s="391">
        <v>11.4045</v>
      </c>
      <c r="N1887" s="38">
        <v>66.1647</v>
      </c>
    </row>
    <row r="1888">
      <c r="A1888" s="389" t="s">
        <v>1973</v>
      </c>
      <c r="B1888" s="389" t="s">
        <v>137</v>
      </c>
      <c r="C1888" s="389" t="s">
        <v>6</v>
      </c>
      <c r="D1888" s="389" t="s">
        <v>591</v>
      </c>
      <c r="E1888" s="390" t="s">
        <v>370</v>
      </c>
      <c r="F1888" s="391">
        <v>7178.0</v>
      </c>
      <c r="G1888" s="391">
        <v>7144.0</v>
      </c>
      <c r="H1888" s="391">
        <v>99.53</v>
      </c>
      <c r="I1888" s="391">
        <v>68.91</v>
      </c>
      <c r="J1888" s="391">
        <v>64.52</v>
      </c>
      <c r="K1888" s="391">
        <v>137807.0</v>
      </c>
      <c r="L1888" s="391">
        <v>199993.0</v>
      </c>
      <c r="M1888" s="391">
        <v>19.1985</v>
      </c>
      <c r="N1888" s="38">
        <v>19.2899</v>
      </c>
    </row>
    <row r="1889">
      <c r="A1889" s="389" t="s">
        <v>1973</v>
      </c>
      <c r="B1889" s="389" t="s">
        <v>137</v>
      </c>
      <c r="C1889" s="389" t="s">
        <v>6</v>
      </c>
      <c r="D1889" s="389" t="s">
        <v>591</v>
      </c>
      <c r="E1889" s="390" t="s">
        <v>371</v>
      </c>
      <c r="F1889" s="391">
        <v>7178.0</v>
      </c>
      <c r="G1889" s="391">
        <v>4646.0</v>
      </c>
      <c r="H1889" s="391">
        <v>64.73</v>
      </c>
      <c r="I1889" s="391">
        <v>8.74</v>
      </c>
      <c r="J1889" s="391">
        <v>12.9</v>
      </c>
      <c r="K1889" s="391">
        <v>17476.0</v>
      </c>
      <c r="L1889" s="391">
        <v>199993.0</v>
      </c>
      <c r="M1889" s="391">
        <v>2.4347</v>
      </c>
      <c r="N1889" s="38">
        <v>3.7615</v>
      </c>
    </row>
    <row r="1890">
      <c r="A1890" s="389" t="s">
        <v>1973</v>
      </c>
      <c r="B1890" s="389" t="s">
        <v>137</v>
      </c>
      <c r="C1890" s="389" t="s">
        <v>6</v>
      </c>
      <c r="D1890" s="389" t="s">
        <v>591</v>
      </c>
      <c r="E1890" s="390" t="s">
        <v>365</v>
      </c>
      <c r="F1890" s="391">
        <v>7178.0</v>
      </c>
      <c r="G1890" s="391">
        <v>4874.0</v>
      </c>
      <c r="H1890" s="391">
        <v>67.9</v>
      </c>
      <c r="I1890" s="391">
        <v>5.21</v>
      </c>
      <c r="J1890" s="391">
        <v>6.14</v>
      </c>
      <c r="K1890" s="391">
        <v>10429.0</v>
      </c>
      <c r="L1890" s="391">
        <v>199993.0</v>
      </c>
      <c r="M1890" s="391">
        <v>1.4529</v>
      </c>
      <c r="N1890" s="38">
        <v>2.1397</v>
      </c>
    </row>
    <row r="1891">
      <c r="A1891" s="389" t="s">
        <v>1973</v>
      </c>
      <c r="B1891" s="389" t="s">
        <v>137</v>
      </c>
      <c r="C1891" s="389" t="s">
        <v>6</v>
      </c>
      <c r="D1891" s="389" t="s">
        <v>591</v>
      </c>
      <c r="E1891" s="390" t="s">
        <v>369</v>
      </c>
      <c r="F1891" s="391">
        <v>7178.0</v>
      </c>
      <c r="G1891" s="391">
        <v>4617.0</v>
      </c>
      <c r="H1891" s="391">
        <v>64.32</v>
      </c>
      <c r="I1891" s="391">
        <v>4.32</v>
      </c>
      <c r="J1891" s="391">
        <v>4.58</v>
      </c>
      <c r="K1891" s="391">
        <v>8634.0</v>
      </c>
      <c r="L1891" s="391">
        <v>199993.0</v>
      </c>
      <c r="M1891" s="391">
        <v>1.2028</v>
      </c>
      <c r="N1891" s="38">
        <v>1.87</v>
      </c>
    </row>
    <row r="1892">
      <c r="A1892" s="389" t="s">
        <v>1973</v>
      </c>
      <c r="B1892" s="389" t="s">
        <v>137</v>
      </c>
      <c r="C1892" s="389" t="s">
        <v>6</v>
      </c>
      <c r="D1892" s="389" t="s">
        <v>591</v>
      </c>
      <c r="E1892" s="390" t="s">
        <v>44</v>
      </c>
      <c r="F1892" s="391">
        <v>7178.0</v>
      </c>
      <c r="G1892" s="391">
        <v>3012.0</v>
      </c>
      <c r="H1892" s="391">
        <v>41.96</v>
      </c>
      <c r="I1892" s="391">
        <v>3.44</v>
      </c>
      <c r="J1892" s="391">
        <v>2.87</v>
      </c>
      <c r="K1892" s="391">
        <v>6885.0</v>
      </c>
      <c r="L1892" s="391">
        <v>199993.0</v>
      </c>
      <c r="M1892" s="391">
        <v>0.9592</v>
      </c>
      <c r="N1892" s="38">
        <v>2.2859</v>
      </c>
    </row>
    <row r="1893">
      <c r="A1893" s="389" t="s">
        <v>1973</v>
      </c>
      <c r="B1893" s="389" t="s">
        <v>137</v>
      </c>
      <c r="C1893" s="389" t="s">
        <v>6</v>
      </c>
      <c r="D1893" s="389" t="s">
        <v>591</v>
      </c>
      <c r="E1893" s="390" t="s">
        <v>367</v>
      </c>
      <c r="F1893" s="391">
        <v>7178.0</v>
      </c>
      <c r="G1893" s="391">
        <v>1507.0</v>
      </c>
      <c r="H1893" s="391">
        <v>20.99</v>
      </c>
      <c r="I1893" s="391">
        <v>3.0</v>
      </c>
      <c r="J1893" s="391">
        <v>2.07</v>
      </c>
      <c r="K1893" s="391">
        <v>5993.0</v>
      </c>
      <c r="L1893" s="391">
        <v>199993.0</v>
      </c>
      <c r="M1893" s="391">
        <v>0.8349</v>
      </c>
      <c r="N1893" s="38">
        <v>3.9768</v>
      </c>
    </row>
    <row r="1894">
      <c r="A1894" s="389" t="s">
        <v>1973</v>
      </c>
      <c r="B1894" s="389" t="s">
        <v>137</v>
      </c>
      <c r="C1894" s="389" t="s">
        <v>6</v>
      </c>
      <c r="D1894" s="389" t="s">
        <v>591</v>
      </c>
      <c r="E1894" s="390" t="s">
        <v>39</v>
      </c>
      <c r="F1894" s="391">
        <v>7178.0</v>
      </c>
      <c r="G1894" s="391">
        <v>3874.0</v>
      </c>
      <c r="H1894" s="391">
        <v>53.97</v>
      </c>
      <c r="I1894" s="391">
        <v>2.71</v>
      </c>
      <c r="J1894" s="391">
        <v>3.14</v>
      </c>
      <c r="K1894" s="391">
        <v>5426.0</v>
      </c>
      <c r="L1894" s="391">
        <v>199993.0</v>
      </c>
      <c r="M1894" s="391">
        <v>0.7559</v>
      </c>
      <c r="N1894" s="38">
        <v>1.4006</v>
      </c>
    </row>
    <row r="1895">
      <c r="A1895" s="389" t="s">
        <v>1973</v>
      </c>
      <c r="B1895" s="389" t="s">
        <v>137</v>
      </c>
      <c r="C1895" s="389" t="s">
        <v>6</v>
      </c>
      <c r="D1895" s="389" t="s">
        <v>591</v>
      </c>
      <c r="E1895" s="390" t="s">
        <v>108</v>
      </c>
      <c r="F1895" s="391">
        <v>7178.0</v>
      </c>
      <c r="G1895" s="391">
        <v>1284.0</v>
      </c>
      <c r="H1895" s="391">
        <v>17.89</v>
      </c>
      <c r="I1895" s="391">
        <v>1.27</v>
      </c>
      <c r="J1895" s="391">
        <v>1.03</v>
      </c>
      <c r="K1895" s="391">
        <v>2535.0</v>
      </c>
      <c r="L1895" s="391">
        <v>199993.0</v>
      </c>
      <c r="M1895" s="391">
        <v>0.3532</v>
      </c>
      <c r="N1895" s="38">
        <v>1.9743</v>
      </c>
    </row>
    <row r="1896">
      <c r="A1896" s="389" t="s">
        <v>1973</v>
      </c>
      <c r="B1896" s="389" t="s">
        <v>137</v>
      </c>
      <c r="C1896" s="389" t="s">
        <v>6</v>
      </c>
      <c r="D1896" s="389" t="s">
        <v>591</v>
      </c>
      <c r="E1896" s="390" t="s">
        <v>368</v>
      </c>
      <c r="F1896" s="391">
        <v>7178.0</v>
      </c>
      <c r="G1896" s="391">
        <v>2238.0</v>
      </c>
      <c r="H1896" s="391">
        <v>31.18</v>
      </c>
      <c r="I1896" s="391">
        <v>1.27</v>
      </c>
      <c r="J1896" s="391">
        <v>1.52</v>
      </c>
      <c r="K1896" s="391">
        <v>2539.0</v>
      </c>
      <c r="L1896" s="391">
        <v>199993.0</v>
      </c>
      <c r="M1896" s="391">
        <v>0.3537</v>
      </c>
      <c r="N1896" s="38">
        <v>1.1345</v>
      </c>
    </row>
    <row r="1897">
      <c r="A1897" s="389" t="s">
        <v>1973</v>
      </c>
      <c r="B1897" s="389" t="s">
        <v>137</v>
      </c>
      <c r="C1897" s="389" t="s">
        <v>6</v>
      </c>
      <c r="D1897" s="389" t="s">
        <v>591</v>
      </c>
      <c r="E1897" s="390" t="s">
        <v>163</v>
      </c>
      <c r="F1897" s="391">
        <v>7178.0</v>
      </c>
      <c r="G1897" s="391">
        <v>980.0</v>
      </c>
      <c r="H1897" s="391">
        <v>13.65</v>
      </c>
      <c r="I1897" s="391">
        <v>0.49</v>
      </c>
      <c r="J1897" s="391">
        <v>0.56</v>
      </c>
      <c r="K1897" s="391">
        <v>989.0</v>
      </c>
      <c r="L1897" s="391">
        <v>199993.0</v>
      </c>
      <c r="M1897" s="391">
        <v>0.1378</v>
      </c>
      <c r="N1897" s="38">
        <v>1.0092</v>
      </c>
    </row>
    <row r="1898">
      <c r="A1898" s="389" t="s">
        <v>1973</v>
      </c>
      <c r="B1898" s="389" t="s">
        <v>137</v>
      </c>
      <c r="C1898" s="389" t="s">
        <v>6</v>
      </c>
      <c r="D1898" s="389" t="s">
        <v>591</v>
      </c>
      <c r="E1898" s="390" t="s">
        <v>30</v>
      </c>
      <c r="F1898" s="391">
        <v>7178.0</v>
      </c>
      <c r="G1898" s="391">
        <v>942.0</v>
      </c>
      <c r="H1898" s="391">
        <v>13.12</v>
      </c>
      <c r="I1898" s="391">
        <v>0.47</v>
      </c>
      <c r="J1898" s="391">
        <v>0.5</v>
      </c>
      <c r="K1898" s="391">
        <v>946.0</v>
      </c>
      <c r="L1898" s="391">
        <v>199993.0</v>
      </c>
      <c r="M1898" s="391">
        <v>0.1318</v>
      </c>
      <c r="N1898" s="38">
        <v>1.0042</v>
      </c>
    </row>
    <row r="1899">
      <c r="A1899" s="389" t="s">
        <v>1973</v>
      </c>
      <c r="B1899" s="389" t="s">
        <v>137</v>
      </c>
      <c r="C1899" s="389" t="s">
        <v>6</v>
      </c>
      <c r="D1899" s="389" t="s">
        <v>591</v>
      </c>
      <c r="E1899" s="390" t="s">
        <v>45</v>
      </c>
      <c r="F1899" s="391">
        <v>7178.0</v>
      </c>
      <c r="G1899" s="391">
        <v>136.0</v>
      </c>
      <c r="H1899" s="391">
        <v>1.89</v>
      </c>
      <c r="I1899" s="391">
        <v>0.07</v>
      </c>
      <c r="J1899" s="391">
        <v>0.06</v>
      </c>
      <c r="K1899" s="391">
        <v>144.0</v>
      </c>
      <c r="L1899" s="391">
        <v>199993.0</v>
      </c>
      <c r="M1899" s="391">
        <v>0.0201</v>
      </c>
      <c r="N1899" s="38">
        <v>1.0588</v>
      </c>
    </row>
    <row r="1900">
      <c r="A1900" s="389" t="s">
        <v>1973</v>
      </c>
      <c r="B1900" s="389" t="s">
        <v>137</v>
      </c>
      <c r="C1900" s="389" t="s">
        <v>6</v>
      </c>
      <c r="D1900" s="389" t="s">
        <v>591</v>
      </c>
      <c r="E1900" s="390" t="s">
        <v>37</v>
      </c>
      <c r="F1900" s="391">
        <v>7178.0</v>
      </c>
      <c r="G1900" s="391">
        <v>113.0</v>
      </c>
      <c r="H1900" s="391">
        <v>1.57</v>
      </c>
      <c r="I1900" s="391">
        <v>0.06</v>
      </c>
      <c r="J1900" s="391">
        <v>0.06</v>
      </c>
      <c r="K1900" s="391">
        <v>118.0</v>
      </c>
      <c r="L1900" s="391">
        <v>199993.0</v>
      </c>
      <c r="M1900" s="391">
        <v>0.0164</v>
      </c>
      <c r="N1900" s="38">
        <v>1.0442</v>
      </c>
    </row>
    <row r="1901">
      <c r="A1901" s="389" t="s">
        <v>1973</v>
      </c>
      <c r="B1901" s="389" t="s">
        <v>137</v>
      </c>
      <c r="C1901" s="389" t="s">
        <v>6</v>
      </c>
      <c r="D1901" s="389" t="s">
        <v>591</v>
      </c>
      <c r="E1901" s="390" t="s">
        <v>363</v>
      </c>
      <c r="F1901" s="391">
        <v>7178.0</v>
      </c>
      <c r="G1901" s="391">
        <v>33.0</v>
      </c>
      <c r="H1901" s="391">
        <v>0.46</v>
      </c>
      <c r="I1901" s="391">
        <v>0.02</v>
      </c>
      <c r="J1901" s="391">
        <v>0.02</v>
      </c>
      <c r="K1901" s="391">
        <v>34.0</v>
      </c>
      <c r="L1901" s="391">
        <v>199993.0</v>
      </c>
      <c r="M1901" s="391">
        <v>0.0047</v>
      </c>
      <c r="N1901" s="38">
        <v>1.0303</v>
      </c>
    </row>
    <row r="1902">
      <c r="A1902" s="389" t="s">
        <v>1973</v>
      </c>
      <c r="B1902" s="389" t="s">
        <v>137</v>
      </c>
      <c r="C1902" s="389" t="s">
        <v>6</v>
      </c>
      <c r="D1902" s="389" t="s">
        <v>591</v>
      </c>
      <c r="E1902" s="390" t="s">
        <v>38</v>
      </c>
      <c r="F1902" s="391">
        <v>7178.0</v>
      </c>
      <c r="G1902" s="391">
        <v>26.0</v>
      </c>
      <c r="H1902" s="391">
        <v>0.36</v>
      </c>
      <c r="I1902" s="391">
        <v>0.01</v>
      </c>
      <c r="J1902" s="391">
        <v>0.02</v>
      </c>
      <c r="K1902" s="391">
        <v>26.0</v>
      </c>
      <c r="L1902" s="391">
        <v>199993.0</v>
      </c>
      <c r="M1902" s="391">
        <v>0.0036</v>
      </c>
      <c r="N1902" s="38">
        <v>1.0</v>
      </c>
    </row>
    <row r="1903">
      <c r="A1903" s="389" t="s">
        <v>1973</v>
      </c>
      <c r="B1903" s="389" t="s">
        <v>137</v>
      </c>
      <c r="C1903" s="389" t="s">
        <v>6</v>
      </c>
      <c r="D1903" s="389" t="s">
        <v>591</v>
      </c>
      <c r="E1903" s="390" t="s">
        <v>27</v>
      </c>
      <c r="F1903" s="391">
        <v>7178.0</v>
      </c>
      <c r="G1903" s="391">
        <v>7.0</v>
      </c>
      <c r="H1903" s="391">
        <v>0.1</v>
      </c>
      <c r="I1903" s="391">
        <v>0.0</v>
      </c>
      <c r="J1903" s="391">
        <v>0.0</v>
      </c>
      <c r="K1903" s="391">
        <v>8.0</v>
      </c>
      <c r="L1903" s="391">
        <v>199993.0</v>
      </c>
      <c r="M1903" s="391">
        <v>0.0011</v>
      </c>
      <c r="N1903" s="38">
        <v>1.1429</v>
      </c>
    </row>
    <row r="1904">
      <c r="A1904" s="389" t="s">
        <v>1973</v>
      </c>
      <c r="B1904" s="389" t="s">
        <v>137</v>
      </c>
      <c r="C1904" s="389" t="s">
        <v>6</v>
      </c>
      <c r="D1904" s="389" t="s">
        <v>591</v>
      </c>
      <c r="E1904" s="390" t="s">
        <v>282</v>
      </c>
      <c r="F1904" s="391">
        <v>7178.0</v>
      </c>
      <c r="G1904" s="391">
        <v>2.0</v>
      </c>
      <c r="H1904" s="391">
        <v>0.03</v>
      </c>
      <c r="I1904" s="391">
        <v>0.0</v>
      </c>
      <c r="J1904" s="391">
        <v>0.0</v>
      </c>
      <c r="K1904" s="391">
        <v>3.0</v>
      </c>
      <c r="L1904" s="391">
        <v>199993.0</v>
      </c>
      <c r="M1904" s="391">
        <v>4.0E-4</v>
      </c>
      <c r="N1904" s="38">
        <v>1.5</v>
      </c>
    </row>
    <row r="1905">
      <c r="A1905" s="389" t="s">
        <v>1973</v>
      </c>
      <c r="B1905" s="389" t="s">
        <v>137</v>
      </c>
      <c r="C1905" s="389" t="s">
        <v>6</v>
      </c>
      <c r="D1905" s="389" t="s">
        <v>591</v>
      </c>
      <c r="E1905" s="390" t="s">
        <v>283</v>
      </c>
      <c r="F1905" s="391">
        <v>7178.0</v>
      </c>
      <c r="G1905" s="391">
        <v>1.0</v>
      </c>
      <c r="H1905" s="391">
        <v>0.01</v>
      </c>
      <c r="I1905" s="391">
        <v>0.0</v>
      </c>
      <c r="J1905" s="391">
        <v>0.0</v>
      </c>
      <c r="K1905" s="391">
        <v>1.0</v>
      </c>
      <c r="L1905" s="391">
        <v>199993.0</v>
      </c>
      <c r="M1905" s="391">
        <v>1.0E-4</v>
      </c>
      <c r="N1905" s="38">
        <v>1.0</v>
      </c>
    </row>
    <row r="1906">
      <c r="A1906" s="389" t="s">
        <v>1973</v>
      </c>
      <c r="B1906" s="389" t="s">
        <v>137</v>
      </c>
      <c r="C1906" s="389" t="s">
        <v>10</v>
      </c>
      <c r="D1906" s="389" t="s">
        <v>591</v>
      </c>
      <c r="E1906" s="390" t="s">
        <v>370</v>
      </c>
      <c r="F1906" s="391">
        <v>7183.0</v>
      </c>
      <c r="G1906" s="391">
        <v>7022.0</v>
      </c>
      <c r="H1906" s="391">
        <v>97.76</v>
      </c>
      <c r="I1906" s="391">
        <v>46.8</v>
      </c>
      <c r="J1906" s="391">
        <v>44.2</v>
      </c>
      <c r="K1906" s="391">
        <v>68209.0</v>
      </c>
      <c r="L1906" s="391">
        <v>145756.0</v>
      </c>
      <c r="M1906" s="391">
        <v>9.4959</v>
      </c>
      <c r="N1906" s="38">
        <v>9.7136</v>
      </c>
    </row>
    <row r="1907">
      <c r="A1907" s="389" t="s">
        <v>1973</v>
      </c>
      <c r="B1907" s="389" t="s">
        <v>137</v>
      </c>
      <c r="C1907" s="389" t="s">
        <v>10</v>
      </c>
      <c r="D1907" s="389" t="s">
        <v>591</v>
      </c>
      <c r="E1907" s="390" t="s">
        <v>365</v>
      </c>
      <c r="F1907" s="391">
        <v>7183.0</v>
      </c>
      <c r="G1907" s="391">
        <v>6682.0</v>
      </c>
      <c r="H1907" s="391">
        <v>93.03</v>
      </c>
      <c r="I1907" s="391">
        <v>22.18</v>
      </c>
      <c r="J1907" s="391">
        <v>26.8</v>
      </c>
      <c r="K1907" s="391">
        <v>32325.0</v>
      </c>
      <c r="L1907" s="391">
        <v>145756.0</v>
      </c>
      <c r="M1907" s="391">
        <v>4.5002</v>
      </c>
      <c r="N1907" s="38">
        <v>4.8376</v>
      </c>
    </row>
    <row r="1908">
      <c r="A1908" s="389" t="s">
        <v>1973</v>
      </c>
      <c r="B1908" s="389" t="s">
        <v>137</v>
      </c>
      <c r="C1908" s="389" t="s">
        <v>10</v>
      </c>
      <c r="D1908" s="389" t="s">
        <v>591</v>
      </c>
      <c r="E1908" s="390" t="s">
        <v>371</v>
      </c>
      <c r="F1908" s="391">
        <v>7183.0</v>
      </c>
      <c r="G1908" s="391">
        <v>4602.0</v>
      </c>
      <c r="H1908" s="391">
        <v>64.07</v>
      </c>
      <c r="I1908" s="391">
        <v>5.14</v>
      </c>
      <c r="J1908" s="391">
        <v>7.44</v>
      </c>
      <c r="K1908" s="391">
        <v>7495.0</v>
      </c>
      <c r="L1908" s="391">
        <v>145756.0</v>
      </c>
      <c r="M1908" s="391">
        <v>1.0434</v>
      </c>
      <c r="N1908" s="38">
        <v>1.6286</v>
      </c>
    </row>
    <row r="1909">
      <c r="A1909" s="389" t="s">
        <v>1973</v>
      </c>
      <c r="B1909" s="389" t="s">
        <v>137</v>
      </c>
      <c r="C1909" s="389" t="s">
        <v>10</v>
      </c>
      <c r="D1909" s="389" t="s">
        <v>591</v>
      </c>
      <c r="E1909" s="390" t="s">
        <v>363</v>
      </c>
      <c r="F1909" s="391">
        <v>7183.0</v>
      </c>
      <c r="G1909" s="391">
        <v>1512.0</v>
      </c>
      <c r="H1909" s="391">
        <v>21.05</v>
      </c>
      <c r="I1909" s="391">
        <v>4.3</v>
      </c>
      <c r="J1909" s="391">
        <v>2.23</v>
      </c>
      <c r="K1909" s="391">
        <v>6273.0</v>
      </c>
      <c r="L1909" s="391">
        <v>145756.0</v>
      </c>
      <c r="M1909" s="391">
        <v>0.8733</v>
      </c>
      <c r="N1909" s="38">
        <v>4.1488</v>
      </c>
    </row>
    <row r="1910">
      <c r="A1910" s="389" t="s">
        <v>1973</v>
      </c>
      <c r="B1910" s="389" t="s">
        <v>137</v>
      </c>
      <c r="C1910" s="389" t="s">
        <v>10</v>
      </c>
      <c r="D1910" s="389" t="s">
        <v>591</v>
      </c>
      <c r="E1910" s="390" t="s">
        <v>108</v>
      </c>
      <c r="F1910" s="391">
        <v>7183.0</v>
      </c>
      <c r="G1910" s="391">
        <v>1455.0</v>
      </c>
      <c r="H1910" s="391">
        <v>20.26</v>
      </c>
      <c r="I1910" s="391">
        <v>3.63</v>
      </c>
      <c r="J1910" s="391">
        <v>2.57</v>
      </c>
      <c r="K1910" s="391">
        <v>5296.0</v>
      </c>
      <c r="L1910" s="391">
        <v>145756.0</v>
      </c>
      <c r="M1910" s="391">
        <v>0.7373</v>
      </c>
      <c r="N1910" s="38">
        <v>3.6399</v>
      </c>
    </row>
    <row r="1911">
      <c r="A1911" s="389" t="s">
        <v>1973</v>
      </c>
      <c r="B1911" s="389" t="s">
        <v>137</v>
      </c>
      <c r="C1911" s="389" t="s">
        <v>10</v>
      </c>
      <c r="D1911" s="389" t="s">
        <v>591</v>
      </c>
      <c r="E1911" s="390" t="s">
        <v>39</v>
      </c>
      <c r="F1911" s="391">
        <v>7183.0</v>
      </c>
      <c r="G1911" s="391">
        <v>3732.0</v>
      </c>
      <c r="H1911" s="391">
        <v>51.96</v>
      </c>
      <c r="I1911" s="391">
        <v>3.53</v>
      </c>
      <c r="J1911" s="391">
        <v>4.14</v>
      </c>
      <c r="K1911" s="391">
        <v>5147.0</v>
      </c>
      <c r="L1911" s="391">
        <v>145756.0</v>
      </c>
      <c r="M1911" s="391">
        <v>0.7166</v>
      </c>
      <c r="N1911" s="38">
        <v>1.3792</v>
      </c>
    </row>
    <row r="1912">
      <c r="A1912" s="389" t="s">
        <v>1973</v>
      </c>
      <c r="B1912" s="389" t="s">
        <v>137</v>
      </c>
      <c r="C1912" s="389" t="s">
        <v>10</v>
      </c>
      <c r="D1912" s="389" t="s">
        <v>591</v>
      </c>
      <c r="E1912" s="390" t="s">
        <v>369</v>
      </c>
      <c r="F1912" s="391">
        <v>7183.0</v>
      </c>
      <c r="G1912" s="391">
        <v>2491.0</v>
      </c>
      <c r="H1912" s="391">
        <v>34.68</v>
      </c>
      <c r="I1912" s="391">
        <v>3.41</v>
      </c>
      <c r="J1912" s="391">
        <v>2.98</v>
      </c>
      <c r="K1912" s="391">
        <v>4969.0</v>
      </c>
      <c r="L1912" s="391">
        <v>145756.0</v>
      </c>
      <c r="M1912" s="391">
        <v>0.6918</v>
      </c>
      <c r="N1912" s="38">
        <v>1.9948</v>
      </c>
    </row>
    <row r="1913">
      <c r="A1913" s="389" t="s">
        <v>1973</v>
      </c>
      <c r="B1913" s="389" t="s">
        <v>137</v>
      </c>
      <c r="C1913" s="389" t="s">
        <v>10</v>
      </c>
      <c r="D1913" s="389" t="s">
        <v>591</v>
      </c>
      <c r="E1913" s="390" t="s">
        <v>366</v>
      </c>
      <c r="F1913" s="391">
        <v>7183.0</v>
      </c>
      <c r="G1913" s="391">
        <v>2113.0</v>
      </c>
      <c r="H1913" s="391">
        <v>29.42</v>
      </c>
      <c r="I1913" s="391">
        <v>2.26</v>
      </c>
      <c r="J1913" s="391">
        <v>1.57</v>
      </c>
      <c r="K1913" s="391">
        <v>3291.0</v>
      </c>
      <c r="L1913" s="391">
        <v>145756.0</v>
      </c>
      <c r="M1913" s="391">
        <v>0.4582</v>
      </c>
      <c r="N1913" s="38">
        <v>1.5575</v>
      </c>
    </row>
    <row r="1914">
      <c r="A1914" s="389" t="s">
        <v>1973</v>
      </c>
      <c r="B1914" s="389" t="s">
        <v>137</v>
      </c>
      <c r="C1914" s="389" t="s">
        <v>10</v>
      </c>
      <c r="D1914" s="389" t="s">
        <v>591</v>
      </c>
      <c r="E1914" s="390" t="s">
        <v>45</v>
      </c>
      <c r="F1914" s="391">
        <v>7183.0</v>
      </c>
      <c r="G1914" s="391">
        <v>1881.0</v>
      </c>
      <c r="H1914" s="391">
        <v>26.19</v>
      </c>
      <c r="I1914" s="391">
        <v>1.89</v>
      </c>
      <c r="J1914" s="391">
        <v>1.79</v>
      </c>
      <c r="K1914" s="391">
        <v>2756.0</v>
      </c>
      <c r="L1914" s="391">
        <v>145756.0</v>
      </c>
      <c r="M1914" s="391">
        <v>0.3837</v>
      </c>
      <c r="N1914" s="38">
        <v>1.4652</v>
      </c>
    </row>
    <row r="1915">
      <c r="A1915" s="389" t="s">
        <v>1973</v>
      </c>
      <c r="B1915" s="389" t="s">
        <v>137</v>
      </c>
      <c r="C1915" s="389" t="s">
        <v>10</v>
      </c>
      <c r="D1915" s="389" t="s">
        <v>591</v>
      </c>
      <c r="E1915" s="390" t="s">
        <v>35</v>
      </c>
      <c r="F1915" s="391">
        <v>7183.0</v>
      </c>
      <c r="G1915" s="391">
        <v>776.0</v>
      </c>
      <c r="H1915" s="391">
        <v>10.8</v>
      </c>
      <c r="I1915" s="391">
        <v>1.45</v>
      </c>
      <c r="J1915" s="391">
        <v>1.05</v>
      </c>
      <c r="K1915" s="391">
        <v>2114.0</v>
      </c>
      <c r="L1915" s="391">
        <v>145756.0</v>
      </c>
      <c r="M1915" s="391">
        <v>0.2943</v>
      </c>
      <c r="N1915" s="38">
        <v>2.7242</v>
      </c>
    </row>
    <row r="1916">
      <c r="A1916" s="389" t="s">
        <v>1973</v>
      </c>
      <c r="B1916" s="389" t="s">
        <v>137</v>
      </c>
      <c r="C1916" s="389" t="s">
        <v>10</v>
      </c>
      <c r="D1916" s="389" t="s">
        <v>591</v>
      </c>
      <c r="E1916" s="390" t="s">
        <v>37</v>
      </c>
      <c r="F1916" s="391">
        <v>7183.0</v>
      </c>
      <c r="G1916" s="391">
        <v>1344.0</v>
      </c>
      <c r="H1916" s="391">
        <v>18.71</v>
      </c>
      <c r="I1916" s="391">
        <v>1.37</v>
      </c>
      <c r="J1916" s="391">
        <v>1.26</v>
      </c>
      <c r="K1916" s="391">
        <v>1990.0</v>
      </c>
      <c r="L1916" s="391">
        <v>145756.0</v>
      </c>
      <c r="M1916" s="391">
        <v>0.277</v>
      </c>
      <c r="N1916" s="38">
        <v>1.4807</v>
      </c>
    </row>
    <row r="1917">
      <c r="A1917" s="389" t="s">
        <v>1973</v>
      </c>
      <c r="B1917" s="389" t="s">
        <v>137</v>
      </c>
      <c r="C1917" s="389" t="s">
        <v>10</v>
      </c>
      <c r="D1917" s="389" t="s">
        <v>591</v>
      </c>
      <c r="E1917" s="390" t="s">
        <v>284</v>
      </c>
      <c r="F1917" s="391">
        <v>7183.0</v>
      </c>
      <c r="G1917" s="391">
        <v>1281.0</v>
      </c>
      <c r="H1917" s="391">
        <v>17.83</v>
      </c>
      <c r="I1917" s="391">
        <v>1.08</v>
      </c>
      <c r="J1917" s="391">
        <v>1.1</v>
      </c>
      <c r="K1917" s="391">
        <v>1578.0</v>
      </c>
      <c r="L1917" s="391">
        <v>145756.0</v>
      </c>
      <c r="M1917" s="391">
        <v>0.2197</v>
      </c>
      <c r="N1917" s="38">
        <v>1.2319</v>
      </c>
    </row>
    <row r="1918">
      <c r="A1918" s="389" t="s">
        <v>1973</v>
      </c>
      <c r="B1918" s="389" t="s">
        <v>137</v>
      </c>
      <c r="C1918" s="389" t="s">
        <v>10</v>
      </c>
      <c r="D1918" s="389" t="s">
        <v>591</v>
      </c>
      <c r="E1918" s="390" t="s">
        <v>283</v>
      </c>
      <c r="F1918" s="391">
        <v>7183.0</v>
      </c>
      <c r="G1918" s="391">
        <v>978.0</v>
      </c>
      <c r="H1918" s="391">
        <v>13.62</v>
      </c>
      <c r="I1918" s="391">
        <v>0.75</v>
      </c>
      <c r="J1918" s="391">
        <v>0.91</v>
      </c>
      <c r="K1918" s="391">
        <v>1092.0</v>
      </c>
      <c r="L1918" s="391">
        <v>145756.0</v>
      </c>
      <c r="M1918" s="391">
        <v>0.152</v>
      </c>
      <c r="N1918" s="38">
        <v>1.1166</v>
      </c>
    </row>
    <row r="1919">
      <c r="A1919" s="389" t="s">
        <v>1973</v>
      </c>
      <c r="B1919" s="389" t="s">
        <v>137</v>
      </c>
      <c r="C1919" s="389" t="s">
        <v>10</v>
      </c>
      <c r="D1919" s="389" t="s">
        <v>591</v>
      </c>
      <c r="E1919" s="390" t="s">
        <v>282</v>
      </c>
      <c r="F1919" s="391">
        <v>7183.0</v>
      </c>
      <c r="G1919" s="391">
        <v>937.0</v>
      </c>
      <c r="H1919" s="391">
        <v>13.04</v>
      </c>
      <c r="I1919" s="391">
        <v>0.72</v>
      </c>
      <c r="J1919" s="391">
        <v>0.76</v>
      </c>
      <c r="K1919" s="391">
        <v>1055.0</v>
      </c>
      <c r="L1919" s="391">
        <v>145756.0</v>
      </c>
      <c r="M1919" s="391">
        <v>0.1469</v>
      </c>
      <c r="N1919" s="38">
        <v>1.1259</v>
      </c>
    </row>
    <row r="1920">
      <c r="A1920" s="389" t="s">
        <v>1973</v>
      </c>
      <c r="B1920" s="389" t="s">
        <v>137</v>
      </c>
      <c r="C1920" s="389" t="s">
        <v>10</v>
      </c>
      <c r="D1920" s="389" t="s">
        <v>591</v>
      </c>
      <c r="E1920" s="390" t="s">
        <v>30</v>
      </c>
      <c r="F1920" s="391">
        <v>7183.0</v>
      </c>
      <c r="G1920" s="391">
        <v>778.0</v>
      </c>
      <c r="H1920" s="391">
        <v>10.83</v>
      </c>
      <c r="I1920" s="391">
        <v>0.54</v>
      </c>
      <c r="J1920" s="391">
        <v>0.47</v>
      </c>
      <c r="K1920" s="391">
        <v>784.0</v>
      </c>
      <c r="L1920" s="391">
        <v>145756.0</v>
      </c>
      <c r="M1920" s="391">
        <v>0.1091</v>
      </c>
      <c r="N1920" s="38">
        <v>1.0077</v>
      </c>
    </row>
    <row r="1921">
      <c r="A1921" s="389" t="s">
        <v>1973</v>
      </c>
      <c r="B1921" s="389" t="s">
        <v>137</v>
      </c>
      <c r="C1921" s="389" t="s">
        <v>10</v>
      </c>
      <c r="D1921" s="389" t="s">
        <v>591</v>
      </c>
      <c r="E1921" s="390" t="s">
        <v>163</v>
      </c>
      <c r="F1921" s="391">
        <v>7183.0</v>
      </c>
      <c r="G1921" s="391">
        <v>652.0</v>
      </c>
      <c r="H1921" s="391">
        <v>9.08</v>
      </c>
      <c r="I1921" s="391">
        <v>0.45</v>
      </c>
      <c r="J1921" s="391">
        <v>0.3</v>
      </c>
      <c r="K1921" s="391">
        <v>661.0</v>
      </c>
      <c r="L1921" s="391">
        <v>145756.0</v>
      </c>
      <c r="M1921" s="391">
        <v>0.092</v>
      </c>
      <c r="N1921" s="38">
        <v>1.0138</v>
      </c>
    </row>
    <row r="1922">
      <c r="A1922" s="389" t="s">
        <v>1973</v>
      </c>
      <c r="B1922" s="389" t="s">
        <v>137</v>
      </c>
      <c r="C1922" s="389" t="s">
        <v>10</v>
      </c>
      <c r="D1922" s="389" t="s">
        <v>591</v>
      </c>
      <c r="E1922" s="390" t="s">
        <v>38</v>
      </c>
      <c r="F1922" s="391">
        <v>7183.0</v>
      </c>
      <c r="G1922" s="391">
        <v>453.0</v>
      </c>
      <c r="H1922" s="391">
        <v>6.31</v>
      </c>
      <c r="I1922" s="391">
        <v>0.34</v>
      </c>
      <c r="J1922" s="391">
        <v>0.26</v>
      </c>
      <c r="K1922" s="391">
        <v>491.0</v>
      </c>
      <c r="L1922" s="391">
        <v>145756.0</v>
      </c>
      <c r="M1922" s="391">
        <v>0.0684</v>
      </c>
      <c r="N1922" s="38">
        <v>1.0839</v>
      </c>
    </row>
    <row r="1923">
      <c r="A1923" s="389" t="s">
        <v>1973</v>
      </c>
      <c r="B1923" s="389" t="s">
        <v>137</v>
      </c>
      <c r="C1923" s="389" t="s">
        <v>10</v>
      </c>
      <c r="D1923" s="389" t="s">
        <v>591</v>
      </c>
      <c r="E1923" s="390" t="s">
        <v>27</v>
      </c>
      <c r="F1923" s="391">
        <v>7183.0</v>
      </c>
      <c r="G1923" s="391">
        <v>222.0</v>
      </c>
      <c r="H1923" s="391">
        <v>3.09</v>
      </c>
      <c r="I1923" s="391">
        <v>0.16</v>
      </c>
      <c r="J1923" s="391">
        <v>0.17</v>
      </c>
      <c r="K1923" s="391">
        <v>230.0</v>
      </c>
      <c r="L1923" s="391">
        <v>145756.0</v>
      </c>
      <c r="M1923" s="391">
        <v>0.032</v>
      </c>
      <c r="N1923" s="38">
        <v>1.036</v>
      </c>
    </row>
    <row r="1924">
      <c r="A1924" s="389" t="s">
        <v>1973</v>
      </c>
      <c r="B1924" s="389" t="s">
        <v>137</v>
      </c>
      <c r="C1924" s="389" t="s">
        <v>9</v>
      </c>
      <c r="D1924" s="389" t="s">
        <v>591</v>
      </c>
      <c r="E1924" s="390" t="s">
        <v>370</v>
      </c>
      <c r="F1924" s="391">
        <v>7175.0</v>
      </c>
      <c r="G1924" s="391">
        <v>7039.0</v>
      </c>
      <c r="H1924" s="391">
        <v>98.1</v>
      </c>
      <c r="I1924" s="391">
        <v>47.33</v>
      </c>
      <c r="J1924" s="391">
        <v>46.99</v>
      </c>
      <c r="K1924" s="391">
        <v>68279.0</v>
      </c>
      <c r="L1924" s="391">
        <v>144268.0</v>
      </c>
      <c r="M1924" s="391">
        <v>9.5162</v>
      </c>
      <c r="N1924" s="38">
        <v>9.7001</v>
      </c>
    </row>
    <row r="1925">
      <c r="A1925" s="389" t="s">
        <v>1973</v>
      </c>
      <c r="B1925" s="389" t="s">
        <v>137</v>
      </c>
      <c r="C1925" s="389" t="s">
        <v>9</v>
      </c>
      <c r="D1925" s="389" t="s">
        <v>591</v>
      </c>
      <c r="E1925" s="390" t="s">
        <v>365</v>
      </c>
      <c r="F1925" s="391">
        <v>7175.0</v>
      </c>
      <c r="G1925" s="391">
        <v>6234.0</v>
      </c>
      <c r="H1925" s="391">
        <v>86.89</v>
      </c>
      <c r="I1925" s="391">
        <v>16.26</v>
      </c>
      <c r="J1925" s="391">
        <v>20.89</v>
      </c>
      <c r="K1925" s="391">
        <v>23453.0</v>
      </c>
      <c r="L1925" s="391">
        <v>144268.0</v>
      </c>
      <c r="M1925" s="391">
        <v>3.2687</v>
      </c>
      <c r="N1925" s="38">
        <v>3.7621</v>
      </c>
    </row>
    <row r="1926">
      <c r="A1926" s="389" t="s">
        <v>1973</v>
      </c>
      <c r="B1926" s="389" t="s">
        <v>137</v>
      </c>
      <c r="C1926" s="389" t="s">
        <v>9</v>
      </c>
      <c r="D1926" s="389" t="s">
        <v>591</v>
      </c>
      <c r="E1926" s="390" t="s">
        <v>108</v>
      </c>
      <c r="F1926" s="391">
        <v>7175.0</v>
      </c>
      <c r="G1926" s="391">
        <v>1445.0</v>
      </c>
      <c r="H1926" s="391">
        <v>20.14</v>
      </c>
      <c r="I1926" s="391">
        <v>5.33</v>
      </c>
      <c r="J1926" s="391">
        <v>2.83</v>
      </c>
      <c r="K1926" s="391">
        <v>7694.0</v>
      </c>
      <c r="L1926" s="391">
        <v>144268.0</v>
      </c>
      <c r="M1926" s="391">
        <v>1.0723</v>
      </c>
      <c r="N1926" s="38">
        <v>5.3246</v>
      </c>
    </row>
    <row r="1927">
      <c r="A1927" s="389" t="s">
        <v>1973</v>
      </c>
      <c r="B1927" s="389" t="s">
        <v>137</v>
      </c>
      <c r="C1927" s="389" t="s">
        <v>9</v>
      </c>
      <c r="D1927" s="389" t="s">
        <v>591</v>
      </c>
      <c r="E1927" s="390" t="s">
        <v>44</v>
      </c>
      <c r="F1927" s="391">
        <v>7175.0</v>
      </c>
      <c r="G1927" s="391">
        <v>3012.0</v>
      </c>
      <c r="H1927" s="391">
        <v>41.98</v>
      </c>
      <c r="I1927" s="391">
        <v>4.77</v>
      </c>
      <c r="J1927" s="391">
        <v>4.34</v>
      </c>
      <c r="K1927" s="391">
        <v>6885.0</v>
      </c>
      <c r="L1927" s="391">
        <v>144268.0</v>
      </c>
      <c r="M1927" s="391">
        <v>0.9596</v>
      </c>
      <c r="N1927" s="38">
        <v>2.2859</v>
      </c>
    </row>
    <row r="1928">
      <c r="A1928" s="389" t="s">
        <v>1973</v>
      </c>
      <c r="B1928" s="389" t="s">
        <v>137</v>
      </c>
      <c r="C1928" s="389" t="s">
        <v>9</v>
      </c>
      <c r="D1928" s="389" t="s">
        <v>591</v>
      </c>
      <c r="E1928" s="390" t="s">
        <v>363</v>
      </c>
      <c r="F1928" s="391">
        <v>7175.0</v>
      </c>
      <c r="G1928" s="391">
        <v>1524.0</v>
      </c>
      <c r="H1928" s="391">
        <v>21.24</v>
      </c>
      <c r="I1928" s="391">
        <v>4.4</v>
      </c>
      <c r="J1928" s="391">
        <v>2.37</v>
      </c>
      <c r="K1928" s="391">
        <v>6341.0</v>
      </c>
      <c r="L1928" s="391">
        <v>144268.0</v>
      </c>
      <c r="M1928" s="391">
        <v>0.8838</v>
      </c>
      <c r="N1928" s="38">
        <v>4.1608</v>
      </c>
    </row>
    <row r="1929">
      <c r="A1929" s="389" t="s">
        <v>1973</v>
      </c>
      <c r="B1929" s="389" t="s">
        <v>137</v>
      </c>
      <c r="C1929" s="389" t="s">
        <v>9</v>
      </c>
      <c r="D1929" s="389" t="s">
        <v>591</v>
      </c>
      <c r="E1929" s="390" t="s">
        <v>366</v>
      </c>
      <c r="F1929" s="391">
        <v>7175.0</v>
      </c>
      <c r="G1929" s="391">
        <v>3615.0</v>
      </c>
      <c r="H1929" s="391">
        <v>50.38</v>
      </c>
      <c r="I1929" s="391">
        <v>3.91</v>
      </c>
      <c r="J1929" s="391">
        <v>4.28</v>
      </c>
      <c r="K1929" s="391">
        <v>5637.0</v>
      </c>
      <c r="L1929" s="391">
        <v>144268.0</v>
      </c>
      <c r="M1929" s="391">
        <v>0.7856</v>
      </c>
      <c r="N1929" s="38">
        <v>1.5593</v>
      </c>
    </row>
    <row r="1930">
      <c r="A1930" s="389" t="s">
        <v>1973</v>
      </c>
      <c r="B1930" s="389" t="s">
        <v>137</v>
      </c>
      <c r="C1930" s="389" t="s">
        <v>9</v>
      </c>
      <c r="D1930" s="389" t="s">
        <v>591</v>
      </c>
      <c r="E1930" s="390" t="s">
        <v>367</v>
      </c>
      <c r="F1930" s="391">
        <v>7175.0</v>
      </c>
      <c r="G1930" s="391">
        <v>1417.0</v>
      </c>
      <c r="H1930" s="391">
        <v>19.75</v>
      </c>
      <c r="I1930" s="391">
        <v>3.74</v>
      </c>
      <c r="J1930" s="391">
        <v>2.7</v>
      </c>
      <c r="K1930" s="391">
        <v>5394.0</v>
      </c>
      <c r="L1930" s="391">
        <v>144268.0</v>
      </c>
      <c r="M1930" s="391">
        <v>0.7518</v>
      </c>
      <c r="N1930" s="38">
        <v>3.8066</v>
      </c>
    </row>
    <row r="1931">
      <c r="A1931" s="389" t="s">
        <v>1973</v>
      </c>
      <c r="B1931" s="389" t="s">
        <v>137</v>
      </c>
      <c r="C1931" s="389" t="s">
        <v>9</v>
      </c>
      <c r="D1931" s="389" t="s">
        <v>591</v>
      </c>
      <c r="E1931" s="390" t="s">
        <v>39</v>
      </c>
      <c r="F1931" s="391">
        <v>7175.0</v>
      </c>
      <c r="G1931" s="391">
        <v>3616.0</v>
      </c>
      <c r="H1931" s="391">
        <v>50.4</v>
      </c>
      <c r="I1931" s="391">
        <v>3.44</v>
      </c>
      <c r="J1931" s="391">
        <v>4.15</v>
      </c>
      <c r="K1931" s="391">
        <v>4964.0</v>
      </c>
      <c r="L1931" s="391">
        <v>144268.0</v>
      </c>
      <c r="M1931" s="391">
        <v>0.6918</v>
      </c>
      <c r="N1931" s="38">
        <v>1.3728</v>
      </c>
    </row>
    <row r="1932">
      <c r="A1932" s="389" t="s">
        <v>1973</v>
      </c>
      <c r="B1932" s="389" t="s">
        <v>137</v>
      </c>
      <c r="C1932" s="389" t="s">
        <v>9</v>
      </c>
      <c r="D1932" s="389" t="s">
        <v>591</v>
      </c>
      <c r="E1932" s="390" t="s">
        <v>371</v>
      </c>
      <c r="F1932" s="391">
        <v>7175.0</v>
      </c>
      <c r="G1932" s="391">
        <v>3199.0</v>
      </c>
      <c r="H1932" s="391">
        <v>44.59</v>
      </c>
      <c r="I1932" s="391">
        <v>2.55</v>
      </c>
      <c r="J1932" s="391">
        <v>3.46</v>
      </c>
      <c r="K1932" s="391">
        <v>3676.0</v>
      </c>
      <c r="L1932" s="391">
        <v>144268.0</v>
      </c>
      <c r="M1932" s="391">
        <v>0.5123</v>
      </c>
      <c r="N1932" s="38">
        <v>1.1491</v>
      </c>
    </row>
    <row r="1933">
      <c r="A1933" s="389" t="s">
        <v>1973</v>
      </c>
      <c r="B1933" s="389" t="s">
        <v>137</v>
      </c>
      <c r="C1933" s="389" t="s">
        <v>9</v>
      </c>
      <c r="D1933" s="389" t="s">
        <v>591</v>
      </c>
      <c r="E1933" s="390" t="s">
        <v>35</v>
      </c>
      <c r="F1933" s="391">
        <v>7175.0</v>
      </c>
      <c r="G1933" s="391">
        <v>1257.0</v>
      </c>
      <c r="H1933" s="391">
        <v>17.52</v>
      </c>
      <c r="I1933" s="391">
        <v>1.92</v>
      </c>
      <c r="J1933" s="391">
        <v>1.6</v>
      </c>
      <c r="K1933" s="391">
        <v>2765.0</v>
      </c>
      <c r="L1933" s="391">
        <v>144268.0</v>
      </c>
      <c r="M1933" s="391">
        <v>0.3854</v>
      </c>
      <c r="N1933" s="38">
        <v>2.1997</v>
      </c>
    </row>
    <row r="1934">
      <c r="A1934" s="389" t="s">
        <v>1973</v>
      </c>
      <c r="B1934" s="389" t="s">
        <v>137</v>
      </c>
      <c r="C1934" s="389" t="s">
        <v>9</v>
      </c>
      <c r="D1934" s="389" t="s">
        <v>591</v>
      </c>
      <c r="E1934" s="390" t="s">
        <v>369</v>
      </c>
      <c r="F1934" s="391">
        <v>7175.0</v>
      </c>
      <c r="G1934" s="391">
        <v>1684.0</v>
      </c>
      <c r="H1934" s="391">
        <v>23.47</v>
      </c>
      <c r="I1934" s="391">
        <v>1.9</v>
      </c>
      <c r="J1934" s="391">
        <v>1.39</v>
      </c>
      <c r="K1934" s="391">
        <v>2748.0</v>
      </c>
      <c r="L1934" s="391">
        <v>144268.0</v>
      </c>
      <c r="M1934" s="391">
        <v>0.383</v>
      </c>
      <c r="N1934" s="38">
        <v>1.6318</v>
      </c>
    </row>
    <row r="1935">
      <c r="A1935" s="389" t="s">
        <v>1973</v>
      </c>
      <c r="B1935" s="389" t="s">
        <v>137</v>
      </c>
      <c r="C1935" s="389" t="s">
        <v>9</v>
      </c>
      <c r="D1935" s="389" t="s">
        <v>591</v>
      </c>
      <c r="E1935" s="390" t="s">
        <v>368</v>
      </c>
      <c r="F1935" s="391">
        <v>7175.0</v>
      </c>
      <c r="G1935" s="391">
        <v>2066.0</v>
      </c>
      <c r="H1935" s="391">
        <v>28.79</v>
      </c>
      <c r="I1935" s="391">
        <v>1.63</v>
      </c>
      <c r="J1935" s="391">
        <v>1.97</v>
      </c>
      <c r="K1935" s="391">
        <v>2353.0</v>
      </c>
      <c r="L1935" s="391">
        <v>144268.0</v>
      </c>
      <c r="M1935" s="391">
        <v>0.3279</v>
      </c>
      <c r="N1935" s="38">
        <v>1.1389</v>
      </c>
    </row>
    <row r="1936">
      <c r="A1936" s="389" t="s">
        <v>1973</v>
      </c>
      <c r="B1936" s="389" t="s">
        <v>137</v>
      </c>
      <c r="C1936" s="389" t="s">
        <v>9</v>
      </c>
      <c r="D1936" s="389" t="s">
        <v>591</v>
      </c>
      <c r="E1936" s="390" t="s">
        <v>45</v>
      </c>
      <c r="F1936" s="391">
        <v>7175.0</v>
      </c>
      <c r="G1936" s="391">
        <v>1279.0</v>
      </c>
      <c r="H1936" s="391">
        <v>17.83</v>
      </c>
      <c r="I1936" s="391">
        <v>1.19</v>
      </c>
      <c r="J1936" s="391">
        <v>1.19</v>
      </c>
      <c r="K1936" s="391">
        <v>1720.0</v>
      </c>
      <c r="L1936" s="391">
        <v>144268.0</v>
      </c>
      <c r="M1936" s="391">
        <v>0.2397</v>
      </c>
      <c r="N1936" s="38">
        <v>1.3448</v>
      </c>
    </row>
    <row r="1937">
      <c r="A1937" s="389" t="s">
        <v>1973</v>
      </c>
      <c r="B1937" s="389" t="s">
        <v>137</v>
      </c>
      <c r="C1937" s="389" t="s">
        <v>9</v>
      </c>
      <c r="D1937" s="389" t="s">
        <v>591</v>
      </c>
      <c r="E1937" s="390" t="s">
        <v>163</v>
      </c>
      <c r="F1937" s="391">
        <v>7175.0</v>
      </c>
      <c r="G1937" s="391">
        <v>814.0</v>
      </c>
      <c r="H1937" s="391">
        <v>11.34</v>
      </c>
      <c r="I1937" s="391">
        <v>0.57</v>
      </c>
      <c r="J1937" s="391">
        <v>0.55</v>
      </c>
      <c r="K1937" s="391">
        <v>822.0</v>
      </c>
      <c r="L1937" s="391">
        <v>144268.0</v>
      </c>
      <c r="M1937" s="391">
        <v>0.1146</v>
      </c>
      <c r="N1937" s="38">
        <v>1.0098</v>
      </c>
    </row>
    <row r="1938">
      <c r="A1938" s="389" t="s">
        <v>1973</v>
      </c>
      <c r="B1938" s="389" t="s">
        <v>137</v>
      </c>
      <c r="C1938" s="389" t="s">
        <v>9</v>
      </c>
      <c r="D1938" s="389" t="s">
        <v>591</v>
      </c>
      <c r="E1938" s="390" t="s">
        <v>37</v>
      </c>
      <c r="F1938" s="391">
        <v>7175.0</v>
      </c>
      <c r="G1938" s="391">
        <v>621.0</v>
      </c>
      <c r="H1938" s="391">
        <v>8.66</v>
      </c>
      <c r="I1938" s="391">
        <v>0.51</v>
      </c>
      <c r="J1938" s="391">
        <v>0.52</v>
      </c>
      <c r="K1938" s="391">
        <v>735.0</v>
      </c>
      <c r="L1938" s="391">
        <v>144268.0</v>
      </c>
      <c r="M1938" s="391">
        <v>0.1024</v>
      </c>
      <c r="N1938" s="38">
        <v>1.1836</v>
      </c>
    </row>
    <row r="1939">
      <c r="A1939" s="389" t="s">
        <v>1973</v>
      </c>
      <c r="B1939" s="389" t="s">
        <v>137</v>
      </c>
      <c r="C1939" s="389" t="s">
        <v>9</v>
      </c>
      <c r="D1939" s="389" t="s">
        <v>591</v>
      </c>
      <c r="E1939" s="390" t="s">
        <v>284</v>
      </c>
      <c r="F1939" s="391">
        <v>7175.0</v>
      </c>
      <c r="G1939" s="391">
        <v>304.0</v>
      </c>
      <c r="H1939" s="391">
        <v>4.24</v>
      </c>
      <c r="I1939" s="391">
        <v>0.23</v>
      </c>
      <c r="J1939" s="391">
        <v>0.27</v>
      </c>
      <c r="K1939" s="391">
        <v>326.0</v>
      </c>
      <c r="L1939" s="391">
        <v>144268.0</v>
      </c>
      <c r="M1939" s="391">
        <v>0.0454</v>
      </c>
      <c r="N1939" s="38">
        <v>1.0724</v>
      </c>
    </row>
    <row r="1940">
      <c r="A1940" s="389" t="s">
        <v>1973</v>
      </c>
      <c r="B1940" s="389" t="s">
        <v>137</v>
      </c>
      <c r="C1940" s="389" t="s">
        <v>9</v>
      </c>
      <c r="D1940" s="389" t="s">
        <v>591</v>
      </c>
      <c r="E1940" s="390" t="s">
        <v>282</v>
      </c>
      <c r="F1940" s="391">
        <v>7175.0</v>
      </c>
      <c r="G1940" s="391">
        <v>145.0</v>
      </c>
      <c r="H1940" s="391">
        <v>2.02</v>
      </c>
      <c r="I1940" s="391">
        <v>0.11</v>
      </c>
      <c r="J1940" s="391">
        <v>0.16</v>
      </c>
      <c r="K1940" s="391">
        <v>152.0</v>
      </c>
      <c r="L1940" s="391">
        <v>144268.0</v>
      </c>
      <c r="M1940" s="391">
        <v>0.0212</v>
      </c>
      <c r="N1940" s="38">
        <v>1.0483</v>
      </c>
    </row>
    <row r="1941">
      <c r="A1941" s="389" t="s">
        <v>1973</v>
      </c>
      <c r="B1941" s="389" t="s">
        <v>137</v>
      </c>
      <c r="C1941" s="389" t="s">
        <v>9</v>
      </c>
      <c r="D1941" s="389" t="s">
        <v>591</v>
      </c>
      <c r="E1941" s="390" t="s">
        <v>283</v>
      </c>
      <c r="F1941" s="391">
        <v>7175.0</v>
      </c>
      <c r="G1941" s="391">
        <v>150.0</v>
      </c>
      <c r="H1941" s="391">
        <v>2.09</v>
      </c>
      <c r="I1941" s="391">
        <v>0.11</v>
      </c>
      <c r="J1941" s="391">
        <v>0.21</v>
      </c>
      <c r="K1941" s="391">
        <v>156.0</v>
      </c>
      <c r="L1941" s="391">
        <v>144268.0</v>
      </c>
      <c r="M1941" s="391">
        <v>0.0217</v>
      </c>
      <c r="N1941" s="38">
        <v>1.04</v>
      </c>
    </row>
    <row r="1942">
      <c r="A1942" s="389" t="s">
        <v>1973</v>
      </c>
      <c r="B1942" s="389" t="s">
        <v>137</v>
      </c>
      <c r="C1942" s="389" t="s">
        <v>9</v>
      </c>
      <c r="D1942" s="389" t="s">
        <v>591</v>
      </c>
      <c r="E1942" s="390" t="s">
        <v>38</v>
      </c>
      <c r="F1942" s="391">
        <v>7175.0</v>
      </c>
      <c r="G1942" s="391">
        <v>131.0</v>
      </c>
      <c r="H1942" s="391">
        <v>1.83</v>
      </c>
      <c r="I1942" s="391">
        <v>0.1</v>
      </c>
      <c r="J1942" s="391">
        <v>0.12</v>
      </c>
      <c r="K1942" s="391">
        <v>139.0</v>
      </c>
      <c r="L1942" s="391">
        <v>144268.0</v>
      </c>
      <c r="M1942" s="391">
        <v>0.0194</v>
      </c>
      <c r="N1942" s="38">
        <v>1.0611</v>
      </c>
    </row>
    <row r="1943">
      <c r="A1943" s="389" t="s">
        <v>1973</v>
      </c>
      <c r="B1943" s="389" t="s">
        <v>137</v>
      </c>
      <c r="C1943" s="389" t="s">
        <v>9</v>
      </c>
      <c r="D1943" s="389" t="s">
        <v>591</v>
      </c>
      <c r="E1943" s="390" t="s">
        <v>27</v>
      </c>
      <c r="F1943" s="391">
        <v>7175.0</v>
      </c>
      <c r="G1943" s="391">
        <v>27.0</v>
      </c>
      <c r="H1943" s="391">
        <v>0.38</v>
      </c>
      <c r="I1943" s="391">
        <v>0.02</v>
      </c>
      <c r="J1943" s="391">
        <v>0.02</v>
      </c>
      <c r="K1943" s="391">
        <v>29.0</v>
      </c>
      <c r="L1943" s="391">
        <v>144268.0</v>
      </c>
      <c r="M1943" s="391">
        <v>0.004</v>
      </c>
      <c r="N1943" s="38">
        <v>1.0741</v>
      </c>
    </row>
    <row r="1944">
      <c r="A1944" s="389" t="s">
        <v>1973</v>
      </c>
      <c r="B1944" s="389" t="s">
        <v>137</v>
      </c>
      <c r="C1944" s="389" t="s">
        <v>358</v>
      </c>
      <c r="D1944" s="389" t="s">
        <v>1968</v>
      </c>
      <c r="E1944" s="390" t="s">
        <v>368</v>
      </c>
      <c r="F1944" s="391">
        <v>4107.0</v>
      </c>
      <c r="G1944" s="391">
        <v>2687.0</v>
      </c>
      <c r="H1944" s="391">
        <v>65.42</v>
      </c>
      <c r="I1944" s="391">
        <v>44.27</v>
      </c>
      <c r="J1944" s="391">
        <v>50.96</v>
      </c>
      <c r="K1944" s="391">
        <v>58095.0</v>
      </c>
      <c r="L1944" s="391">
        <v>131235.0</v>
      </c>
      <c r="M1944" s="391">
        <v>14.1454</v>
      </c>
      <c r="N1944" s="38">
        <v>21.6208</v>
      </c>
    </row>
    <row r="1945">
      <c r="A1945" s="389" t="s">
        <v>1973</v>
      </c>
      <c r="B1945" s="389" t="s">
        <v>137</v>
      </c>
      <c r="C1945" s="389" t="s">
        <v>358</v>
      </c>
      <c r="D1945" s="389" t="s">
        <v>1968</v>
      </c>
      <c r="E1945" s="390" t="s">
        <v>163</v>
      </c>
      <c r="F1945" s="391">
        <v>4107.0</v>
      </c>
      <c r="G1945" s="391">
        <v>1190.0</v>
      </c>
      <c r="H1945" s="391">
        <v>28.97</v>
      </c>
      <c r="I1945" s="391">
        <v>17.61</v>
      </c>
      <c r="J1945" s="391">
        <v>18.87</v>
      </c>
      <c r="K1945" s="391">
        <v>23115.0</v>
      </c>
      <c r="L1945" s="391">
        <v>131235.0</v>
      </c>
      <c r="M1945" s="391">
        <v>5.6282</v>
      </c>
      <c r="N1945" s="38">
        <v>19.4244</v>
      </c>
    </row>
    <row r="1946">
      <c r="A1946" s="389" t="s">
        <v>1973</v>
      </c>
      <c r="B1946" s="389" t="s">
        <v>137</v>
      </c>
      <c r="C1946" s="389" t="s">
        <v>358</v>
      </c>
      <c r="D1946" s="389" t="s">
        <v>1968</v>
      </c>
      <c r="E1946" s="390" t="s">
        <v>108</v>
      </c>
      <c r="F1946" s="391">
        <v>4107.0</v>
      </c>
      <c r="G1946" s="391">
        <v>956.0</v>
      </c>
      <c r="H1946" s="391">
        <v>23.28</v>
      </c>
      <c r="I1946" s="391">
        <v>17.54</v>
      </c>
      <c r="J1946" s="391">
        <v>13.13</v>
      </c>
      <c r="K1946" s="391">
        <v>23015.0</v>
      </c>
      <c r="L1946" s="391">
        <v>131235.0</v>
      </c>
      <c r="M1946" s="391">
        <v>5.6038</v>
      </c>
      <c r="N1946" s="38">
        <v>24.0743</v>
      </c>
    </row>
    <row r="1947">
      <c r="A1947" s="389" t="s">
        <v>1973</v>
      </c>
      <c r="B1947" s="389" t="s">
        <v>137</v>
      </c>
      <c r="C1947" s="389" t="s">
        <v>358</v>
      </c>
      <c r="D1947" s="389" t="s">
        <v>1968</v>
      </c>
      <c r="E1947" s="390" t="s">
        <v>366</v>
      </c>
      <c r="F1947" s="391">
        <v>4107.0</v>
      </c>
      <c r="G1947" s="391">
        <v>410.0</v>
      </c>
      <c r="H1947" s="391">
        <v>9.98</v>
      </c>
      <c r="I1947" s="391">
        <v>9.51</v>
      </c>
      <c r="J1947" s="391">
        <v>4.28</v>
      </c>
      <c r="K1947" s="391">
        <v>12480.0</v>
      </c>
      <c r="L1947" s="391">
        <v>131235.0</v>
      </c>
      <c r="M1947" s="391">
        <v>3.0387</v>
      </c>
      <c r="N1947" s="38">
        <v>30.439</v>
      </c>
    </row>
    <row r="1948">
      <c r="A1948" s="389" t="s">
        <v>1973</v>
      </c>
      <c r="B1948" s="389" t="s">
        <v>137</v>
      </c>
      <c r="C1948" s="389" t="s">
        <v>358</v>
      </c>
      <c r="D1948" s="389" t="s">
        <v>1968</v>
      </c>
      <c r="E1948" s="390" t="s">
        <v>30</v>
      </c>
      <c r="F1948" s="391">
        <v>4107.0</v>
      </c>
      <c r="G1948" s="391">
        <v>799.0</v>
      </c>
      <c r="H1948" s="391">
        <v>19.45</v>
      </c>
      <c r="I1948" s="391">
        <v>9.13</v>
      </c>
      <c r="J1948" s="391">
        <v>11.13</v>
      </c>
      <c r="K1948" s="391">
        <v>11985.0</v>
      </c>
      <c r="L1948" s="391">
        <v>131235.0</v>
      </c>
      <c r="M1948" s="391">
        <v>2.9182</v>
      </c>
      <c r="N1948" s="38">
        <v>15.0</v>
      </c>
    </row>
    <row r="1949">
      <c r="A1949" s="389" t="s">
        <v>1973</v>
      </c>
      <c r="B1949" s="389" t="s">
        <v>137</v>
      </c>
      <c r="C1949" s="389" t="s">
        <v>358</v>
      </c>
      <c r="D1949" s="389" t="s">
        <v>1968</v>
      </c>
      <c r="E1949" s="390" t="s">
        <v>369</v>
      </c>
      <c r="F1949" s="391">
        <v>4107.0</v>
      </c>
      <c r="G1949" s="391">
        <v>67.0</v>
      </c>
      <c r="H1949" s="391">
        <v>1.63</v>
      </c>
      <c r="I1949" s="391">
        <v>1.73</v>
      </c>
      <c r="J1949" s="391">
        <v>1.31</v>
      </c>
      <c r="K1949" s="391">
        <v>2265.0</v>
      </c>
      <c r="L1949" s="391">
        <v>131235.0</v>
      </c>
      <c r="M1949" s="391">
        <v>0.5515</v>
      </c>
      <c r="N1949" s="38">
        <v>33.806</v>
      </c>
    </row>
    <row r="1950">
      <c r="A1950" s="389" t="s">
        <v>1973</v>
      </c>
      <c r="B1950" s="389" t="s">
        <v>137</v>
      </c>
      <c r="C1950" s="389" t="s">
        <v>358</v>
      </c>
      <c r="D1950" s="389" t="s">
        <v>1968</v>
      </c>
      <c r="E1950" s="390" t="s">
        <v>371</v>
      </c>
      <c r="F1950" s="391">
        <v>4107.0</v>
      </c>
      <c r="G1950" s="391">
        <v>27.0</v>
      </c>
      <c r="H1950" s="391">
        <v>0.66</v>
      </c>
      <c r="I1950" s="391">
        <v>0.21</v>
      </c>
      <c r="J1950" s="391">
        <v>0.33</v>
      </c>
      <c r="K1950" s="391">
        <v>280.0</v>
      </c>
      <c r="L1950" s="391">
        <v>131235.0</v>
      </c>
      <c r="M1950" s="391">
        <v>0.0682</v>
      </c>
      <c r="N1950" s="38">
        <v>10.3704</v>
      </c>
    </row>
    <row r="1951">
      <c r="A1951" s="389" t="s">
        <v>1973</v>
      </c>
      <c r="B1951" s="389" t="s">
        <v>137</v>
      </c>
      <c r="C1951" s="389" t="s">
        <v>359</v>
      </c>
      <c r="D1951" s="389" t="s">
        <v>1968</v>
      </c>
      <c r="E1951" s="390" t="s">
        <v>108</v>
      </c>
      <c r="F1951" s="391">
        <v>6128.0</v>
      </c>
      <c r="G1951" s="391">
        <v>1364.0</v>
      </c>
      <c r="H1951" s="391">
        <v>22.26</v>
      </c>
      <c r="I1951" s="391">
        <v>24.77</v>
      </c>
      <c r="J1951" s="391">
        <v>10.64</v>
      </c>
      <c r="K1951" s="391">
        <v>77530.0</v>
      </c>
      <c r="L1951" s="391">
        <v>313020.0</v>
      </c>
      <c r="M1951" s="391">
        <v>12.6518</v>
      </c>
      <c r="N1951" s="38">
        <v>56.8402</v>
      </c>
    </row>
    <row r="1952">
      <c r="A1952" s="389" t="s">
        <v>1973</v>
      </c>
      <c r="B1952" s="389" t="s">
        <v>137</v>
      </c>
      <c r="C1952" s="389" t="s">
        <v>359</v>
      </c>
      <c r="D1952" s="389" t="s">
        <v>1968</v>
      </c>
      <c r="E1952" s="390" t="s">
        <v>368</v>
      </c>
      <c r="F1952" s="391">
        <v>6128.0</v>
      </c>
      <c r="G1952" s="391">
        <v>2819.0</v>
      </c>
      <c r="H1952" s="391">
        <v>46.0</v>
      </c>
      <c r="I1952" s="391">
        <v>19.73</v>
      </c>
      <c r="J1952" s="391">
        <v>22.46</v>
      </c>
      <c r="K1952" s="391">
        <v>61750.0</v>
      </c>
      <c r="L1952" s="391">
        <v>313020.0</v>
      </c>
      <c r="M1952" s="391">
        <v>10.0767</v>
      </c>
      <c r="N1952" s="38">
        <v>21.9049</v>
      </c>
    </row>
    <row r="1953">
      <c r="A1953" s="389" t="s">
        <v>1973</v>
      </c>
      <c r="B1953" s="389" t="s">
        <v>137</v>
      </c>
      <c r="C1953" s="389" t="s">
        <v>359</v>
      </c>
      <c r="D1953" s="389" t="s">
        <v>1968</v>
      </c>
      <c r="E1953" s="390" t="s">
        <v>371</v>
      </c>
      <c r="F1953" s="391">
        <v>6128.0</v>
      </c>
      <c r="G1953" s="391">
        <v>3270.0</v>
      </c>
      <c r="H1953" s="391">
        <v>53.36</v>
      </c>
      <c r="I1953" s="391">
        <v>18.16</v>
      </c>
      <c r="J1953" s="391">
        <v>24.77</v>
      </c>
      <c r="K1953" s="391">
        <v>56850.0</v>
      </c>
      <c r="L1953" s="391">
        <v>313020.0</v>
      </c>
      <c r="M1953" s="391">
        <v>9.2771</v>
      </c>
      <c r="N1953" s="38">
        <v>17.3853</v>
      </c>
    </row>
    <row r="1954">
      <c r="A1954" s="389" t="s">
        <v>1973</v>
      </c>
      <c r="B1954" s="389" t="s">
        <v>137</v>
      </c>
      <c r="C1954" s="389" t="s">
        <v>359</v>
      </c>
      <c r="D1954" s="389" t="s">
        <v>1968</v>
      </c>
      <c r="E1954" s="390" t="s">
        <v>39</v>
      </c>
      <c r="F1954" s="391">
        <v>6128.0</v>
      </c>
      <c r="G1954" s="391">
        <v>3415.0</v>
      </c>
      <c r="H1954" s="391">
        <v>55.73</v>
      </c>
      <c r="I1954" s="391">
        <v>14.91</v>
      </c>
      <c r="J1954" s="391">
        <v>23.28</v>
      </c>
      <c r="K1954" s="391">
        <v>46670.0</v>
      </c>
      <c r="L1954" s="391">
        <v>313020.0</v>
      </c>
      <c r="M1954" s="391">
        <v>7.6159</v>
      </c>
      <c r="N1954" s="38">
        <v>13.6662</v>
      </c>
    </row>
    <row r="1955">
      <c r="A1955" s="389" t="s">
        <v>1973</v>
      </c>
      <c r="B1955" s="389" t="s">
        <v>137</v>
      </c>
      <c r="C1955" s="389" t="s">
        <v>359</v>
      </c>
      <c r="D1955" s="389" t="s">
        <v>1968</v>
      </c>
      <c r="E1955" s="390" t="s">
        <v>366</v>
      </c>
      <c r="F1955" s="391">
        <v>6128.0</v>
      </c>
      <c r="G1955" s="391">
        <v>493.0</v>
      </c>
      <c r="H1955" s="391">
        <v>8.05</v>
      </c>
      <c r="I1955" s="391">
        <v>9.55</v>
      </c>
      <c r="J1955" s="391">
        <v>3.3</v>
      </c>
      <c r="K1955" s="391">
        <v>29880.0</v>
      </c>
      <c r="L1955" s="391">
        <v>313020.0</v>
      </c>
      <c r="M1955" s="391">
        <v>4.876</v>
      </c>
      <c r="N1955" s="38">
        <v>60.6085</v>
      </c>
    </row>
    <row r="1956">
      <c r="A1956" s="389" t="s">
        <v>1973</v>
      </c>
      <c r="B1956" s="389" t="s">
        <v>137</v>
      </c>
      <c r="C1956" s="389" t="s">
        <v>359</v>
      </c>
      <c r="D1956" s="389" t="s">
        <v>1968</v>
      </c>
      <c r="E1956" s="390" t="s">
        <v>163</v>
      </c>
      <c r="F1956" s="391">
        <v>6128.0</v>
      </c>
      <c r="G1956" s="391">
        <v>1272.0</v>
      </c>
      <c r="H1956" s="391">
        <v>20.76</v>
      </c>
      <c r="I1956" s="391">
        <v>7.76</v>
      </c>
      <c r="J1956" s="391">
        <v>9.14</v>
      </c>
      <c r="K1956" s="391">
        <v>24300.0</v>
      </c>
      <c r="L1956" s="391">
        <v>313020.0</v>
      </c>
      <c r="M1956" s="391">
        <v>3.9654</v>
      </c>
      <c r="N1956" s="38">
        <v>19.1038</v>
      </c>
    </row>
    <row r="1957">
      <c r="A1957" s="389" t="s">
        <v>1973</v>
      </c>
      <c r="B1957" s="389" t="s">
        <v>137</v>
      </c>
      <c r="C1957" s="389" t="s">
        <v>359</v>
      </c>
      <c r="D1957" s="389" t="s">
        <v>1968</v>
      </c>
      <c r="E1957" s="390" t="s">
        <v>30</v>
      </c>
      <c r="F1957" s="391">
        <v>6128.0</v>
      </c>
      <c r="G1957" s="391">
        <v>915.0</v>
      </c>
      <c r="H1957" s="391">
        <v>14.93</v>
      </c>
      <c r="I1957" s="391">
        <v>4.4</v>
      </c>
      <c r="J1957" s="391">
        <v>5.79</v>
      </c>
      <c r="K1957" s="391">
        <v>13770.0</v>
      </c>
      <c r="L1957" s="391">
        <v>313020.0</v>
      </c>
      <c r="M1957" s="391">
        <v>2.2471</v>
      </c>
      <c r="N1957" s="38">
        <v>15.0492</v>
      </c>
    </row>
    <row r="1958">
      <c r="A1958" s="389" t="s">
        <v>1973</v>
      </c>
      <c r="B1958" s="389" t="s">
        <v>137</v>
      </c>
      <c r="C1958" s="389" t="s">
        <v>359</v>
      </c>
      <c r="D1958" s="389" t="s">
        <v>1968</v>
      </c>
      <c r="E1958" s="390" t="s">
        <v>369</v>
      </c>
      <c r="F1958" s="391">
        <v>6128.0</v>
      </c>
      <c r="G1958" s="391">
        <v>67.0</v>
      </c>
      <c r="H1958" s="391">
        <v>1.09</v>
      </c>
      <c r="I1958" s="391">
        <v>0.72</v>
      </c>
      <c r="J1958" s="391">
        <v>0.59</v>
      </c>
      <c r="K1958" s="391">
        <v>2255.0</v>
      </c>
      <c r="L1958" s="391">
        <v>313020.0</v>
      </c>
      <c r="M1958" s="391">
        <v>0.368</v>
      </c>
      <c r="N1958" s="38">
        <v>33.6567</v>
      </c>
    </row>
    <row r="1959">
      <c r="A1959" s="389" t="s">
        <v>1973</v>
      </c>
      <c r="B1959" s="389" t="s">
        <v>137</v>
      </c>
      <c r="C1959" s="389" t="s">
        <v>359</v>
      </c>
      <c r="D1959" s="389" t="s">
        <v>1968</v>
      </c>
      <c r="E1959" s="390" t="s">
        <v>37</v>
      </c>
      <c r="F1959" s="391">
        <v>6128.0</v>
      </c>
      <c r="G1959" s="391">
        <v>1.0</v>
      </c>
      <c r="H1959" s="391">
        <v>0.02</v>
      </c>
      <c r="I1959" s="391">
        <v>0.0</v>
      </c>
      <c r="J1959" s="391">
        <v>0.02</v>
      </c>
      <c r="K1959" s="391">
        <v>15.0</v>
      </c>
      <c r="L1959" s="391">
        <v>313020.0</v>
      </c>
      <c r="M1959" s="391">
        <v>0.0024</v>
      </c>
      <c r="N1959" s="38">
        <v>15.0</v>
      </c>
    </row>
    <row r="1960">
      <c r="A1960" s="389" t="s">
        <v>1973</v>
      </c>
      <c r="B1960" s="389" t="s">
        <v>137</v>
      </c>
      <c r="C1960" s="389" t="s">
        <v>360</v>
      </c>
      <c r="D1960" s="389" t="s">
        <v>1968</v>
      </c>
      <c r="E1960" s="390" t="s">
        <v>108</v>
      </c>
      <c r="F1960" s="391">
        <v>6458.0</v>
      </c>
      <c r="G1960" s="391">
        <v>1470.0</v>
      </c>
      <c r="H1960" s="391">
        <v>22.76</v>
      </c>
      <c r="I1960" s="391">
        <v>31.77</v>
      </c>
      <c r="J1960" s="391">
        <v>12.17</v>
      </c>
      <c r="K1960" s="391">
        <v>153570.0</v>
      </c>
      <c r="L1960" s="391">
        <v>483420.0</v>
      </c>
      <c r="M1960" s="391">
        <v>23.7798</v>
      </c>
      <c r="N1960" s="38">
        <v>104.4694</v>
      </c>
    </row>
    <row r="1961">
      <c r="A1961" s="389" t="s">
        <v>1973</v>
      </c>
      <c r="B1961" s="389" t="s">
        <v>137</v>
      </c>
      <c r="C1961" s="389" t="s">
        <v>360</v>
      </c>
      <c r="D1961" s="389" t="s">
        <v>1968</v>
      </c>
      <c r="E1961" s="390" t="s">
        <v>371</v>
      </c>
      <c r="F1961" s="391">
        <v>6458.0</v>
      </c>
      <c r="G1961" s="391">
        <v>4926.0</v>
      </c>
      <c r="H1961" s="391">
        <v>76.28</v>
      </c>
      <c r="I1961" s="391">
        <v>26.97</v>
      </c>
      <c r="J1961" s="391">
        <v>40.78</v>
      </c>
      <c r="K1961" s="391">
        <v>130370.0</v>
      </c>
      <c r="L1961" s="391">
        <v>483420.0</v>
      </c>
      <c r="M1961" s="391">
        <v>20.1874</v>
      </c>
      <c r="N1961" s="38">
        <v>26.4657</v>
      </c>
    </row>
    <row r="1962">
      <c r="A1962" s="389" t="s">
        <v>1973</v>
      </c>
      <c r="B1962" s="389" t="s">
        <v>137</v>
      </c>
      <c r="C1962" s="389" t="s">
        <v>360</v>
      </c>
      <c r="D1962" s="389" t="s">
        <v>1968</v>
      </c>
      <c r="E1962" s="390" t="s">
        <v>368</v>
      </c>
      <c r="F1962" s="391">
        <v>6458.0</v>
      </c>
      <c r="G1962" s="391">
        <v>2672.0</v>
      </c>
      <c r="H1962" s="391">
        <v>41.38</v>
      </c>
      <c r="I1962" s="391">
        <v>13.11</v>
      </c>
      <c r="J1962" s="391">
        <v>15.0</v>
      </c>
      <c r="K1962" s="391">
        <v>63380.0</v>
      </c>
      <c r="L1962" s="391">
        <v>483420.0</v>
      </c>
      <c r="M1962" s="391">
        <v>9.8142</v>
      </c>
      <c r="N1962" s="38">
        <v>23.7201</v>
      </c>
    </row>
    <row r="1963">
      <c r="A1963" s="389" t="s">
        <v>1973</v>
      </c>
      <c r="B1963" s="389" t="s">
        <v>137</v>
      </c>
      <c r="C1963" s="389" t="s">
        <v>360</v>
      </c>
      <c r="D1963" s="389" t="s">
        <v>1968</v>
      </c>
      <c r="E1963" s="390" t="s">
        <v>39</v>
      </c>
      <c r="F1963" s="391">
        <v>6458.0</v>
      </c>
      <c r="G1963" s="391">
        <v>3616.0</v>
      </c>
      <c r="H1963" s="391">
        <v>55.99</v>
      </c>
      <c r="I1963" s="391">
        <v>10.19</v>
      </c>
      <c r="J1963" s="391">
        <v>16.24</v>
      </c>
      <c r="K1963" s="391">
        <v>49260.0</v>
      </c>
      <c r="L1963" s="391">
        <v>483420.0</v>
      </c>
      <c r="M1963" s="391">
        <v>7.6277</v>
      </c>
      <c r="N1963" s="38">
        <v>13.6228</v>
      </c>
    </row>
    <row r="1964">
      <c r="A1964" s="389" t="s">
        <v>1973</v>
      </c>
      <c r="B1964" s="389" t="s">
        <v>137</v>
      </c>
      <c r="C1964" s="389" t="s">
        <v>360</v>
      </c>
      <c r="D1964" s="389" t="s">
        <v>1968</v>
      </c>
      <c r="E1964" s="390" t="s">
        <v>366</v>
      </c>
      <c r="F1964" s="391">
        <v>6458.0</v>
      </c>
      <c r="G1964" s="391">
        <v>745.0</v>
      </c>
      <c r="H1964" s="391">
        <v>11.54</v>
      </c>
      <c r="I1964" s="391">
        <v>9.3</v>
      </c>
      <c r="J1964" s="391">
        <v>4.65</v>
      </c>
      <c r="K1964" s="391">
        <v>44940.0</v>
      </c>
      <c r="L1964" s="391">
        <v>483420.0</v>
      </c>
      <c r="M1964" s="391">
        <v>6.9588</v>
      </c>
      <c r="N1964" s="38">
        <v>60.3221</v>
      </c>
    </row>
    <row r="1965">
      <c r="A1965" s="389" t="s">
        <v>1973</v>
      </c>
      <c r="B1965" s="389" t="s">
        <v>137</v>
      </c>
      <c r="C1965" s="389" t="s">
        <v>360</v>
      </c>
      <c r="D1965" s="389" t="s">
        <v>1968</v>
      </c>
      <c r="E1965" s="390" t="s">
        <v>163</v>
      </c>
      <c r="F1965" s="391">
        <v>6458.0</v>
      </c>
      <c r="G1965" s="391">
        <v>1202.0</v>
      </c>
      <c r="H1965" s="391">
        <v>18.61</v>
      </c>
      <c r="I1965" s="391">
        <v>5.16</v>
      </c>
      <c r="J1965" s="391">
        <v>6.2</v>
      </c>
      <c r="K1965" s="391">
        <v>24965.0</v>
      </c>
      <c r="L1965" s="391">
        <v>483420.0</v>
      </c>
      <c r="M1965" s="391">
        <v>3.8657</v>
      </c>
      <c r="N1965" s="38">
        <v>20.7696</v>
      </c>
    </row>
    <row r="1966">
      <c r="A1966" s="389" t="s">
        <v>1973</v>
      </c>
      <c r="B1966" s="389" t="s">
        <v>137</v>
      </c>
      <c r="C1966" s="389" t="s">
        <v>360</v>
      </c>
      <c r="D1966" s="389" t="s">
        <v>1968</v>
      </c>
      <c r="E1966" s="390" t="s">
        <v>30</v>
      </c>
      <c r="F1966" s="391">
        <v>6458.0</v>
      </c>
      <c r="G1966" s="391">
        <v>975.0</v>
      </c>
      <c r="H1966" s="391">
        <v>15.1</v>
      </c>
      <c r="I1966" s="391">
        <v>3.03</v>
      </c>
      <c r="J1966" s="391">
        <v>4.47</v>
      </c>
      <c r="K1966" s="391">
        <v>14670.0</v>
      </c>
      <c r="L1966" s="391">
        <v>483420.0</v>
      </c>
      <c r="M1966" s="391">
        <v>2.2716</v>
      </c>
      <c r="N1966" s="38">
        <v>15.0462</v>
      </c>
    </row>
    <row r="1967">
      <c r="A1967" s="389" t="s">
        <v>1973</v>
      </c>
      <c r="B1967" s="389" t="s">
        <v>137</v>
      </c>
      <c r="C1967" s="389" t="s">
        <v>360</v>
      </c>
      <c r="D1967" s="389" t="s">
        <v>1968</v>
      </c>
      <c r="E1967" s="390" t="s">
        <v>369</v>
      </c>
      <c r="F1967" s="391">
        <v>6458.0</v>
      </c>
      <c r="G1967" s="391">
        <v>67.0</v>
      </c>
      <c r="H1967" s="391">
        <v>1.04</v>
      </c>
      <c r="I1967" s="391">
        <v>0.47</v>
      </c>
      <c r="J1967" s="391">
        <v>0.49</v>
      </c>
      <c r="K1967" s="391">
        <v>2265.0</v>
      </c>
      <c r="L1967" s="391">
        <v>483420.0</v>
      </c>
      <c r="M1967" s="391">
        <v>0.3507</v>
      </c>
      <c r="N1967" s="38">
        <v>33.806</v>
      </c>
    </row>
    <row r="1968">
      <c r="A1968" s="389" t="s">
        <v>1973</v>
      </c>
      <c r="B1968" s="389" t="s">
        <v>137</v>
      </c>
      <c r="C1968" s="389" t="s">
        <v>12</v>
      </c>
      <c r="D1968" s="389" t="s">
        <v>1968</v>
      </c>
      <c r="E1968" s="390" t="s">
        <v>370</v>
      </c>
      <c r="F1968" s="391">
        <v>7211.0</v>
      </c>
      <c r="G1968" s="391">
        <v>7190.0</v>
      </c>
      <c r="H1968" s="391">
        <v>99.71</v>
      </c>
      <c r="I1968" s="391">
        <v>49.31</v>
      </c>
      <c r="J1968" s="391">
        <v>45.6</v>
      </c>
      <c r="K1968" s="391">
        <v>5150775.0</v>
      </c>
      <c r="L1968" s="391">
        <v>1.0444668E7</v>
      </c>
      <c r="M1968" s="391">
        <v>714.2941</v>
      </c>
      <c r="N1968" s="38">
        <v>716.3804</v>
      </c>
    </row>
    <row r="1969">
      <c r="A1969" s="389" t="s">
        <v>1973</v>
      </c>
      <c r="B1969" s="389" t="s">
        <v>137</v>
      </c>
      <c r="C1969" s="389" t="s">
        <v>12</v>
      </c>
      <c r="D1969" s="389" t="s">
        <v>1968</v>
      </c>
      <c r="E1969" s="390" t="s">
        <v>365</v>
      </c>
      <c r="F1969" s="391">
        <v>7211.0</v>
      </c>
      <c r="G1969" s="391">
        <v>6858.0</v>
      </c>
      <c r="H1969" s="391">
        <v>95.1</v>
      </c>
      <c r="I1969" s="391">
        <v>17.72</v>
      </c>
      <c r="J1969" s="391">
        <v>20.04</v>
      </c>
      <c r="K1969" s="391">
        <v>1851150.0</v>
      </c>
      <c r="L1969" s="391">
        <v>1.0444668E7</v>
      </c>
      <c r="M1969" s="391">
        <v>256.712</v>
      </c>
      <c r="N1969" s="38">
        <v>269.9256</v>
      </c>
    </row>
    <row r="1970">
      <c r="A1970" s="389" t="s">
        <v>1973</v>
      </c>
      <c r="B1970" s="389" t="s">
        <v>137</v>
      </c>
      <c r="C1970" s="389" t="s">
        <v>12</v>
      </c>
      <c r="D1970" s="389" t="s">
        <v>1968</v>
      </c>
      <c r="E1970" s="390" t="s">
        <v>44</v>
      </c>
      <c r="F1970" s="391">
        <v>7211.0</v>
      </c>
      <c r="G1970" s="391">
        <v>4983.0</v>
      </c>
      <c r="H1970" s="391">
        <v>69.1</v>
      </c>
      <c r="I1970" s="391">
        <v>7.36</v>
      </c>
      <c r="J1970" s="391">
        <v>7.28</v>
      </c>
      <c r="K1970" s="391">
        <v>768620.0</v>
      </c>
      <c r="L1970" s="391">
        <v>1.0444668E7</v>
      </c>
      <c r="M1970" s="391">
        <v>106.5899</v>
      </c>
      <c r="N1970" s="38">
        <v>154.2484</v>
      </c>
    </row>
    <row r="1971">
      <c r="A1971" s="389" t="s">
        <v>1973</v>
      </c>
      <c r="B1971" s="389" t="s">
        <v>137</v>
      </c>
      <c r="C1971" s="389" t="s">
        <v>12</v>
      </c>
      <c r="D1971" s="389" t="s">
        <v>1968</v>
      </c>
      <c r="E1971" s="390" t="s">
        <v>371</v>
      </c>
      <c r="F1971" s="391">
        <v>7211.0</v>
      </c>
      <c r="G1971" s="391">
        <v>4712.0</v>
      </c>
      <c r="H1971" s="391">
        <v>65.34</v>
      </c>
      <c r="I1971" s="391">
        <v>5.43</v>
      </c>
      <c r="J1971" s="391">
        <v>7.88</v>
      </c>
      <c r="K1971" s="391">
        <v>566970.0</v>
      </c>
      <c r="L1971" s="391">
        <v>1.0444668E7</v>
      </c>
      <c r="M1971" s="391">
        <v>78.6257</v>
      </c>
      <c r="N1971" s="38">
        <v>120.3247</v>
      </c>
    </row>
    <row r="1972">
      <c r="A1972" s="389" t="s">
        <v>1973</v>
      </c>
      <c r="B1972" s="389" t="s">
        <v>137</v>
      </c>
      <c r="C1972" s="389" t="s">
        <v>12</v>
      </c>
      <c r="D1972" s="389" t="s">
        <v>1968</v>
      </c>
      <c r="E1972" s="390" t="s">
        <v>39</v>
      </c>
      <c r="F1972" s="391">
        <v>7211.0</v>
      </c>
      <c r="G1972" s="391">
        <v>4058.0</v>
      </c>
      <c r="H1972" s="391">
        <v>56.28</v>
      </c>
      <c r="I1972" s="391">
        <v>4.6</v>
      </c>
      <c r="J1972" s="391">
        <v>5.23</v>
      </c>
      <c r="K1972" s="391">
        <v>479970.0</v>
      </c>
      <c r="L1972" s="391">
        <v>1.0444668E7</v>
      </c>
      <c r="M1972" s="391">
        <v>66.5608</v>
      </c>
      <c r="N1972" s="38">
        <v>118.2775</v>
      </c>
    </row>
    <row r="1973">
      <c r="A1973" s="389" t="s">
        <v>1973</v>
      </c>
      <c r="B1973" s="389" t="s">
        <v>137</v>
      </c>
      <c r="C1973" s="389" t="s">
        <v>12</v>
      </c>
      <c r="D1973" s="389" t="s">
        <v>1968</v>
      </c>
      <c r="E1973" s="390" t="s">
        <v>366</v>
      </c>
      <c r="F1973" s="391">
        <v>7211.0</v>
      </c>
      <c r="G1973" s="391">
        <v>5016.0</v>
      </c>
      <c r="H1973" s="391">
        <v>69.56</v>
      </c>
      <c r="I1973" s="391">
        <v>4.21</v>
      </c>
      <c r="J1973" s="391">
        <v>3.31</v>
      </c>
      <c r="K1973" s="391">
        <v>439475.0</v>
      </c>
      <c r="L1973" s="391">
        <v>1.0444668E7</v>
      </c>
      <c r="M1973" s="391">
        <v>60.9451</v>
      </c>
      <c r="N1973" s="38">
        <v>87.6146</v>
      </c>
    </row>
    <row r="1974">
      <c r="A1974" s="389" t="s">
        <v>1973</v>
      </c>
      <c r="B1974" s="389" t="s">
        <v>137</v>
      </c>
      <c r="C1974" s="389" t="s">
        <v>12</v>
      </c>
      <c r="D1974" s="389" t="s">
        <v>1968</v>
      </c>
      <c r="E1974" s="390" t="s">
        <v>368</v>
      </c>
      <c r="F1974" s="391">
        <v>7211.0</v>
      </c>
      <c r="G1974" s="391">
        <v>2875.0</v>
      </c>
      <c r="H1974" s="391">
        <v>39.87</v>
      </c>
      <c r="I1974" s="391">
        <v>3.48</v>
      </c>
      <c r="J1974" s="391">
        <v>3.8</v>
      </c>
      <c r="K1974" s="391">
        <v>363540.0</v>
      </c>
      <c r="L1974" s="391">
        <v>1.0444668E7</v>
      </c>
      <c r="M1974" s="391">
        <v>50.4146</v>
      </c>
      <c r="N1974" s="38">
        <v>126.4487</v>
      </c>
    </row>
    <row r="1975">
      <c r="A1975" s="389" t="s">
        <v>1973</v>
      </c>
      <c r="B1975" s="389" t="s">
        <v>137</v>
      </c>
      <c r="C1975" s="389" t="s">
        <v>12</v>
      </c>
      <c r="D1975" s="389" t="s">
        <v>1968</v>
      </c>
      <c r="E1975" s="390" t="s">
        <v>30</v>
      </c>
      <c r="F1975" s="391">
        <v>7211.0</v>
      </c>
      <c r="G1975" s="391">
        <v>1238.0</v>
      </c>
      <c r="H1975" s="391">
        <v>17.17</v>
      </c>
      <c r="I1975" s="391">
        <v>2.12</v>
      </c>
      <c r="J1975" s="391">
        <v>1.82</v>
      </c>
      <c r="K1975" s="391">
        <v>221490.0</v>
      </c>
      <c r="L1975" s="391">
        <v>1.0444668E7</v>
      </c>
      <c r="M1975" s="391">
        <v>30.7156</v>
      </c>
      <c r="N1975" s="38">
        <v>178.9095</v>
      </c>
    </row>
    <row r="1976">
      <c r="A1976" s="389" t="s">
        <v>1973</v>
      </c>
      <c r="B1976" s="389" t="s">
        <v>137</v>
      </c>
      <c r="C1976" s="389" t="s">
        <v>12</v>
      </c>
      <c r="D1976" s="389" t="s">
        <v>1968</v>
      </c>
      <c r="E1976" s="390" t="s">
        <v>163</v>
      </c>
      <c r="F1976" s="391">
        <v>7211.0</v>
      </c>
      <c r="G1976" s="391">
        <v>1253.0</v>
      </c>
      <c r="H1976" s="391">
        <v>17.38</v>
      </c>
      <c r="I1976" s="391">
        <v>1.29</v>
      </c>
      <c r="J1976" s="391">
        <v>1.27</v>
      </c>
      <c r="K1976" s="391">
        <v>134220.0</v>
      </c>
      <c r="L1976" s="391">
        <v>1.0444668E7</v>
      </c>
      <c r="M1976" s="391">
        <v>18.6132</v>
      </c>
      <c r="N1976" s="38">
        <v>107.1189</v>
      </c>
    </row>
    <row r="1977">
      <c r="A1977" s="389" t="s">
        <v>1973</v>
      </c>
      <c r="B1977" s="389" t="s">
        <v>137</v>
      </c>
      <c r="C1977" s="389" t="s">
        <v>12</v>
      </c>
      <c r="D1977" s="389" t="s">
        <v>1968</v>
      </c>
      <c r="E1977" s="390" t="s">
        <v>367</v>
      </c>
      <c r="F1977" s="391">
        <v>7211.0</v>
      </c>
      <c r="G1977" s="391">
        <v>1555.0</v>
      </c>
      <c r="H1977" s="391">
        <v>21.56</v>
      </c>
      <c r="I1977" s="391">
        <v>1.23</v>
      </c>
      <c r="J1977" s="391">
        <v>0.97</v>
      </c>
      <c r="K1977" s="391">
        <v>128780.0</v>
      </c>
      <c r="L1977" s="391">
        <v>1.0444668E7</v>
      </c>
      <c r="M1977" s="391">
        <v>17.8588</v>
      </c>
      <c r="N1977" s="38">
        <v>82.8167</v>
      </c>
    </row>
    <row r="1978">
      <c r="A1978" s="389" t="s">
        <v>1973</v>
      </c>
      <c r="B1978" s="389" t="s">
        <v>137</v>
      </c>
      <c r="C1978" s="389" t="s">
        <v>12</v>
      </c>
      <c r="D1978" s="389" t="s">
        <v>1968</v>
      </c>
      <c r="E1978" s="390" t="s">
        <v>38</v>
      </c>
      <c r="F1978" s="391">
        <v>7211.0</v>
      </c>
      <c r="G1978" s="391">
        <v>2952.0</v>
      </c>
      <c r="H1978" s="391">
        <v>40.94</v>
      </c>
      <c r="I1978" s="391">
        <v>1.05</v>
      </c>
      <c r="J1978" s="391">
        <v>1.28</v>
      </c>
      <c r="K1978" s="391">
        <v>110130.0</v>
      </c>
      <c r="L1978" s="391">
        <v>1.0444668E7</v>
      </c>
      <c r="M1978" s="391">
        <v>15.2725</v>
      </c>
      <c r="N1978" s="38">
        <v>37.3069</v>
      </c>
    </row>
    <row r="1979">
      <c r="A1979" s="389" t="s">
        <v>1973</v>
      </c>
      <c r="B1979" s="389" t="s">
        <v>137</v>
      </c>
      <c r="C1979" s="389" t="s">
        <v>12</v>
      </c>
      <c r="D1979" s="389" t="s">
        <v>1968</v>
      </c>
      <c r="E1979" s="390" t="s">
        <v>363</v>
      </c>
      <c r="F1979" s="391">
        <v>7211.0</v>
      </c>
      <c r="G1979" s="391">
        <v>1843.0</v>
      </c>
      <c r="H1979" s="391">
        <v>25.56</v>
      </c>
      <c r="I1979" s="391">
        <v>0.93</v>
      </c>
      <c r="J1979" s="391">
        <v>0.55</v>
      </c>
      <c r="K1979" s="391">
        <v>97260.0</v>
      </c>
      <c r="L1979" s="391">
        <v>1.0444668E7</v>
      </c>
      <c r="M1979" s="391">
        <v>13.4877</v>
      </c>
      <c r="N1979" s="38">
        <v>52.7727</v>
      </c>
    </row>
    <row r="1980">
      <c r="A1980" s="389" t="s">
        <v>1973</v>
      </c>
      <c r="B1980" s="389" t="s">
        <v>137</v>
      </c>
      <c r="C1980" s="389" t="s">
        <v>12</v>
      </c>
      <c r="D1980" s="389" t="s">
        <v>1968</v>
      </c>
      <c r="E1980" s="390" t="s">
        <v>369</v>
      </c>
      <c r="F1980" s="391">
        <v>7211.0</v>
      </c>
      <c r="G1980" s="391">
        <v>1675.0</v>
      </c>
      <c r="H1980" s="391">
        <v>23.23</v>
      </c>
      <c r="I1980" s="391">
        <v>0.78</v>
      </c>
      <c r="J1980" s="391">
        <v>0.59</v>
      </c>
      <c r="K1980" s="391">
        <v>81083.0</v>
      </c>
      <c r="L1980" s="391">
        <v>1.0444668E7</v>
      </c>
      <c r="M1980" s="391">
        <v>11.2443</v>
      </c>
      <c r="N1980" s="38">
        <v>48.4078</v>
      </c>
    </row>
    <row r="1981">
      <c r="A1981" s="389" t="s">
        <v>1973</v>
      </c>
      <c r="B1981" s="389" t="s">
        <v>137</v>
      </c>
      <c r="C1981" s="389" t="s">
        <v>12</v>
      </c>
      <c r="D1981" s="389" t="s">
        <v>1968</v>
      </c>
      <c r="E1981" s="390" t="s">
        <v>108</v>
      </c>
      <c r="F1981" s="391">
        <v>7211.0</v>
      </c>
      <c r="G1981" s="391">
        <v>654.0</v>
      </c>
      <c r="H1981" s="391">
        <v>9.07</v>
      </c>
      <c r="I1981" s="391">
        <v>0.35</v>
      </c>
      <c r="J1981" s="391">
        <v>0.25</v>
      </c>
      <c r="K1981" s="391">
        <v>36595.0</v>
      </c>
      <c r="L1981" s="391">
        <v>1.0444668E7</v>
      </c>
      <c r="M1981" s="391">
        <v>5.0749</v>
      </c>
      <c r="N1981" s="38">
        <v>55.9557</v>
      </c>
    </row>
    <row r="1982">
      <c r="A1982" s="389" t="s">
        <v>1973</v>
      </c>
      <c r="B1982" s="389" t="s">
        <v>137</v>
      </c>
      <c r="C1982" s="389" t="s">
        <v>12</v>
      </c>
      <c r="D1982" s="389" t="s">
        <v>1968</v>
      </c>
      <c r="E1982" s="390" t="s">
        <v>27</v>
      </c>
      <c r="F1982" s="391">
        <v>7211.0</v>
      </c>
      <c r="G1982" s="391">
        <v>366.0</v>
      </c>
      <c r="H1982" s="391">
        <v>5.08</v>
      </c>
      <c r="I1982" s="391">
        <v>0.11</v>
      </c>
      <c r="J1982" s="391">
        <v>0.09</v>
      </c>
      <c r="K1982" s="391">
        <v>11520.0</v>
      </c>
      <c r="L1982" s="391">
        <v>1.0444668E7</v>
      </c>
      <c r="M1982" s="391">
        <v>1.5976</v>
      </c>
      <c r="N1982" s="38">
        <v>31.4754</v>
      </c>
    </row>
    <row r="1983">
      <c r="A1983" s="389" t="s">
        <v>1973</v>
      </c>
      <c r="B1983" s="389" t="s">
        <v>137</v>
      </c>
      <c r="C1983" s="389" t="s">
        <v>12</v>
      </c>
      <c r="D1983" s="389" t="s">
        <v>1968</v>
      </c>
      <c r="E1983" s="390" t="s">
        <v>45</v>
      </c>
      <c r="F1983" s="391">
        <v>7211.0</v>
      </c>
      <c r="G1983" s="391">
        <v>56.0</v>
      </c>
      <c r="H1983" s="391">
        <v>0.78</v>
      </c>
      <c r="I1983" s="391">
        <v>0.03</v>
      </c>
      <c r="J1983" s="391">
        <v>0.03</v>
      </c>
      <c r="K1983" s="391">
        <v>3020.0</v>
      </c>
      <c r="L1983" s="391">
        <v>1.0444668E7</v>
      </c>
      <c r="M1983" s="391">
        <v>0.4188</v>
      </c>
      <c r="N1983" s="38">
        <v>53.9286</v>
      </c>
    </row>
    <row r="1984">
      <c r="A1984" s="389" t="s">
        <v>1973</v>
      </c>
      <c r="B1984" s="389" t="s">
        <v>137</v>
      </c>
      <c r="C1984" s="389" t="s">
        <v>12</v>
      </c>
      <c r="D1984" s="389" t="s">
        <v>1968</v>
      </c>
      <c r="E1984" s="390" t="s">
        <v>37</v>
      </c>
      <c r="F1984" s="391">
        <v>7211.0</v>
      </c>
      <c r="G1984" s="391">
        <v>1.0</v>
      </c>
      <c r="H1984" s="391">
        <v>0.01</v>
      </c>
      <c r="I1984" s="391">
        <v>0.0</v>
      </c>
      <c r="J1984" s="391">
        <v>0.0</v>
      </c>
      <c r="K1984" s="391">
        <v>40.0</v>
      </c>
      <c r="L1984" s="391">
        <v>1.0444668E7</v>
      </c>
      <c r="M1984" s="391">
        <v>0.0055</v>
      </c>
      <c r="N1984" s="38">
        <v>40.0</v>
      </c>
    </row>
    <row r="1985">
      <c r="A1985" s="389" t="s">
        <v>1973</v>
      </c>
      <c r="B1985" s="389" t="s">
        <v>137</v>
      </c>
      <c r="C1985" s="389" t="s">
        <v>12</v>
      </c>
      <c r="D1985" s="389" t="s">
        <v>1968</v>
      </c>
      <c r="E1985" s="390" t="s">
        <v>372</v>
      </c>
      <c r="F1985" s="391">
        <v>7211.0</v>
      </c>
      <c r="G1985" s="391">
        <v>1.0</v>
      </c>
      <c r="H1985" s="391">
        <v>0.01</v>
      </c>
      <c r="I1985" s="391">
        <v>0.0</v>
      </c>
      <c r="J1985" s="391">
        <v>0.0</v>
      </c>
      <c r="K1985" s="391">
        <v>30.0</v>
      </c>
      <c r="L1985" s="391">
        <v>1.0444668E7</v>
      </c>
      <c r="M1985" s="391">
        <v>0.0042</v>
      </c>
      <c r="N1985" s="38">
        <v>30.0</v>
      </c>
    </row>
    <row r="1986">
      <c r="A1986" s="389" t="s">
        <v>1973</v>
      </c>
      <c r="B1986" s="389" t="s">
        <v>339</v>
      </c>
      <c r="C1986" s="389" t="s">
        <v>8</v>
      </c>
      <c r="D1986" s="389" t="s">
        <v>591</v>
      </c>
      <c r="E1986" s="390" t="s">
        <v>370</v>
      </c>
      <c r="F1986" s="391">
        <v>4168.0</v>
      </c>
      <c r="G1986" s="391">
        <v>4140.0</v>
      </c>
      <c r="H1986" s="391">
        <v>99.33</v>
      </c>
      <c r="I1986" s="391">
        <v>33.11</v>
      </c>
      <c r="J1986" s="391">
        <v>33.75</v>
      </c>
      <c r="K1986" s="391">
        <v>17934.0</v>
      </c>
      <c r="L1986" s="391">
        <v>54157.0</v>
      </c>
      <c r="M1986" s="391">
        <v>4.3028</v>
      </c>
      <c r="N1986" s="38">
        <v>4.3319</v>
      </c>
    </row>
    <row r="1987">
      <c r="A1987" s="389" t="s">
        <v>1973</v>
      </c>
      <c r="B1987" s="389" t="s">
        <v>339</v>
      </c>
      <c r="C1987" s="389" t="s">
        <v>8</v>
      </c>
      <c r="D1987" s="389" t="s">
        <v>591</v>
      </c>
      <c r="E1987" s="390" t="s">
        <v>371</v>
      </c>
      <c r="F1987" s="391">
        <v>4168.0</v>
      </c>
      <c r="G1987" s="391">
        <v>3120.0</v>
      </c>
      <c r="H1987" s="391">
        <v>74.86</v>
      </c>
      <c r="I1987" s="391">
        <v>20.26</v>
      </c>
      <c r="J1987" s="391">
        <v>20.85</v>
      </c>
      <c r="K1987" s="391">
        <v>10972.0</v>
      </c>
      <c r="L1987" s="391">
        <v>54157.0</v>
      </c>
      <c r="M1987" s="391">
        <v>2.6324</v>
      </c>
      <c r="N1987" s="38">
        <v>3.5167</v>
      </c>
    </row>
    <row r="1988">
      <c r="A1988" s="389" t="s">
        <v>1973</v>
      </c>
      <c r="B1988" s="389" t="s">
        <v>339</v>
      </c>
      <c r="C1988" s="389" t="s">
        <v>8</v>
      </c>
      <c r="D1988" s="389" t="s">
        <v>591</v>
      </c>
      <c r="E1988" s="390" t="s">
        <v>369</v>
      </c>
      <c r="F1988" s="391">
        <v>4168.0</v>
      </c>
      <c r="G1988" s="391">
        <v>3032.0</v>
      </c>
      <c r="H1988" s="391">
        <v>72.74</v>
      </c>
      <c r="I1988" s="391">
        <v>14.13</v>
      </c>
      <c r="J1988" s="391">
        <v>13.21</v>
      </c>
      <c r="K1988" s="391">
        <v>7650.0</v>
      </c>
      <c r="L1988" s="391">
        <v>54157.0</v>
      </c>
      <c r="M1988" s="391">
        <v>1.8354</v>
      </c>
      <c r="N1988" s="38">
        <v>2.5231</v>
      </c>
    </row>
    <row r="1989">
      <c r="A1989" s="389" t="s">
        <v>1973</v>
      </c>
      <c r="B1989" s="389" t="s">
        <v>339</v>
      </c>
      <c r="C1989" s="389" t="s">
        <v>8</v>
      </c>
      <c r="D1989" s="389" t="s">
        <v>591</v>
      </c>
      <c r="E1989" s="390" t="s">
        <v>365</v>
      </c>
      <c r="F1989" s="391">
        <v>4168.0</v>
      </c>
      <c r="G1989" s="391">
        <v>2638.0</v>
      </c>
      <c r="H1989" s="391">
        <v>63.29</v>
      </c>
      <c r="I1989" s="391">
        <v>10.04</v>
      </c>
      <c r="J1989" s="391">
        <v>10.79</v>
      </c>
      <c r="K1989" s="391">
        <v>5440.0</v>
      </c>
      <c r="L1989" s="391">
        <v>54157.0</v>
      </c>
      <c r="M1989" s="391">
        <v>1.3052</v>
      </c>
      <c r="N1989" s="38">
        <v>2.0622</v>
      </c>
    </row>
    <row r="1990">
      <c r="A1990" s="389" t="s">
        <v>1973</v>
      </c>
      <c r="B1990" s="389" t="s">
        <v>339</v>
      </c>
      <c r="C1990" s="389" t="s">
        <v>8</v>
      </c>
      <c r="D1990" s="389" t="s">
        <v>591</v>
      </c>
      <c r="E1990" s="390" t="s">
        <v>44</v>
      </c>
      <c r="F1990" s="391">
        <v>4168.0</v>
      </c>
      <c r="G1990" s="391">
        <v>2098.0</v>
      </c>
      <c r="H1990" s="391">
        <v>50.34</v>
      </c>
      <c r="I1990" s="391">
        <v>7.5</v>
      </c>
      <c r="J1990" s="391">
        <v>6.88</v>
      </c>
      <c r="K1990" s="391">
        <v>4062.0</v>
      </c>
      <c r="L1990" s="391">
        <v>54157.0</v>
      </c>
      <c r="M1990" s="391">
        <v>0.9746</v>
      </c>
      <c r="N1990" s="38">
        <v>1.9361</v>
      </c>
    </row>
    <row r="1991">
      <c r="A1991" s="389" t="s">
        <v>1973</v>
      </c>
      <c r="B1991" s="389" t="s">
        <v>339</v>
      </c>
      <c r="C1991" s="389" t="s">
        <v>8</v>
      </c>
      <c r="D1991" s="389" t="s">
        <v>591</v>
      </c>
      <c r="E1991" s="390" t="s">
        <v>39</v>
      </c>
      <c r="F1991" s="391">
        <v>4168.0</v>
      </c>
      <c r="G1991" s="391">
        <v>2295.0</v>
      </c>
      <c r="H1991" s="391">
        <v>55.06</v>
      </c>
      <c r="I1991" s="391">
        <v>5.4</v>
      </c>
      <c r="J1991" s="391">
        <v>6.13</v>
      </c>
      <c r="K1991" s="391">
        <v>2924.0</v>
      </c>
      <c r="L1991" s="391">
        <v>54157.0</v>
      </c>
      <c r="M1991" s="391">
        <v>0.7015</v>
      </c>
      <c r="N1991" s="38">
        <v>1.2741</v>
      </c>
    </row>
    <row r="1992">
      <c r="A1992" s="389" t="s">
        <v>1973</v>
      </c>
      <c r="B1992" s="389" t="s">
        <v>339</v>
      </c>
      <c r="C1992" s="389" t="s">
        <v>8</v>
      </c>
      <c r="D1992" s="389" t="s">
        <v>591</v>
      </c>
      <c r="E1992" s="390" t="s">
        <v>108</v>
      </c>
      <c r="F1992" s="391">
        <v>4168.0</v>
      </c>
      <c r="G1992" s="391">
        <v>777.0</v>
      </c>
      <c r="H1992" s="391">
        <v>18.64</v>
      </c>
      <c r="I1992" s="391">
        <v>3.26</v>
      </c>
      <c r="J1992" s="391">
        <v>2.52</v>
      </c>
      <c r="K1992" s="391">
        <v>1766.0</v>
      </c>
      <c r="L1992" s="391">
        <v>54157.0</v>
      </c>
      <c r="M1992" s="391">
        <v>0.4237</v>
      </c>
      <c r="N1992" s="38">
        <v>2.2728</v>
      </c>
    </row>
    <row r="1993">
      <c r="A1993" s="389" t="s">
        <v>1973</v>
      </c>
      <c r="B1993" s="389" t="s">
        <v>339</v>
      </c>
      <c r="C1993" s="389" t="s">
        <v>8</v>
      </c>
      <c r="D1993" s="389" t="s">
        <v>591</v>
      </c>
      <c r="E1993" s="390" t="s">
        <v>368</v>
      </c>
      <c r="F1993" s="391">
        <v>4168.0</v>
      </c>
      <c r="G1993" s="391">
        <v>1056.0</v>
      </c>
      <c r="H1993" s="391">
        <v>25.34</v>
      </c>
      <c r="I1993" s="391">
        <v>2.14</v>
      </c>
      <c r="J1993" s="391">
        <v>2.1</v>
      </c>
      <c r="K1993" s="391">
        <v>1157.0</v>
      </c>
      <c r="L1993" s="391">
        <v>54157.0</v>
      </c>
      <c r="M1993" s="391">
        <v>0.2776</v>
      </c>
      <c r="N1993" s="38">
        <v>1.0956</v>
      </c>
    </row>
    <row r="1994">
      <c r="A1994" s="389" t="s">
        <v>1973</v>
      </c>
      <c r="B1994" s="389" t="s">
        <v>339</v>
      </c>
      <c r="C1994" s="389" t="s">
        <v>8</v>
      </c>
      <c r="D1994" s="389" t="s">
        <v>591</v>
      </c>
      <c r="E1994" s="390" t="s">
        <v>37</v>
      </c>
      <c r="F1994" s="391">
        <v>4168.0</v>
      </c>
      <c r="G1994" s="391">
        <v>866.0</v>
      </c>
      <c r="H1994" s="391">
        <v>20.78</v>
      </c>
      <c r="I1994" s="391">
        <v>1.94</v>
      </c>
      <c r="J1994" s="391">
        <v>1.86</v>
      </c>
      <c r="K1994" s="391">
        <v>1053.0</v>
      </c>
      <c r="L1994" s="391">
        <v>54157.0</v>
      </c>
      <c r="M1994" s="391">
        <v>0.2526</v>
      </c>
      <c r="N1994" s="38">
        <v>1.2159</v>
      </c>
    </row>
    <row r="1995">
      <c r="A1995" s="389" t="s">
        <v>1973</v>
      </c>
      <c r="B1995" s="389" t="s">
        <v>339</v>
      </c>
      <c r="C1995" s="389" t="s">
        <v>8</v>
      </c>
      <c r="D1995" s="389" t="s">
        <v>591</v>
      </c>
      <c r="E1995" s="390" t="s">
        <v>45</v>
      </c>
      <c r="F1995" s="391">
        <v>4168.0</v>
      </c>
      <c r="G1995" s="391">
        <v>387.0</v>
      </c>
      <c r="H1995" s="391">
        <v>9.29</v>
      </c>
      <c r="I1995" s="391">
        <v>0.81</v>
      </c>
      <c r="J1995" s="391">
        <v>0.74</v>
      </c>
      <c r="K1995" s="391">
        <v>440.0</v>
      </c>
      <c r="L1995" s="391">
        <v>54157.0</v>
      </c>
      <c r="M1995" s="391">
        <v>0.1056</v>
      </c>
      <c r="N1995" s="38">
        <v>1.137</v>
      </c>
    </row>
    <row r="1996">
      <c r="A1996" s="389" t="s">
        <v>1973</v>
      </c>
      <c r="B1996" s="389" t="s">
        <v>339</v>
      </c>
      <c r="C1996" s="389" t="s">
        <v>8</v>
      </c>
      <c r="D1996" s="389" t="s">
        <v>591</v>
      </c>
      <c r="E1996" s="390" t="s">
        <v>30</v>
      </c>
      <c r="F1996" s="391">
        <v>4168.0</v>
      </c>
      <c r="G1996" s="391">
        <v>391.0</v>
      </c>
      <c r="H1996" s="391">
        <v>9.38</v>
      </c>
      <c r="I1996" s="391">
        <v>0.73</v>
      </c>
      <c r="J1996" s="391">
        <v>0.62</v>
      </c>
      <c r="K1996" s="391">
        <v>393.0</v>
      </c>
      <c r="L1996" s="391">
        <v>54157.0</v>
      </c>
      <c r="M1996" s="391">
        <v>0.0943</v>
      </c>
      <c r="N1996" s="38">
        <v>1.0051</v>
      </c>
    </row>
    <row r="1997">
      <c r="A1997" s="389" t="s">
        <v>1973</v>
      </c>
      <c r="B1997" s="389" t="s">
        <v>339</v>
      </c>
      <c r="C1997" s="389" t="s">
        <v>8</v>
      </c>
      <c r="D1997" s="389" t="s">
        <v>591</v>
      </c>
      <c r="E1997" s="390" t="s">
        <v>163</v>
      </c>
      <c r="F1997" s="391">
        <v>4168.0</v>
      </c>
      <c r="G1997" s="391">
        <v>327.0</v>
      </c>
      <c r="H1997" s="391">
        <v>7.85</v>
      </c>
      <c r="I1997" s="391">
        <v>0.61</v>
      </c>
      <c r="J1997" s="391">
        <v>0.46</v>
      </c>
      <c r="K1997" s="391">
        <v>333.0</v>
      </c>
      <c r="L1997" s="391">
        <v>54157.0</v>
      </c>
      <c r="M1997" s="391">
        <v>0.0799</v>
      </c>
      <c r="N1997" s="38">
        <v>1.0183</v>
      </c>
    </row>
    <row r="1998">
      <c r="A1998" s="389" t="s">
        <v>1973</v>
      </c>
      <c r="B1998" s="389" t="s">
        <v>339</v>
      </c>
      <c r="C1998" s="389" t="s">
        <v>8</v>
      </c>
      <c r="D1998" s="389" t="s">
        <v>591</v>
      </c>
      <c r="E1998" s="390" t="s">
        <v>38</v>
      </c>
      <c r="F1998" s="391">
        <v>4168.0</v>
      </c>
      <c r="G1998" s="391">
        <v>23.0</v>
      </c>
      <c r="H1998" s="391">
        <v>0.55</v>
      </c>
      <c r="I1998" s="391">
        <v>0.04</v>
      </c>
      <c r="J1998" s="391">
        <v>0.06</v>
      </c>
      <c r="K1998" s="391">
        <v>24.0</v>
      </c>
      <c r="L1998" s="391">
        <v>54157.0</v>
      </c>
      <c r="M1998" s="391">
        <v>0.0058</v>
      </c>
      <c r="N1998" s="38">
        <v>1.0435</v>
      </c>
    </row>
    <row r="1999">
      <c r="A1999" s="389" t="s">
        <v>1973</v>
      </c>
      <c r="B1999" s="389" t="s">
        <v>339</v>
      </c>
      <c r="C1999" s="389" t="s">
        <v>8</v>
      </c>
      <c r="D1999" s="389" t="s">
        <v>591</v>
      </c>
      <c r="E1999" s="390" t="s">
        <v>367</v>
      </c>
      <c r="F1999" s="391">
        <v>4168.0</v>
      </c>
      <c r="G1999" s="391">
        <v>1.0</v>
      </c>
      <c r="H1999" s="391">
        <v>0.02</v>
      </c>
      <c r="I1999" s="391">
        <v>0.01</v>
      </c>
      <c r="J1999" s="391">
        <v>0.0</v>
      </c>
      <c r="K1999" s="391">
        <v>3.0</v>
      </c>
      <c r="L1999" s="391">
        <v>54157.0</v>
      </c>
      <c r="M1999" s="391">
        <v>7.0E-4</v>
      </c>
      <c r="N1999" s="38">
        <v>3.0</v>
      </c>
    </row>
    <row r="2000">
      <c r="A2000" s="389" t="s">
        <v>1973</v>
      </c>
      <c r="B2000" s="389" t="s">
        <v>339</v>
      </c>
      <c r="C2000" s="389" t="s">
        <v>8</v>
      </c>
      <c r="D2000" s="389" t="s">
        <v>591</v>
      </c>
      <c r="E2000" s="390" t="s">
        <v>363</v>
      </c>
      <c r="F2000" s="390">
        <v>4168.0</v>
      </c>
      <c r="G2000" s="390">
        <v>6.0</v>
      </c>
      <c r="H2000" s="390">
        <v>0.14</v>
      </c>
      <c r="I2000" s="390">
        <v>0.01</v>
      </c>
      <c r="J2000" s="390">
        <v>0.01</v>
      </c>
      <c r="K2000" s="390">
        <v>6.0</v>
      </c>
      <c r="L2000" s="390">
        <v>54157.0</v>
      </c>
      <c r="M2000" s="390">
        <v>0.0014</v>
      </c>
      <c r="N2000" s="38">
        <v>1.0</v>
      </c>
    </row>
    <row r="2001">
      <c r="A2001" s="389" t="s">
        <v>1973</v>
      </c>
      <c r="B2001" s="389" t="s">
        <v>339</v>
      </c>
      <c r="C2001" s="389" t="s">
        <v>7</v>
      </c>
      <c r="D2001" s="389" t="s">
        <v>591</v>
      </c>
      <c r="E2001" s="390" t="s">
        <v>370</v>
      </c>
      <c r="F2001" s="390">
        <v>4179.0</v>
      </c>
      <c r="G2001" s="390">
        <v>4166.0</v>
      </c>
      <c r="H2001" s="390">
        <v>99.69</v>
      </c>
      <c r="I2001" s="390">
        <v>61.08</v>
      </c>
      <c r="J2001" s="390">
        <v>56.93</v>
      </c>
      <c r="K2001" s="390">
        <v>71683.0</v>
      </c>
      <c r="L2001" s="390">
        <v>117352.0</v>
      </c>
      <c r="M2001" s="390">
        <v>17.1531</v>
      </c>
      <c r="N2001" s="38">
        <v>17.2067</v>
      </c>
    </row>
    <row r="2002">
      <c r="A2002" s="389" t="s">
        <v>1973</v>
      </c>
      <c r="B2002" s="389" t="s">
        <v>339</v>
      </c>
      <c r="C2002" s="389" t="s">
        <v>7</v>
      </c>
      <c r="D2002" s="389" t="s">
        <v>591</v>
      </c>
      <c r="E2002" s="390" t="s">
        <v>371</v>
      </c>
      <c r="F2002" s="390">
        <v>4179.0</v>
      </c>
      <c r="G2002" s="390">
        <v>3482.0</v>
      </c>
      <c r="H2002" s="390">
        <v>83.32</v>
      </c>
      <c r="I2002" s="390">
        <v>14.5</v>
      </c>
      <c r="J2002" s="390">
        <v>19.08</v>
      </c>
      <c r="K2002" s="390">
        <v>17013.0</v>
      </c>
      <c r="L2002" s="390">
        <v>117352.0</v>
      </c>
      <c r="M2002" s="390">
        <v>4.0711</v>
      </c>
      <c r="N2002" s="38">
        <v>4.886</v>
      </c>
    </row>
    <row r="2003">
      <c r="A2003" s="389" t="s">
        <v>1973</v>
      </c>
      <c r="B2003" s="389" t="s">
        <v>339</v>
      </c>
      <c r="C2003" s="389" t="s">
        <v>7</v>
      </c>
      <c r="D2003" s="389" t="s">
        <v>591</v>
      </c>
      <c r="E2003" s="390" t="s">
        <v>369</v>
      </c>
      <c r="F2003" s="390">
        <v>4179.0</v>
      </c>
      <c r="G2003" s="390">
        <v>3020.0</v>
      </c>
      <c r="H2003" s="390">
        <v>72.27</v>
      </c>
      <c r="I2003" s="390">
        <v>6.38</v>
      </c>
      <c r="J2003" s="390">
        <v>5.88</v>
      </c>
      <c r="K2003" s="390">
        <v>7491.0</v>
      </c>
      <c r="L2003" s="390">
        <v>117352.0</v>
      </c>
      <c r="M2003" s="390">
        <v>1.7925</v>
      </c>
      <c r="N2003" s="38">
        <v>2.4805</v>
      </c>
    </row>
    <row r="2004">
      <c r="A2004" s="389" t="s">
        <v>1973</v>
      </c>
      <c r="B2004" s="389" t="s">
        <v>339</v>
      </c>
      <c r="C2004" s="389" t="s">
        <v>7</v>
      </c>
      <c r="D2004" s="389" t="s">
        <v>591</v>
      </c>
      <c r="E2004" s="390" t="s">
        <v>365</v>
      </c>
      <c r="F2004" s="390">
        <v>4179.0</v>
      </c>
      <c r="G2004" s="390">
        <v>2577.0</v>
      </c>
      <c r="H2004" s="390">
        <v>61.67</v>
      </c>
      <c r="I2004" s="390">
        <v>6.14</v>
      </c>
      <c r="J2004" s="390">
        <v>6.08</v>
      </c>
      <c r="K2004" s="390">
        <v>7209.0</v>
      </c>
      <c r="L2004" s="390">
        <v>117352.0</v>
      </c>
      <c r="M2004" s="390">
        <v>1.7251</v>
      </c>
      <c r="N2004" s="38">
        <v>2.7974</v>
      </c>
    </row>
    <row r="2005">
      <c r="A2005" s="389" t="s">
        <v>1973</v>
      </c>
      <c r="B2005" s="389" t="s">
        <v>339</v>
      </c>
      <c r="C2005" s="389" t="s">
        <v>7</v>
      </c>
      <c r="D2005" s="389" t="s">
        <v>591</v>
      </c>
      <c r="E2005" s="390" t="s">
        <v>44</v>
      </c>
      <c r="F2005" s="390">
        <v>4179.0</v>
      </c>
      <c r="G2005" s="390">
        <v>2098.0</v>
      </c>
      <c r="H2005" s="390">
        <v>50.2</v>
      </c>
      <c r="I2005" s="390">
        <v>3.46</v>
      </c>
      <c r="J2005" s="390">
        <v>3.2</v>
      </c>
      <c r="K2005" s="390">
        <v>4062.0</v>
      </c>
      <c r="L2005" s="390">
        <v>117352.0</v>
      </c>
      <c r="M2005" s="390">
        <v>0.972</v>
      </c>
      <c r="N2005" s="38">
        <v>1.9361</v>
      </c>
    </row>
    <row r="2006">
      <c r="A2006" s="389" t="s">
        <v>1973</v>
      </c>
      <c r="B2006" s="389" t="s">
        <v>339</v>
      </c>
      <c r="C2006" s="389" t="s">
        <v>7</v>
      </c>
      <c r="D2006" s="389" t="s">
        <v>591</v>
      </c>
      <c r="E2006" s="390" t="s">
        <v>39</v>
      </c>
      <c r="F2006" s="390">
        <v>4179.0</v>
      </c>
      <c r="G2006" s="390">
        <v>2348.0</v>
      </c>
      <c r="H2006" s="390">
        <v>56.19</v>
      </c>
      <c r="I2006" s="390">
        <v>2.56</v>
      </c>
      <c r="J2006" s="390">
        <v>2.92</v>
      </c>
      <c r="K2006" s="390">
        <v>3009.0</v>
      </c>
      <c r="L2006" s="390">
        <v>117352.0</v>
      </c>
      <c r="M2006" s="390">
        <v>0.72</v>
      </c>
      <c r="N2006" s="38">
        <v>1.2815</v>
      </c>
    </row>
    <row r="2007">
      <c r="A2007" s="389" t="s">
        <v>1973</v>
      </c>
      <c r="B2007" s="389" t="s">
        <v>339</v>
      </c>
      <c r="C2007" s="389" t="s">
        <v>7</v>
      </c>
      <c r="D2007" s="389" t="s">
        <v>591</v>
      </c>
      <c r="E2007" s="390" t="s">
        <v>367</v>
      </c>
      <c r="F2007" s="390">
        <v>4179.0</v>
      </c>
      <c r="G2007" s="390">
        <v>1121.0</v>
      </c>
      <c r="H2007" s="390">
        <v>26.82</v>
      </c>
      <c r="I2007" s="390">
        <v>2.49</v>
      </c>
      <c r="J2007" s="390">
        <v>2.22</v>
      </c>
      <c r="K2007" s="390">
        <v>2920.0</v>
      </c>
      <c r="L2007" s="390">
        <v>117352.0</v>
      </c>
      <c r="M2007" s="390">
        <v>0.6987</v>
      </c>
      <c r="N2007" s="38">
        <v>2.6048</v>
      </c>
    </row>
    <row r="2008">
      <c r="A2008" s="389" t="s">
        <v>1973</v>
      </c>
      <c r="B2008" s="389" t="s">
        <v>339</v>
      </c>
      <c r="C2008" s="389" t="s">
        <v>7</v>
      </c>
      <c r="D2008" s="389" t="s">
        <v>591</v>
      </c>
      <c r="E2008" s="390" t="s">
        <v>368</v>
      </c>
      <c r="F2008" s="390">
        <v>4179.0</v>
      </c>
      <c r="G2008" s="390">
        <v>1397.0</v>
      </c>
      <c r="H2008" s="390">
        <v>33.43</v>
      </c>
      <c r="I2008" s="390">
        <v>1.32</v>
      </c>
      <c r="J2008" s="390">
        <v>1.62</v>
      </c>
      <c r="K2008" s="390">
        <v>1547.0</v>
      </c>
      <c r="L2008" s="390">
        <v>117352.0</v>
      </c>
      <c r="M2008" s="390">
        <v>0.3702</v>
      </c>
      <c r="N2008" s="38">
        <v>1.1074</v>
      </c>
    </row>
    <row r="2009">
      <c r="A2009" s="389" t="s">
        <v>1973</v>
      </c>
      <c r="B2009" s="389" t="s">
        <v>339</v>
      </c>
      <c r="C2009" s="389" t="s">
        <v>7</v>
      </c>
      <c r="D2009" s="389" t="s">
        <v>591</v>
      </c>
      <c r="E2009" s="390" t="s">
        <v>108</v>
      </c>
      <c r="F2009" s="390">
        <v>4179.0</v>
      </c>
      <c r="G2009" s="390">
        <v>454.0</v>
      </c>
      <c r="H2009" s="390">
        <v>10.86</v>
      </c>
      <c r="I2009" s="390">
        <v>0.64</v>
      </c>
      <c r="J2009" s="390">
        <v>0.51</v>
      </c>
      <c r="K2009" s="390">
        <v>756.0</v>
      </c>
      <c r="L2009" s="390">
        <v>117352.0</v>
      </c>
      <c r="M2009" s="390">
        <v>0.1809</v>
      </c>
      <c r="N2009" s="38">
        <v>1.6652</v>
      </c>
    </row>
    <row r="2010">
      <c r="A2010" s="389" t="s">
        <v>1973</v>
      </c>
      <c r="B2010" s="389" t="s">
        <v>339</v>
      </c>
      <c r="C2010" s="389" t="s">
        <v>7</v>
      </c>
      <c r="D2010" s="389" t="s">
        <v>591</v>
      </c>
      <c r="E2010" s="390" t="s">
        <v>30</v>
      </c>
      <c r="F2010" s="390">
        <v>4179.0</v>
      </c>
      <c r="G2010" s="390">
        <v>650.0</v>
      </c>
      <c r="H2010" s="390">
        <v>15.55</v>
      </c>
      <c r="I2010" s="390">
        <v>0.55</v>
      </c>
      <c r="J2010" s="390">
        <v>0.62</v>
      </c>
      <c r="K2010" s="390">
        <v>651.0</v>
      </c>
      <c r="L2010" s="390">
        <v>117352.0</v>
      </c>
      <c r="M2010" s="390">
        <v>0.1558</v>
      </c>
      <c r="N2010" s="38">
        <v>1.0015</v>
      </c>
    </row>
    <row r="2011">
      <c r="A2011" s="389" t="s">
        <v>1973</v>
      </c>
      <c r="B2011" s="389" t="s">
        <v>339</v>
      </c>
      <c r="C2011" s="389" t="s">
        <v>7</v>
      </c>
      <c r="D2011" s="389" t="s">
        <v>591</v>
      </c>
      <c r="E2011" s="390" t="s">
        <v>163</v>
      </c>
      <c r="F2011" s="390">
        <v>4179.0</v>
      </c>
      <c r="G2011" s="390">
        <v>609.0</v>
      </c>
      <c r="H2011" s="390">
        <v>14.57</v>
      </c>
      <c r="I2011" s="390">
        <v>0.52</v>
      </c>
      <c r="J2011" s="390">
        <v>0.58</v>
      </c>
      <c r="K2011" s="390">
        <v>614.0</v>
      </c>
      <c r="L2011" s="390">
        <v>117352.0</v>
      </c>
      <c r="M2011" s="390">
        <v>0.1469</v>
      </c>
      <c r="N2011" s="38">
        <v>1.0082</v>
      </c>
    </row>
    <row r="2012">
      <c r="A2012" s="389" t="s">
        <v>1973</v>
      </c>
      <c r="B2012" s="389" t="s">
        <v>339</v>
      </c>
      <c r="C2012" s="389" t="s">
        <v>7</v>
      </c>
      <c r="D2012" s="389" t="s">
        <v>591</v>
      </c>
      <c r="E2012" s="390" t="s">
        <v>45</v>
      </c>
      <c r="F2012" s="390">
        <v>4179.0</v>
      </c>
      <c r="G2012" s="390">
        <v>189.0</v>
      </c>
      <c r="H2012" s="390">
        <v>4.52</v>
      </c>
      <c r="I2012" s="390">
        <v>0.17</v>
      </c>
      <c r="J2012" s="390">
        <v>0.18</v>
      </c>
      <c r="K2012" s="390">
        <v>202.0</v>
      </c>
      <c r="L2012" s="390">
        <v>117352.0</v>
      </c>
      <c r="M2012" s="390">
        <v>0.0483</v>
      </c>
      <c r="N2012" s="38">
        <v>1.0688</v>
      </c>
    </row>
    <row r="2013">
      <c r="A2013" s="389" t="s">
        <v>1973</v>
      </c>
      <c r="B2013" s="389" t="s">
        <v>339</v>
      </c>
      <c r="C2013" s="389" t="s">
        <v>7</v>
      </c>
      <c r="D2013" s="389" t="s">
        <v>591</v>
      </c>
      <c r="E2013" s="390" t="s">
        <v>37</v>
      </c>
      <c r="F2013" s="390">
        <v>4179.0</v>
      </c>
      <c r="G2013" s="390">
        <v>164.0</v>
      </c>
      <c r="H2013" s="390">
        <v>3.92</v>
      </c>
      <c r="I2013" s="390">
        <v>0.14</v>
      </c>
      <c r="J2013" s="390">
        <v>0.15</v>
      </c>
      <c r="K2013" s="390">
        <v>167.0</v>
      </c>
      <c r="L2013" s="390">
        <v>117352.0</v>
      </c>
      <c r="M2013" s="390">
        <v>0.04</v>
      </c>
      <c r="N2013" s="38">
        <v>1.0183</v>
      </c>
    </row>
    <row r="2014">
      <c r="A2014" s="389" t="s">
        <v>1973</v>
      </c>
      <c r="B2014" s="389" t="s">
        <v>339</v>
      </c>
      <c r="C2014" s="389" t="s">
        <v>7</v>
      </c>
      <c r="D2014" s="389" t="s">
        <v>591</v>
      </c>
      <c r="E2014" s="390" t="s">
        <v>38</v>
      </c>
      <c r="F2014" s="390">
        <v>4179.0</v>
      </c>
      <c r="G2014" s="390">
        <v>20.0</v>
      </c>
      <c r="H2014" s="390">
        <v>0.48</v>
      </c>
      <c r="I2014" s="390">
        <v>0.02</v>
      </c>
      <c r="J2014" s="390">
        <v>0.02</v>
      </c>
      <c r="K2014" s="390">
        <v>20.0</v>
      </c>
      <c r="L2014" s="390">
        <v>117352.0</v>
      </c>
      <c r="M2014" s="390">
        <v>0.0048</v>
      </c>
      <c r="N2014" s="38">
        <v>1.0</v>
      </c>
    </row>
    <row r="2015">
      <c r="A2015" s="389" t="s">
        <v>1973</v>
      </c>
      <c r="B2015" s="389" t="s">
        <v>339</v>
      </c>
      <c r="C2015" s="389" t="s">
        <v>7</v>
      </c>
      <c r="D2015" s="389" t="s">
        <v>591</v>
      </c>
      <c r="E2015" s="390" t="s">
        <v>363</v>
      </c>
      <c r="F2015" s="390">
        <v>4179.0</v>
      </c>
      <c r="G2015" s="390">
        <v>6.0</v>
      </c>
      <c r="H2015" s="390">
        <v>0.14</v>
      </c>
      <c r="I2015" s="390">
        <v>0.01</v>
      </c>
      <c r="J2015" s="390">
        <v>0.01</v>
      </c>
      <c r="K2015" s="390">
        <v>7.0</v>
      </c>
      <c r="L2015" s="390">
        <v>117352.0</v>
      </c>
      <c r="M2015" s="390">
        <v>0.0017</v>
      </c>
      <c r="N2015" s="38">
        <v>1.1667</v>
      </c>
    </row>
    <row r="2016">
      <c r="A2016" s="389" t="s">
        <v>1973</v>
      </c>
      <c r="B2016" s="389" t="s">
        <v>339</v>
      </c>
      <c r="C2016" s="389" t="s">
        <v>7</v>
      </c>
      <c r="D2016" s="389" t="s">
        <v>591</v>
      </c>
      <c r="E2016" s="390" t="s">
        <v>27</v>
      </c>
      <c r="F2016" s="390">
        <v>4179.0</v>
      </c>
      <c r="G2016" s="390">
        <v>1.0</v>
      </c>
      <c r="H2016" s="390">
        <v>0.02</v>
      </c>
      <c r="I2016" s="390">
        <v>0.0</v>
      </c>
      <c r="J2016" s="390">
        <v>0.0</v>
      </c>
      <c r="K2016" s="390">
        <v>1.0</v>
      </c>
      <c r="L2016" s="390">
        <v>117352.0</v>
      </c>
      <c r="M2016" s="390">
        <v>2.0E-4</v>
      </c>
      <c r="N2016" s="38">
        <v>1.0</v>
      </c>
    </row>
    <row r="2017">
      <c r="A2017" s="389" t="s">
        <v>1973</v>
      </c>
      <c r="B2017" s="389" t="s">
        <v>339</v>
      </c>
      <c r="C2017" s="389" t="s">
        <v>11</v>
      </c>
      <c r="D2017" s="389" t="s">
        <v>591</v>
      </c>
      <c r="E2017" s="390" t="s">
        <v>370</v>
      </c>
      <c r="F2017" s="390">
        <v>4168.0</v>
      </c>
      <c r="G2017" s="390">
        <v>4140.0</v>
      </c>
      <c r="H2017" s="390">
        <v>99.33</v>
      </c>
      <c r="I2017" s="390">
        <v>35.81</v>
      </c>
      <c r="J2017" s="390">
        <v>41.77</v>
      </c>
      <c r="K2017" s="390">
        <v>17932.0</v>
      </c>
      <c r="L2017" s="390">
        <v>50082.0</v>
      </c>
      <c r="M2017" s="390">
        <v>4.3023</v>
      </c>
      <c r="N2017" s="38">
        <v>4.3314</v>
      </c>
    </row>
    <row r="2018">
      <c r="A2018" s="389" t="s">
        <v>1973</v>
      </c>
      <c r="B2018" s="389" t="s">
        <v>339</v>
      </c>
      <c r="C2018" s="389" t="s">
        <v>11</v>
      </c>
      <c r="D2018" s="389" t="s">
        <v>591</v>
      </c>
      <c r="E2018" s="390" t="s">
        <v>365</v>
      </c>
      <c r="F2018" s="390">
        <v>4168.0</v>
      </c>
      <c r="G2018" s="390">
        <v>2698.0</v>
      </c>
      <c r="H2018" s="390">
        <v>64.73</v>
      </c>
      <c r="I2018" s="390">
        <v>11.75</v>
      </c>
      <c r="J2018" s="390">
        <v>12.11</v>
      </c>
      <c r="K2018" s="390">
        <v>5883.0</v>
      </c>
      <c r="L2018" s="390">
        <v>50082.0</v>
      </c>
      <c r="M2018" s="390">
        <v>1.4115</v>
      </c>
      <c r="N2018" s="38">
        <v>2.1805</v>
      </c>
    </row>
    <row r="2019">
      <c r="A2019" s="389" t="s">
        <v>1973</v>
      </c>
      <c r="B2019" s="389" t="s">
        <v>339</v>
      </c>
      <c r="C2019" s="389" t="s">
        <v>11</v>
      </c>
      <c r="D2019" s="389" t="s">
        <v>591</v>
      </c>
      <c r="E2019" s="390" t="s">
        <v>371</v>
      </c>
      <c r="F2019" s="390">
        <v>4168.0</v>
      </c>
      <c r="G2019" s="390">
        <v>1321.0</v>
      </c>
      <c r="H2019" s="390">
        <v>31.69</v>
      </c>
      <c r="I2019" s="390">
        <v>8.76</v>
      </c>
      <c r="J2019" s="390">
        <v>8.37</v>
      </c>
      <c r="K2019" s="390">
        <v>4386.0</v>
      </c>
      <c r="L2019" s="390">
        <v>50082.0</v>
      </c>
      <c r="M2019" s="390">
        <v>1.0523</v>
      </c>
      <c r="N2019" s="38">
        <v>3.3202</v>
      </c>
    </row>
    <row r="2020">
      <c r="A2020" s="389" t="s">
        <v>1973</v>
      </c>
      <c r="B2020" s="389" t="s">
        <v>339</v>
      </c>
      <c r="C2020" s="389" t="s">
        <v>11</v>
      </c>
      <c r="D2020" s="389" t="s">
        <v>591</v>
      </c>
      <c r="E2020" s="390" t="s">
        <v>369</v>
      </c>
      <c r="F2020" s="390">
        <v>4168.0</v>
      </c>
      <c r="G2020" s="390">
        <v>1577.0</v>
      </c>
      <c r="H2020" s="390">
        <v>37.84</v>
      </c>
      <c r="I2020" s="390">
        <v>7.73</v>
      </c>
      <c r="J2020" s="390">
        <v>5.12</v>
      </c>
      <c r="K2020" s="390">
        <v>3871.0</v>
      </c>
      <c r="L2020" s="390">
        <v>50082.0</v>
      </c>
      <c r="M2020" s="390">
        <v>0.9287</v>
      </c>
      <c r="N2020" s="38">
        <v>2.4547</v>
      </c>
    </row>
    <row r="2021">
      <c r="A2021" s="389" t="s">
        <v>1973</v>
      </c>
      <c r="B2021" s="389" t="s">
        <v>339</v>
      </c>
      <c r="C2021" s="389" t="s">
        <v>11</v>
      </c>
      <c r="D2021" s="389" t="s">
        <v>591</v>
      </c>
      <c r="E2021" s="390" t="s">
        <v>108</v>
      </c>
      <c r="F2021" s="390">
        <v>4168.0</v>
      </c>
      <c r="G2021" s="390">
        <v>1134.0</v>
      </c>
      <c r="H2021" s="390">
        <v>27.21</v>
      </c>
      <c r="I2021" s="390">
        <v>7.71</v>
      </c>
      <c r="J2021" s="390">
        <v>5.81</v>
      </c>
      <c r="K2021" s="390">
        <v>3860.0</v>
      </c>
      <c r="L2021" s="390">
        <v>50082.0</v>
      </c>
      <c r="M2021" s="390">
        <v>0.9261</v>
      </c>
      <c r="N2021" s="38">
        <v>3.4039</v>
      </c>
    </row>
    <row r="2022">
      <c r="A2022" s="389" t="s">
        <v>1973</v>
      </c>
      <c r="B2022" s="389" t="s">
        <v>339</v>
      </c>
      <c r="C2022" s="389" t="s">
        <v>11</v>
      </c>
      <c r="D2022" s="389" t="s">
        <v>591</v>
      </c>
      <c r="E2022" s="390" t="s">
        <v>45</v>
      </c>
      <c r="F2022" s="390">
        <v>4168.0</v>
      </c>
      <c r="G2022" s="390">
        <v>1650.0</v>
      </c>
      <c r="H2022" s="390">
        <v>39.59</v>
      </c>
      <c r="I2022" s="390">
        <v>5.27</v>
      </c>
      <c r="J2022" s="390">
        <v>5.08</v>
      </c>
      <c r="K2022" s="390">
        <v>2641.0</v>
      </c>
      <c r="L2022" s="390">
        <v>50082.0</v>
      </c>
      <c r="M2022" s="390">
        <v>0.6336</v>
      </c>
      <c r="N2022" s="38">
        <v>1.6006</v>
      </c>
    </row>
    <row r="2023">
      <c r="A2023" s="389" t="s">
        <v>1973</v>
      </c>
      <c r="B2023" s="389" t="s">
        <v>339</v>
      </c>
      <c r="C2023" s="389" t="s">
        <v>11</v>
      </c>
      <c r="D2023" s="389" t="s">
        <v>591</v>
      </c>
      <c r="E2023" s="390" t="s">
        <v>39</v>
      </c>
      <c r="F2023" s="390">
        <v>4168.0</v>
      </c>
      <c r="G2023" s="390">
        <v>2100.0</v>
      </c>
      <c r="H2023" s="390">
        <v>50.38</v>
      </c>
      <c r="I2023" s="390">
        <v>5.25</v>
      </c>
      <c r="J2023" s="390">
        <v>6.64</v>
      </c>
      <c r="K2023" s="390">
        <v>2629.0</v>
      </c>
      <c r="L2023" s="390">
        <v>50082.0</v>
      </c>
      <c r="M2023" s="390">
        <v>0.6308</v>
      </c>
      <c r="N2023" s="38">
        <v>1.2519</v>
      </c>
    </row>
    <row r="2024">
      <c r="A2024" s="389" t="s">
        <v>1973</v>
      </c>
      <c r="B2024" s="389" t="s">
        <v>339</v>
      </c>
      <c r="C2024" s="389" t="s">
        <v>11</v>
      </c>
      <c r="D2024" s="389" t="s">
        <v>591</v>
      </c>
      <c r="E2024" s="390" t="s">
        <v>37</v>
      </c>
      <c r="F2024" s="390">
        <v>4168.0</v>
      </c>
      <c r="G2024" s="390">
        <v>1118.0</v>
      </c>
      <c r="H2024" s="390">
        <v>26.82</v>
      </c>
      <c r="I2024" s="390">
        <v>4.54</v>
      </c>
      <c r="J2024" s="390">
        <v>4.19</v>
      </c>
      <c r="K2024" s="390">
        <v>2273.0</v>
      </c>
      <c r="L2024" s="390">
        <v>50082.0</v>
      </c>
      <c r="M2024" s="390">
        <v>0.5453</v>
      </c>
      <c r="N2024" s="38">
        <v>2.0331</v>
      </c>
    </row>
    <row r="2025">
      <c r="A2025" s="389" t="s">
        <v>1973</v>
      </c>
      <c r="B2025" s="389" t="s">
        <v>339</v>
      </c>
      <c r="C2025" s="389" t="s">
        <v>11</v>
      </c>
      <c r="D2025" s="389" t="s">
        <v>591</v>
      </c>
      <c r="E2025" s="390" t="s">
        <v>368</v>
      </c>
      <c r="F2025" s="390">
        <v>4168.0</v>
      </c>
      <c r="G2025" s="390">
        <v>1056.0</v>
      </c>
      <c r="H2025" s="390">
        <v>25.34</v>
      </c>
      <c r="I2025" s="390">
        <v>2.31</v>
      </c>
      <c r="J2025" s="390">
        <v>2.38</v>
      </c>
      <c r="K2025" s="390">
        <v>1157.0</v>
      </c>
      <c r="L2025" s="390">
        <v>50082.0</v>
      </c>
      <c r="M2025" s="390">
        <v>0.2776</v>
      </c>
      <c r="N2025" s="38">
        <v>1.0956</v>
      </c>
    </row>
    <row r="2026">
      <c r="A2026" s="389" t="s">
        <v>1973</v>
      </c>
      <c r="B2026" s="389" t="s">
        <v>339</v>
      </c>
      <c r="C2026" s="389" t="s">
        <v>11</v>
      </c>
      <c r="D2026" s="389" t="s">
        <v>591</v>
      </c>
      <c r="E2026" s="390" t="s">
        <v>283</v>
      </c>
      <c r="F2026" s="390">
        <v>4168.0</v>
      </c>
      <c r="G2026" s="390">
        <v>800.0</v>
      </c>
      <c r="H2026" s="390">
        <v>19.19</v>
      </c>
      <c r="I2026" s="390">
        <v>1.94</v>
      </c>
      <c r="J2026" s="390">
        <v>1.77</v>
      </c>
      <c r="K2026" s="390">
        <v>974.0</v>
      </c>
      <c r="L2026" s="390">
        <v>50082.0</v>
      </c>
      <c r="M2026" s="390">
        <v>0.2337</v>
      </c>
      <c r="N2026" s="38">
        <v>1.2175</v>
      </c>
    </row>
    <row r="2027">
      <c r="A2027" s="389" t="s">
        <v>1973</v>
      </c>
      <c r="B2027" s="389" t="s">
        <v>339</v>
      </c>
      <c r="C2027" s="389" t="s">
        <v>11</v>
      </c>
      <c r="D2027" s="389" t="s">
        <v>591</v>
      </c>
      <c r="E2027" s="390" t="s">
        <v>363</v>
      </c>
      <c r="F2027" s="390">
        <v>4168.0</v>
      </c>
      <c r="G2027" s="390">
        <v>553.0</v>
      </c>
      <c r="H2027" s="390">
        <v>13.27</v>
      </c>
      <c r="I2027" s="390">
        <v>1.93</v>
      </c>
      <c r="J2027" s="390">
        <v>1.44</v>
      </c>
      <c r="K2027" s="390">
        <v>967.0</v>
      </c>
      <c r="L2027" s="390">
        <v>50082.0</v>
      </c>
      <c r="M2027" s="390">
        <v>0.232</v>
      </c>
      <c r="N2027" s="38">
        <v>1.7486</v>
      </c>
    </row>
    <row r="2028">
      <c r="A2028" s="389" t="s">
        <v>1973</v>
      </c>
      <c r="B2028" s="389" t="s">
        <v>339</v>
      </c>
      <c r="C2028" s="389" t="s">
        <v>11</v>
      </c>
      <c r="D2028" s="389" t="s">
        <v>591</v>
      </c>
      <c r="E2028" s="390" t="s">
        <v>282</v>
      </c>
      <c r="F2028" s="390">
        <v>4168.0</v>
      </c>
      <c r="G2028" s="390">
        <v>793.0</v>
      </c>
      <c r="H2028" s="390">
        <v>19.03</v>
      </c>
      <c r="I2028" s="390">
        <v>1.93</v>
      </c>
      <c r="J2028" s="390">
        <v>1.63</v>
      </c>
      <c r="K2028" s="390">
        <v>968.0</v>
      </c>
      <c r="L2028" s="390">
        <v>50082.0</v>
      </c>
      <c r="M2028" s="390">
        <v>0.2322</v>
      </c>
      <c r="N2028" s="38">
        <v>1.2207</v>
      </c>
    </row>
    <row r="2029">
      <c r="A2029" s="389" t="s">
        <v>1973</v>
      </c>
      <c r="B2029" s="389" t="s">
        <v>339</v>
      </c>
      <c r="C2029" s="389" t="s">
        <v>11</v>
      </c>
      <c r="D2029" s="389" t="s">
        <v>591</v>
      </c>
      <c r="E2029" s="390" t="s">
        <v>284</v>
      </c>
      <c r="F2029" s="390">
        <v>4168.0</v>
      </c>
      <c r="G2029" s="390">
        <v>751.0</v>
      </c>
      <c r="H2029" s="390">
        <v>18.02</v>
      </c>
      <c r="I2029" s="390">
        <v>1.84</v>
      </c>
      <c r="J2029" s="390">
        <v>1.47</v>
      </c>
      <c r="K2029" s="390">
        <v>921.0</v>
      </c>
      <c r="L2029" s="390">
        <v>50082.0</v>
      </c>
      <c r="M2029" s="390">
        <v>0.221</v>
      </c>
      <c r="N2029" s="38">
        <v>1.2264</v>
      </c>
    </row>
    <row r="2030">
      <c r="A2030" s="389" t="s">
        <v>1973</v>
      </c>
      <c r="B2030" s="389" t="s">
        <v>339</v>
      </c>
      <c r="C2030" s="389" t="s">
        <v>11</v>
      </c>
      <c r="D2030" s="389" t="s">
        <v>591</v>
      </c>
      <c r="E2030" s="390" t="s">
        <v>35</v>
      </c>
      <c r="F2030" s="390">
        <v>4168.0</v>
      </c>
      <c r="G2030" s="390">
        <v>410.0</v>
      </c>
      <c r="H2030" s="390">
        <v>9.84</v>
      </c>
      <c r="I2030" s="390">
        <v>1.09</v>
      </c>
      <c r="J2030" s="390">
        <v>0.8</v>
      </c>
      <c r="K2030" s="390">
        <v>548.0</v>
      </c>
      <c r="L2030" s="390">
        <v>50082.0</v>
      </c>
      <c r="M2030" s="390">
        <v>0.1315</v>
      </c>
      <c r="N2030" s="38">
        <v>1.3366</v>
      </c>
    </row>
    <row r="2031">
      <c r="A2031" s="389" t="s">
        <v>1973</v>
      </c>
      <c r="B2031" s="389" t="s">
        <v>339</v>
      </c>
      <c r="C2031" s="389" t="s">
        <v>11</v>
      </c>
      <c r="D2031" s="389" t="s">
        <v>591</v>
      </c>
      <c r="E2031" s="390" t="s">
        <v>38</v>
      </c>
      <c r="F2031" s="390">
        <v>4168.0</v>
      </c>
      <c r="G2031" s="390">
        <v>318.0</v>
      </c>
      <c r="H2031" s="390">
        <v>7.63</v>
      </c>
      <c r="I2031" s="390">
        <v>0.7</v>
      </c>
      <c r="J2031" s="390">
        <v>0.34</v>
      </c>
      <c r="K2031" s="390">
        <v>353.0</v>
      </c>
      <c r="L2031" s="390">
        <v>50082.0</v>
      </c>
      <c r="M2031" s="390">
        <v>0.0847</v>
      </c>
      <c r="N2031" s="38">
        <v>1.1101</v>
      </c>
    </row>
    <row r="2032">
      <c r="A2032" s="389" t="s">
        <v>1973</v>
      </c>
      <c r="B2032" s="389" t="s">
        <v>339</v>
      </c>
      <c r="C2032" s="389" t="s">
        <v>11</v>
      </c>
      <c r="D2032" s="389" t="s">
        <v>591</v>
      </c>
      <c r="E2032" s="390" t="s">
        <v>163</v>
      </c>
      <c r="F2032" s="390">
        <v>4168.0</v>
      </c>
      <c r="G2032" s="390">
        <v>327.0</v>
      </c>
      <c r="H2032" s="390">
        <v>7.85</v>
      </c>
      <c r="I2032" s="390">
        <v>0.66</v>
      </c>
      <c r="J2032" s="390">
        <v>0.46</v>
      </c>
      <c r="K2032" s="390">
        <v>333.0</v>
      </c>
      <c r="L2032" s="390">
        <v>50082.0</v>
      </c>
      <c r="M2032" s="390">
        <v>0.0799</v>
      </c>
      <c r="N2032" s="38">
        <v>1.0183</v>
      </c>
    </row>
    <row r="2033">
      <c r="A2033" s="389" t="s">
        <v>1973</v>
      </c>
      <c r="B2033" s="389" t="s">
        <v>339</v>
      </c>
      <c r="C2033" s="389" t="s">
        <v>11</v>
      </c>
      <c r="D2033" s="389" t="s">
        <v>591</v>
      </c>
      <c r="E2033" s="390" t="s">
        <v>27</v>
      </c>
      <c r="F2033" s="390">
        <v>4168.0</v>
      </c>
      <c r="G2033" s="390">
        <v>218.0</v>
      </c>
      <c r="H2033" s="390">
        <v>5.23</v>
      </c>
      <c r="I2033" s="390">
        <v>0.44</v>
      </c>
      <c r="J2033" s="390">
        <v>0.42</v>
      </c>
      <c r="K2033" s="390">
        <v>219.0</v>
      </c>
      <c r="L2033" s="390">
        <v>50082.0</v>
      </c>
      <c r="M2033" s="390">
        <v>0.0525</v>
      </c>
      <c r="N2033" s="38">
        <v>1.0046</v>
      </c>
    </row>
    <row r="2034">
      <c r="A2034" s="389" t="s">
        <v>1973</v>
      </c>
      <c r="B2034" s="389" t="s">
        <v>339</v>
      </c>
      <c r="C2034" s="389" t="s">
        <v>11</v>
      </c>
      <c r="D2034" s="389" t="s">
        <v>591</v>
      </c>
      <c r="E2034" s="390" t="s">
        <v>366</v>
      </c>
      <c r="F2034" s="390">
        <v>4168.0</v>
      </c>
      <c r="G2034" s="390">
        <v>163.0</v>
      </c>
      <c r="H2034" s="390">
        <v>3.91</v>
      </c>
      <c r="I2034" s="390">
        <v>0.33</v>
      </c>
      <c r="J2034" s="390">
        <v>0.19</v>
      </c>
      <c r="K2034" s="390">
        <v>166.0</v>
      </c>
      <c r="L2034" s="390">
        <v>50082.0</v>
      </c>
      <c r="M2034" s="390">
        <v>0.0398</v>
      </c>
      <c r="N2034" s="38">
        <v>1.0184</v>
      </c>
    </row>
    <row r="2035">
      <c r="A2035" s="389" t="s">
        <v>1973</v>
      </c>
      <c r="B2035" s="389" t="s">
        <v>339</v>
      </c>
      <c r="C2035" s="389" t="s">
        <v>11</v>
      </c>
      <c r="D2035" s="389" t="s">
        <v>591</v>
      </c>
      <c r="E2035" s="390" t="s">
        <v>367</v>
      </c>
      <c r="F2035" s="390">
        <v>4168.0</v>
      </c>
      <c r="G2035" s="390">
        <v>1.0</v>
      </c>
      <c r="H2035" s="390">
        <v>0.02</v>
      </c>
      <c r="I2035" s="390">
        <v>0.0</v>
      </c>
      <c r="J2035" s="390">
        <v>0.0</v>
      </c>
      <c r="K2035" s="390">
        <v>1.0</v>
      </c>
      <c r="L2035" s="390">
        <v>50082.0</v>
      </c>
      <c r="M2035" s="390">
        <v>2.0E-4</v>
      </c>
      <c r="N2035" s="38">
        <v>1.0</v>
      </c>
    </row>
    <row r="2036">
      <c r="A2036" s="389" t="s">
        <v>1973</v>
      </c>
      <c r="B2036" s="389" t="s">
        <v>339</v>
      </c>
      <c r="C2036" s="389" t="s">
        <v>357</v>
      </c>
      <c r="D2036" s="389" t="s">
        <v>357</v>
      </c>
      <c r="E2036" s="390" t="s">
        <v>370</v>
      </c>
      <c r="F2036" s="390">
        <v>4189.0</v>
      </c>
      <c r="G2036" s="390">
        <v>4186.0</v>
      </c>
      <c r="H2036" s="390">
        <v>99.93</v>
      </c>
      <c r="I2036" s="390">
        <v>38.23</v>
      </c>
      <c r="J2036" s="390">
        <v>39.46</v>
      </c>
      <c r="K2036" s="390">
        <v>3349100.0</v>
      </c>
      <c r="L2036" s="390">
        <v>8760190.0</v>
      </c>
      <c r="M2036" s="390">
        <v>799.4987</v>
      </c>
      <c r="N2036" s="38">
        <v>800.0717</v>
      </c>
    </row>
    <row r="2037">
      <c r="A2037" s="389" t="s">
        <v>1973</v>
      </c>
      <c r="B2037" s="389" t="s">
        <v>339</v>
      </c>
      <c r="C2037" s="389" t="s">
        <v>357</v>
      </c>
      <c r="D2037" s="389" t="s">
        <v>357</v>
      </c>
      <c r="E2037" s="390" t="s">
        <v>365</v>
      </c>
      <c r="F2037" s="390">
        <v>4189.0</v>
      </c>
      <c r="G2037" s="390">
        <v>4121.0</v>
      </c>
      <c r="H2037" s="390">
        <v>98.38</v>
      </c>
      <c r="I2037" s="390">
        <v>16.33</v>
      </c>
      <c r="J2037" s="390">
        <v>17.51</v>
      </c>
      <c r="K2037" s="390">
        <v>1430630.0</v>
      </c>
      <c r="L2037" s="390">
        <v>8760190.0</v>
      </c>
      <c r="M2037" s="390">
        <v>341.5206</v>
      </c>
      <c r="N2037" s="38">
        <v>347.156</v>
      </c>
    </row>
    <row r="2038">
      <c r="A2038" s="389" t="s">
        <v>1973</v>
      </c>
      <c r="B2038" s="389" t="s">
        <v>339</v>
      </c>
      <c r="C2038" s="389" t="s">
        <v>357</v>
      </c>
      <c r="D2038" s="389" t="s">
        <v>357</v>
      </c>
      <c r="E2038" s="390" t="s">
        <v>369</v>
      </c>
      <c r="F2038" s="390">
        <v>4189.0</v>
      </c>
      <c r="G2038" s="390">
        <v>2468.0</v>
      </c>
      <c r="H2038" s="390">
        <v>58.92</v>
      </c>
      <c r="I2038" s="390">
        <v>6.39</v>
      </c>
      <c r="J2038" s="390">
        <v>5.12</v>
      </c>
      <c r="K2038" s="390">
        <v>559360.0</v>
      </c>
      <c r="L2038" s="390">
        <v>8760190.0</v>
      </c>
      <c r="M2038" s="390">
        <v>133.5307</v>
      </c>
      <c r="N2038" s="38">
        <v>226.6451</v>
      </c>
    </row>
    <row r="2039">
      <c r="A2039" s="389" t="s">
        <v>1973</v>
      </c>
      <c r="B2039" s="389" t="s">
        <v>339</v>
      </c>
      <c r="C2039" s="389" t="s">
        <v>357</v>
      </c>
      <c r="D2039" s="389" t="s">
        <v>357</v>
      </c>
      <c r="E2039" s="390" t="s">
        <v>108</v>
      </c>
      <c r="F2039" s="390">
        <v>4189.0</v>
      </c>
      <c r="G2039" s="390">
        <v>1268.0</v>
      </c>
      <c r="H2039" s="390">
        <v>30.27</v>
      </c>
      <c r="I2039" s="390">
        <v>4.86</v>
      </c>
      <c r="J2039" s="390">
        <v>3.77</v>
      </c>
      <c r="K2039" s="390">
        <v>425485.0</v>
      </c>
      <c r="L2039" s="390">
        <v>8760190.0</v>
      </c>
      <c r="M2039" s="390">
        <v>101.572</v>
      </c>
      <c r="N2039" s="38">
        <v>335.556</v>
      </c>
    </row>
    <row r="2040">
      <c r="A2040" s="389" t="s">
        <v>1973</v>
      </c>
      <c r="B2040" s="389" t="s">
        <v>339</v>
      </c>
      <c r="C2040" s="389" t="s">
        <v>357</v>
      </c>
      <c r="D2040" s="389" t="s">
        <v>357</v>
      </c>
      <c r="E2040" s="390" t="s">
        <v>371</v>
      </c>
      <c r="F2040" s="390">
        <v>4189.0</v>
      </c>
      <c r="G2040" s="390">
        <v>3565.0</v>
      </c>
      <c r="H2040" s="390">
        <v>85.1</v>
      </c>
      <c r="I2040" s="390">
        <v>4.66</v>
      </c>
      <c r="J2040" s="390">
        <v>6.72</v>
      </c>
      <c r="K2040" s="390">
        <v>408405.0</v>
      </c>
      <c r="L2040" s="390">
        <v>8760190.0</v>
      </c>
      <c r="M2040" s="390">
        <v>97.4946</v>
      </c>
      <c r="N2040" s="38">
        <v>114.5596</v>
      </c>
    </row>
    <row r="2041">
      <c r="A2041" s="389" t="s">
        <v>1973</v>
      </c>
      <c r="B2041" s="389" t="s">
        <v>339</v>
      </c>
      <c r="C2041" s="389" t="s">
        <v>357</v>
      </c>
      <c r="D2041" s="389" t="s">
        <v>357</v>
      </c>
      <c r="E2041" s="390" t="s">
        <v>45</v>
      </c>
      <c r="F2041" s="390">
        <v>4189.0</v>
      </c>
      <c r="G2041" s="390">
        <v>2587.0</v>
      </c>
      <c r="H2041" s="390">
        <v>61.76</v>
      </c>
      <c r="I2041" s="390">
        <v>4.04</v>
      </c>
      <c r="J2041" s="390">
        <v>3.99</v>
      </c>
      <c r="K2041" s="390">
        <v>353925.0</v>
      </c>
      <c r="L2041" s="390">
        <v>8760190.0</v>
      </c>
      <c r="M2041" s="390">
        <v>84.4891</v>
      </c>
      <c r="N2041" s="38">
        <v>136.809</v>
      </c>
    </row>
    <row r="2042">
      <c r="A2042" s="389" t="s">
        <v>1973</v>
      </c>
      <c r="B2042" s="389" t="s">
        <v>339</v>
      </c>
      <c r="C2042" s="389" t="s">
        <v>357</v>
      </c>
      <c r="D2042" s="389" t="s">
        <v>357</v>
      </c>
      <c r="E2042" s="390" t="s">
        <v>366</v>
      </c>
      <c r="F2042" s="390">
        <v>4189.0</v>
      </c>
      <c r="G2042" s="390">
        <v>3087.0</v>
      </c>
      <c r="H2042" s="390">
        <v>73.69</v>
      </c>
      <c r="I2042" s="390">
        <v>3.1</v>
      </c>
      <c r="J2042" s="390">
        <v>3.0</v>
      </c>
      <c r="K2042" s="390">
        <v>271190.0</v>
      </c>
      <c r="L2042" s="390">
        <v>8760190.0</v>
      </c>
      <c r="M2042" s="390">
        <v>64.7386</v>
      </c>
      <c r="N2042" s="38">
        <v>87.849</v>
      </c>
    </row>
    <row r="2043">
      <c r="A2043" s="389" t="s">
        <v>1973</v>
      </c>
      <c r="B2043" s="389" t="s">
        <v>339</v>
      </c>
      <c r="C2043" s="389" t="s">
        <v>357</v>
      </c>
      <c r="D2043" s="389" t="s">
        <v>357</v>
      </c>
      <c r="E2043" s="390" t="s">
        <v>283</v>
      </c>
      <c r="F2043" s="390">
        <v>4189.0</v>
      </c>
      <c r="G2043" s="390">
        <v>1139.0</v>
      </c>
      <c r="H2043" s="390">
        <v>27.19</v>
      </c>
      <c r="I2043" s="390">
        <v>2.67</v>
      </c>
      <c r="J2043" s="390">
        <v>2.36</v>
      </c>
      <c r="K2043" s="390">
        <v>234250.0</v>
      </c>
      <c r="L2043" s="390">
        <v>8760190.0</v>
      </c>
      <c r="M2043" s="390">
        <v>55.9203</v>
      </c>
      <c r="N2043" s="38">
        <v>205.6629</v>
      </c>
    </row>
    <row r="2044">
      <c r="A2044" s="389" t="s">
        <v>1973</v>
      </c>
      <c r="B2044" s="389" t="s">
        <v>339</v>
      </c>
      <c r="C2044" s="389" t="s">
        <v>357</v>
      </c>
      <c r="D2044" s="389" t="s">
        <v>357</v>
      </c>
      <c r="E2044" s="390" t="s">
        <v>284</v>
      </c>
      <c r="F2044" s="390">
        <v>4189.0</v>
      </c>
      <c r="G2044" s="390">
        <v>1189.0</v>
      </c>
      <c r="H2044" s="390">
        <v>28.38</v>
      </c>
      <c r="I2044" s="390">
        <v>2.66</v>
      </c>
      <c r="J2044" s="390">
        <v>2.17</v>
      </c>
      <c r="K2044" s="390">
        <v>232750.0</v>
      </c>
      <c r="L2044" s="390">
        <v>8760190.0</v>
      </c>
      <c r="M2044" s="390">
        <v>55.5622</v>
      </c>
      <c r="N2044" s="38">
        <v>195.7527</v>
      </c>
    </row>
    <row r="2045">
      <c r="A2045" s="389" t="s">
        <v>1973</v>
      </c>
      <c r="B2045" s="389" t="s">
        <v>339</v>
      </c>
      <c r="C2045" s="389" t="s">
        <v>357</v>
      </c>
      <c r="D2045" s="389" t="s">
        <v>357</v>
      </c>
      <c r="E2045" s="390" t="s">
        <v>282</v>
      </c>
      <c r="F2045" s="390">
        <v>4189.0</v>
      </c>
      <c r="G2045" s="390">
        <v>1124.0</v>
      </c>
      <c r="H2045" s="390">
        <v>26.83</v>
      </c>
      <c r="I2045" s="390">
        <v>2.63</v>
      </c>
      <c r="J2045" s="390">
        <v>2.1</v>
      </c>
      <c r="K2045" s="390">
        <v>230650.0</v>
      </c>
      <c r="L2045" s="390">
        <v>8760190.0</v>
      </c>
      <c r="M2045" s="390">
        <v>55.0609</v>
      </c>
      <c r="N2045" s="38">
        <v>205.2046</v>
      </c>
    </row>
    <row r="2046">
      <c r="A2046" s="389" t="s">
        <v>1973</v>
      </c>
      <c r="B2046" s="389" t="s">
        <v>339</v>
      </c>
      <c r="C2046" s="389" t="s">
        <v>357</v>
      </c>
      <c r="D2046" s="389" t="s">
        <v>357</v>
      </c>
      <c r="E2046" s="390" t="s">
        <v>367</v>
      </c>
      <c r="F2046" s="390">
        <v>4189.0</v>
      </c>
      <c r="G2046" s="390">
        <v>1211.0</v>
      </c>
      <c r="H2046" s="390">
        <v>28.91</v>
      </c>
      <c r="I2046" s="390">
        <v>2.45</v>
      </c>
      <c r="J2046" s="390">
        <v>2.28</v>
      </c>
      <c r="K2046" s="390">
        <v>214830.0</v>
      </c>
      <c r="L2046" s="390">
        <v>8760190.0</v>
      </c>
      <c r="M2046" s="390">
        <v>51.2843</v>
      </c>
      <c r="N2046" s="38">
        <v>177.3988</v>
      </c>
    </row>
    <row r="2047">
      <c r="A2047" s="389" t="s">
        <v>1973</v>
      </c>
      <c r="B2047" s="389" t="s">
        <v>339</v>
      </c>
      <c r="C2047" s="389" t="s">
        <v>357</v>
      </c>
      <c r="D2047" s="389" t="s">
        <v>357</v>
      </c>
      <c r="E2047" s="390" t="s">
        <v>39</v>
      </c>
      <c r="F2047" s="390">
        <v>4189.0</v>
      </c>
      <c r="G2047" s="390">
        <v>2587.0</v>
      </c>
      <c r="H2047" s="390">
        <v>61.76</v>
      </c>
      <c r="I2047" s="390">
        <v>2.02</v>
      </c>
      <c r="J2047" s="390">
        <v>2.63</v>
      </c>
      <c r="K2047" s="390">
        <v>177355.0</v>
      </c>
      <c r="L2047" s="390">
        <v>8760190.0</v>
      </c>
      <c r="M2047" s="390">
        <v>42.3383</v>
      </c>
      <c r="N2047" s="38">
        <v>68.5562</v>
      </c>
    </row>
    <row r="2048">
      <c r="A2048" s="389" t="s">
        <v>1973</v>
      </c>
      <c r="B2048" s="389" t="s">
        <v>339</v>
      </c>
      <c r="C2048" s="389" t="s">
        <v>357</v>
      </c>
      <c r="D2048" s="389" t="s">
        <v>357</v>
      </c>
      <c r="E2048" s="390" t="s">
        <v>37</v>
      </c>
      <c r="F2048" s="390">
        <v>4189.0</v>
      </c>
      <c r="G2048" s="390">
        <v>1123.0</v>
      </c>
      <c r="H2048" s="390">
        <v>26.81</v>
      </c>
      <c r="I2048" s="390">
        <v>2.0</v>
      </c>
      <c r="J2048" s="390">
        <v>1.95</v>
      </c>
      <c r="K2048" s="390">
        <v>175185.0</v>
      </c>
      <c r="L2048" s="390">
        <v>8760190.0</v>
      </c>
      <c r="M2048" s="390">
        <v>41.8202</v>
      </c>
      <c r="N2048" s="38">
        <v>155.9973</v>
      </c>
    </row>
    <row r="2049">
      <c r="A2049" s="389" t="s">
        <v>1973</v>
      </c>
      <c r="B2049" s="389" t="s">
        <v>339</v>
      </c>
      <c r="C2049" s="389" t="s">
        <v>357</v>
      </c>
      <c r="D2049" s="389" t="s">
        <v>357</v>
      </c>
      <c r="E2049" s="390" t="s">
        <v>35</v>
      </c>
      <c r="F2049" s="390">
        <v>4189.0</v>
      </c>
      <c r="G2049" s="390">
        <v>1244.0</v>
      </c>
      <c r="H2049" s="390">
        <v>29.7</v>
      </c>
      <c r="I2049" s="390">
        <v>1.94</v>
      </c>
      <c r="J2049" s="390">
        <v>1.64</v>
      </c>
      <c r="K2049" s="390">
        <v>169910.0</v>
      </c>
      <c r="L2049" s="390">
        <v>8760190.0</v>
      </c>
      <c r="M2049" s="390">
        <v>40.561</v>
      </c>
      <c r="N2049" s="38">
        <v>136.5836</v>
      </c>
    </row>
    <row r="2050">
      <c r="A2050" s="389" t="s">
        <v>1973</v>
      </c>
      <c r="B2050" s="389" t="s">
        <v>339</v>
      </c>
      <c r="C2050" s="389" t="s">
        <v>357</v>
      </c>
      <c r="D2050" s="389" t="s">
        <v>357</v>
      </c>
      <c r="E2050" s="390" t="s">
        <v>38</v>
      </c>
      <c r="F2050" s="390">
        <v>4189.0</v>
      </c>
      <c r="G2050" s="390">
        <v>584.0</v>
      </c>
      <c r="H2050" s="390">
        <v>13.94</v>
      </c>
      <c r="I2050" s="390">
        <v>1.78</v>
      </c>
      <c r="J2050" s="390">
        <v>1.0</v>
      </c>
      <c r="K2050" s="390">
        <v>155825.0</v>
      </c>
      <c r="L2050" s="390">
        <v>8760190.0</v>
      </c>
      <c r="M2050" s="390">
        <v>37.1986</v>
      </c>
      <c r="N2050" s="38">
        <v>266.8236</v>
      </c>
    </row>
    <row r="2051">
      <c r="A2051" s="389" t="s">
        <v>1973</v>
      </c>
      <c r="B2051" s="389" t="s">
        <v>339</v>
      </c>
      <c r="C2051" s="389" t="s">
        <v>357</v>
      </c>
      <c r="D2051" s="389" t="s">
        <v>357</v>
      </c>
      <c r="E2051" s="390" t="s">
        <v>368</v>
      </c>
      <c r="F2051" s="390">
        <v>4189.0</v>
      </c>
      <c r="G2051" s="390">
        <v>1718.0</v>
      </c>
      <c r="H2051" s="390">
        <v>41.01</v>
      </c>
      <c r="I2051" s="390">
        <v>1.47</v>
      </c>
      <c r="J2051" s="390">
        <v>1.72</v>
      </c>
      <c r="K2051" s="390">
        <v>128900.0</v>
      </c>
      <c r="L2051" s="390">
        <v>8760190.0</v>
      </c>
      <c r="M2051" s="390">
        <v>30.7711</v>
      </c>
      <c r="N2051" s="38">
        <v>75.0291</v>
      </c>
    </row>
    <row r="2052">
      <c r="A2052" s="389" t="s">
        <v>1973</v>
      </c>
      <c r="B2052" s="389" t="s">
        <v>339</v>
      </c>
      <c r="C2052" s="389" t="s">
        <v>357</v>
      </c>
      <c r="D2052" s="389" t="s">
        <v>357</v>
      </c>
      <c r="E2052" s="390" t="s">
        <v>363</v>
      </c>
      <c r="F2052" s="390">
        <v>4189.0</v>
      </c>
      <c r="G2052" s="390">
        <v>1600.0</v>
      </c>
      <c r="H2052" s="390">
        <v>38.2</v>
      </c>
      <c r="I2052" s="390">
        <v>1.14</v>
      </c>
      <c r="J2052" s="390">
        <v>0.97</v>
      </c>
      <c r="K2052" s="390">
        <v>99690.0</v>
      </c>
      <c r="L2052" s="390">
        <v>8760190.0</v>
      </c>
      <c r="M2052" s="390">
        <v>23.798</v>
      </c>
      <c r="N2052" s="38">
        <v>62.3063</v>
      </c>
    </row>
    <row r="2053">
      <c r="A2053" s="389" t="s">
        <v>1973</v>
      </c>
      <c r="B2053" s="389" t="s">
        <v>339</v>
      </c>
      <c r="C2053" s="389" t="s">
        <v>357</v>
      </c>
      <c r="D2053" s="389" t="s">
        <v>357</v>
      </c>
      <c r="E2053" s="390" t="s">
        <v>27</v>
      </c>
      <c r="F2053" s="390">
        <v>4189.0</v>
      </c>
      <c r="G2053" s="390">
        <v>297.0</v>
      </c>
      <c r="H2053" s="390">
        <v>7.09</v>
      </c>
      <c r="I2053" s="390">
        <v>0.58</v>
      </c>
      <c r="J2053" s="390">
        <v>0.49</v>
      </c>
      <c r="K2053" s="390">
        <v>50750.0</v>
      </c>
      <c r="L2053" s="390">
        <v>8760190.0</v>
      </c>
      <c r="M2053" s="390">
        <v>12.1151</v>
      </c>
      <c r="N2053" s="38">
        <v>170.8754</v>
      </c>
    </row>
    <row r="2054">
      <c r="A2054" s="389" t="s">
        <v>1973</v>
      </c>
      <c r="B2054" s="389" t="s">
        <v>339</v>
      </c>
      <c r="C2054" s="389" t="s">
        <v>357</v>
      </c>
      <c r="D2054" s="389" t="s">
        <v>357</v>
      </c>
      <c r="E2054" s="390" t="s">
        <v>30</v>
      </c>
      <c r="F2054" s="390">
        <v>4189.0</v>
      </c>
      <c r="G2054" s="390">
        <v>744.0</v>
      </c>
      <c r="H2054" s="390">
        <v>17.76</v>
      </c>
      <c r="I2054" s="390">
        <v>0.55</v>
      </c>
      <c r="J2054" s="390">
        <v>0.61</v>
      </c>
      <c r="K2054" s="390">
        <v>48600.0</v>
      </c>
      <c r="L2054" s="390">
        <v>8760190.0</v>
      </c>
      <c r="M2054" s="390">
        <v>11.6018</v>
      </c>
      <c r="N2054" s="38">
        <v>65.3226</v>
      </c>
    </row>
    <row r="2055">
      <c r="A2055" s="389" t="s">
        <v>1973</v>
      </c>
      <c r="B2055" s="389" t="s">
        <v>339</v>
      </c>
      <c r="C2055" s="389" t="s">
        <v>357</v>
      </c>
      <c r="D2055" s="389" t="s">
        <v>357</v>
      </c>
      <c r="E2055" s="390" t="s">
        <v>163</v>
      </c>
      <c r="F2055" s="390">
        <v>4189.0</v>
      </c>
      <c r="G2055" s="390">
        <v>706.0</v>
      </c>
      <c r="H2055" s="390">
        <v>16.85</v>
      </c>
      <c r="I2055" s="390">
        <v>0.5</v>
      </c>
      <c r="J2055" s="390">
        <v>0.51</v>
      </c>
      <c r="K2055" s="390">
        <v>43400.0</v>
      </c>
      <c r="L2055" s="390">
        <v>8760190.0</v>
      </c>
      <c r="M2055" s="390">
        <v>10.3605</v>
      </c>
      <c r="N2055" s="38">
        <v>61.4731</v>
      </c>
    </row>
    <row r="2056">
      <c r="A2056" s="389" t="s">
        <v>1973</v>
      </c>
      <c r="B2056" s="389" t="s">
        <v>339</v>
      </c>
      <c r="C2056" s="389" t="s">
        <v>6</v>
      </c>
      <c r="D2056" s="389" t="s">
        <v>591</v>
      </c>
      <c r="E2056" s="390" t="s">
        <v>370</v>
      </c>
      <c r="F2056" s="390">
        <v>4175.0</v>
      </c>
      <c r="G2056" s="390">
        <v>4163.0</v>
      </c>
      <c r="H2056" s="390">
        <v>99.71</v>
      </c>
      <c r="I2056" s="390">
        <v>62.74</v>
      </c>
      <c r="J2056" s="390">
        <v>58.79</v>
      </c>
      <c r="K2056" s="390">
        <v>71596.0</v>
      </c>
      <c r="L2056" s="390">
        <v>114109.0</v>
      </c>
      <c r="M2056" s="390">
        <v>17.1487</v>
      </c>
      <c r="N2056" s="38">
        <v>17.1982</v>
      </c>
    </row>
    <row r="2057">
      <c r="A2057" s="389" t="s">
        <v>1973</v>
      </c>
      <c r="B2057" s="389" t="s">
        <v>339</v>
      </c>
      <c r="C2057" s="389" t="s">
        <v>6</v>
      </c>
      <c r="D2057" s="389" t="s">
        <v>591</v>
      </c>
      <c r="E2057" s="390" t="s">
        <v>371</v>
      </c>
      <c r="F2057" s="390">
        <v>4175.0</v>
      </c>
      <c r="G2057" s="390">
        <v>3286.0</v>
      </c>
      <c r="H2057" s="390">
        <v>78.71</v>
      </c>
      <c r="I2057" s="390">
        <v>13.89</v>
      </c>
      <c r="J2057" s="390">
        <v>17.97</v>
      </c>
      <c r="K2057" s="390">
        <v>15854.0</v>
      </c>
      <c r="L2057" s="390">
        <v>114109.0</v>
      </c>
      <c r="M2057" s="390">
        <v>3.7974</v>
      </c>
      <c r="N2057" s="38">
        <v>4.8247</v>
      </c>
    </row>
    <row r="2058">
      <c r="A2058" s="389" t="s">
        <v>1973</v>
      </c>
      <c r="B2058" s="389" t="s">
        <v>339</v>
      </c>
      <c r="C2058" s="389" t="s">
        <v>6</v>
      </c>
      <c r="D2058" s="389" t="s">
        <v>591</v>
      </c>
      <c r="E2058" s="390" t="s">
        <v>369</v>
      </c>
      <c r="F2058" s="390">
        <v>4175.0</v>
      </c>
      <c r="G2058" s="390">
        <v>2988.0</v>
      </c>
      <c r="H2058" s="390">
        <v>71.57</v>
      </c>
      <c r="I2058" s="390">
        <v>5.91</v>
      </c>
      <c r="J2058" s="390">
        <v>5.56</v>
      </c>
      <c r="K2058" s="390">
        <v>6746.0</v>
      </c>
      <c r="L2058" s="390">
        <v>114109.0</v>
      </c>
      <c r="M2058" s="390">
        <v>1.6158</v>
      </c>
      <c r="N2058" s="38">
        <v>2.2577</v>
      </c>
    </row>
    <row r="2059">
      <c r="A2059" s="389" t="s">
        <v>1973</v>
      </c>
      <c r="B2059" s="389" t="s">
        <v>339</v>
      </c>
      <c r="C2059" s="389" t="s">
        <v>6</v>
      </c>
      <c r="D2059" s="389" t="s">
        <v>591</v>
      </c>
      <c r="E2059" s="390" t="s">
        <v>365</v>
      </c>
      <c r="F2059" s="390">
        <v>4175.0</v>
      </c>
      <c r="G2059" s="390">
        <v>2413.0</v>
      </c>
      <c r="H2059" s="390">
        <v>57.8</v>
      </c>
      <c r="I2059" s="390">
        <v>4.38</v>
      </c>
      <c r="J2059" s="390">
        <v>4.5</v>
      </c>
      <c r="K2059" s="390">
        <v>4999.0</v>
      </c>
      <c r="L2059" s="390">
        <v>114109.0</v>
      </c>
      <c r="M2059" s="390">
        <v>1.1974</v>
      </c>
      <c r="N2059" s="38">
        <v>2.0717</v>
      </c>
    </row>
    <row r="2060">
      <c r="A2060" s="389" t="s">
        <v>1973</v>
      </c>
      <c r="B2060" s="389" t="s">
        <v>339</v>
      </c>
      <c r="C2060" s="389" t="s">
        <v>6</v>
      </c>
      <c r="D2060" s="389" t="s">
        <v>591</v>
      </c>
      <c r="E2060" s="390" t="s">
        <v>44</v>
      </c>
      <c r="F2060" s="390">
        <v>4175.0</v>
      </c>
      <c r="G2060" s="390">
        <v>2098.0</v>
      </c>
      <c r="H2060" s="390">
        <v>50.25</v>
      </c>
      <c r="I2060" s="390">
        <v>3.56</v>
      </c>
      <c r="J2060" s="390">
        <v>3.28</v>
      </c>
      <c r="K2060" s="390">
        <v>4062.0</v>
      </c>
      <c r="L2060" s="390">
        <v>114109.0</v>
      </c>
      <c r="M2060" s="390">
        <v>0.9729</v>
      </c>
      <c r="N2060" s="38">
        <v>1.9361</v>
      </c>
    </row>
    <row r="2061">
      <c r="A2061" s="389" t="s">
        <v>1973</v>
      </c>
      <c r="B2061" s="389" t="s">
        <v>339</v>
      </c>
      <c r="C2061" s="389" t="s">
        <v>6</v>
      </c>
      <c r="D2061" s="389" t="s">
        <v>591</v>
      </c>
      <c r="E2061" s="390" t="s">
        <v>367</v>
      </c>
      <c r="F2061" s="390">
        <v>4175.0</v>
      </c>
      <c r="G2061" s="390">
        <v>1170.0</v>
      </c>
      <c r="H2061" s="390">
        <v>28.02</v>
      </c>
      <c r="I2061" s="390">
        <v>2.91</v>
      </c>
      <c r="J2061" s="390">
        <v>2.56</v>
      </c>
      <c r="K2061" s="390">
        <v>3322.0</v>
      </c>
      <c r="L2061" s="390">
        <v>114109.0</v>
      </c>
      <c r="M2061" s="390">
        <v>0.7957</v>
      </c>
      <c r="N2061" s="38">
        <v>2.8393</v>
      </c>
    </row>
    <row r="2062">
      <c r="A2062" s="389" t="s">
        <v>1973</v>
      </c>
      <c r="B2062" s="389" t="s">
        <v>339</v>
      </c>
      <c r="C2062" s="389" t="s">
        <v>6</v>
      </c>
      <c r="D2062" s="389" t="s">
        <v>591</v>
      </c>
      <c r="E2062" s="390" t="s">
        <v>39</v>
      </c>
      <c r="F2062" s="390">
        <v>4175.0</v>
      </c>
      <c r="G2062" s="390">
        <v>2432.0</v>
      </c>
      <c r="H2062" s="390">
        <v>58.25</v>
      </c>
      <c r="I2062" s="390">
        <v>2.76</v>
      </c>
      <c r="J2062" s="390">
        <v>3.23</v>
      </c>
      <c r="K2062" s="390">
        <v>3154.0</v>
      </c>
      <c r="L2062" s="390">
        <v>114109.0</v>
      </c>
      <c r="M2062" s="390">
        <v>0.7554</v>
      </c>
      <c r="N2062" s="38">
        <v>1.2969</v>
      </c>
    </row>
    <row r="2063">
      <c r="A2063" s="389" t="s">
        <v>1973</v>
      </c>
      <c r="B2063" s="389" t="s">
        <v>339</v>
      </c>
      <c r="C2063" s="389" t="s">
        <v>6</v>
      </c>
      <c r="D2063" s="389" t="s">
        <v>591</v>
      </c>
      <c r="E2063" s="390" t="s">
        <v>108</v>
      </c>
      <c r="F2063" s="390">
        <v>4175.0</v>
      </c>
      <c r="G2063" s="390">
        <v>915.0</v>
      </c>
      <c r="H2063" s="390">
        <v>21.92</v>
      </c>
      <c r="I2063" s="390">
        <v>1.39</v>
      </c>
      <c r="J2063" s="390">
        <v>1.34</v>
      </c>
      <c r="K2063" s="390">
        <v>1583.0</v>
      </c>
      <c r="L2063" s="390">
        <v>114109.0</v>
      </c>
      <c r="M2063" s="390">
        <v>0.3792</v>
      </c>
      <c r="N2063" s="38">
        <v>1.7301</v>
      </c>
    </row>
    <row r="2064">
      <c r="A2064" s="389" t="s">
        <v>1973</v>
      </c>
      <c r="B2064" s="389" t="s">
        <v>339</v>
      </c>
      <c r="C2064" s="389" t="s">
        <v>6</v>
      </c>
      <c r="D2064" s="389" t="s">
        <v>591</v>
      </c>
      <c r="E2064" s="390" t="s">
        <v>368</v>
      </c>
      <c r="F2064" s="390">
        <v>4175.0</v>
      </c>
      <c r="G2064" s="390">
        <v>1359.0</v>
      </c>
      <c r="H2064" s="390">
        <v>32.55</v>
      </c>
      <c r="I2064" s="390">
        <v>1.29</v>
      </c>
      <c r="J2064" s="390">
        <v>1.54</v>
      </c>
      <c r="K2064" s="390">
        <v>1473.0</v>
      </c>
      <c r="L2064" s="390">
        <v>114109.0</v>
      </c>
      <c r="M2064" s="390">
        <v>0.3528</v>
      </c>
      <c r="N2064" s="38">
        <v>1.0839</v>
      </c>
    </row>
    <row r="2065">
      <c r="A2065" s="389" t="s">
        <v>1973</v>
      </c>
      <c r="B2065" s="389" t="s">
        <v>339</v>
      </c>
      <c r="C2065" s="389" t="s">
        <v>6</v>
      </c>
      <c r="D2065" s="389" t="s">
        <v>591</v>
      </c>
      <c r="E2065" s="390" t="s">
        <v>30</v>
      </c>
      <c r="F2065" s="390">
        <v>4175.0</v>
      </c>
      <c r="G2065" s="390">
        <v>570.0</v>
      </c>
      <c r="H2065" s="390">
        <v>13.65</v>
      </c>
      <c r="I2065" s="390">
        <v>0.5</v>
      </c>
      <c r="J2065" s="390">
        <v>0.52</v>
      </c>
      <c r="K2065" s="390">
        <v>575.0</v>
      </c>
      <c r="L2065" s="390">
        <v>114109.0</v>
      </c>
      <c r="M2065" s="390">
        <v>0.1377</v>
      </c>
      <c r="N2065" s="38">
        <v>1.0088</v>
      </c>
    </row>
    <row r="2066">
      <c r="A2066" s="389" t="s">
        <v>1973</v>
      </c>
      <c r="B2066" s="389" t="s">
        <v>339</v>
      </c>
      <c r="C2066" s="389" t="s">
        <v>6</v>
      </c>
      <c r="D2066" s="389" t="s">
        <v>591</v>
      </c>
      <c r="E2066" s="390" t="s">
        <v>163</v>
      </c>
      <c r="F2066" s="390">
        <v>4175.0</v>
      </c>
      <c r="G2066" s="390">
        <v>553.0</v>
      </c>
      <c r="H2066" s="390">
        <v>13.25</v>
      </c>
      <c r="I2066" s="390">
        <v>0.49</v>
      </c>
      <c r="J2066" s="390">
        <v>0.54</v>
      </c>
      <c r="K2066" s="390">
        <v>558.0</v>
      </c>
      <c r="L2066" s="390">
        <v>114109.0</v>
      </c>
      <c r="M2066" s="390">
        <v>0.1337</v>
      </c>
      <c r="N2066" s="38">
        <v>1.009</v>
      </c>
    </row>
    <row r="2067">
      <c r="A2067" s="389" t="s">
        <v>1973</v>
      </c>
      <c r="B2067" s="389" t="s">
        <v>339</v>
      </c>
      <c r="C2067" s="389" t="s">
        <v>6</v>
      </c>
      <c r="D2067" s="389" t="s">
        <v>591</v>
      </c>
      <c r="E2067" s="390" t="s">
        <v>45</v>
      </c>
      <c r="F2067" s="390">
        <v>4175.0</v>
      </c>
      <c r="G2067" s="390">
        <v>80.0</v>
      </c>
      <c r="H2067" s="390">
        <v>1.92</v>
      </c>
      <c r="I2067" s="390">
        <v>0.07</v>
      </c>
      <c r="J2067" s="390">
        <v>0.06</v>
      </c>
      <c r="K2067" s="390">
        <v>84.0</v>
      </c>
      <c r="L2067" s="390">
        <v>114109.0</v>
      </c>
      <c r="M2067" s="390">
        <v>0.0201</v>
      </c>
      <c r="N2067" s="38">
        <v>1.05</v>
      </c>
    </row>
    <row r="2068">
      <c r="A2068" s="389" t="s">
        <v>1973</v>
      </c>
      <c r="B2068" s="389" t="s">
        <v>339</v>
      </c>
      <c r="C2068" s="389" t="s">
        <v>6</v>
      </c>
      <c r="D2068" s="389" t="s">
        <v>591</v>
      </c>
      <c r="E2068" s="390" t="s">
        <v>37</v>
      </c>
      <c r="F2068" s="390">
        <v>4175.0</v>
      </c>
      <c r="G2068" s="390">
        <v>60.0</v>
      </c>
      <c r="H2068" s="390">
        <v>1.44</v>
      </c>
      <c r="I2068" s="390">
        <v>0.05</v>
      </c>
      <c r="J2068" s="390">
        <v>0.06</v>
      </c>
      <c r="K2068" s="390">
        <v>62.0</v>
      </c>
      <c r="L2068" s="390">
        <v>114109.0</v>
      </c>
      <c r="M2068" s="390">
        <v>0.0149</v>
      </c>
      <c r="N2068" s="38">
        <v>1.0333</v>
      </c>
    </row>
    <row r="2069">
      <c r="A2069" s="389" t="s">
        <v>1973</v>
      </c>
      <c r="B2069" s="389" t="s">
        <v>339</v>
      </c>
      <c r="C2069" s="389" t="s">
        <v>6</v>
      </c>
      <c r="D2069" s="389" t="s">
        <v>591</v>
      </c>
      <c r="E2069" s="390" t="s">
        <v>38</v>
      </c>
      <c r="F2069" s="390">
        <v>4175.0</v>
      </c>
      <c r="G2069" s="390">
        <v>24.0</v>
      </c>
      <c r="H2069" s="390">
        <v>0.57</v>
      </c>
      <c r="I2069" s="390">
        <v>0.02</v>
      </c>
      <c r="J2069" s="390">
        <v>0.03</v>
      </c>
      <c r="K2069" s="390">
        <v>24.0</v>
      </c>
      <c r="L2069" s="390">
        <v>114109.0</v>
      </c>
      <c r="M2069" s="390">
        <v>0.0057</v>
      </c>
      <c r="N2069" s="38">
        <v>1.0</v>
      </c>
    </row>
    <row r="2070">
      <c r="A2070" s="389" t="s">
        <v>1973</v>
      </c>
      <c r="B2070" s="389" t="s">
        <v>339</v>
      </c>
      <c r="C2070" s="389" t="s">
        <v>6</v>
      </c>
      <c r="D2070" s="389" t="s">
        <v>591</v>
      </c>
      <c r="E2070" s="390" t="s">
        <v>363</v>
      </c>
      <c r="F2070" s="390">
        <v>4175.0</v>
      </c>
      <c r="G2070" s="390">
        <v>16.0</v>
      </c>
      <c r="H2070" s="390">
        <v>0.38</v>
      </c>
      <c r="I2070" s="390">
        <v>0.01</v>
      </c>
      <c r="J2070" s="390">
        <v>0.01</v>
      </c>
      <c r="K2070" s="390">
        <v>16.0</v>
      </c>
      <c r="L2070" s="390">
        <v>114109.0</v>
      </c>
      <c r="M2070" s="390">
        <v>0.0038</v>
      </c>
      <c r="N2070" s="38">
        <v>1.0</v>
      </c>
    </row>
    <row r="2071">
      <c r="A2071" s="389" t="s">
        <v>1973</v>
      </c>
      <c r="B2071" s="389" t="s">
        <v>339</v>
      </c>
      <c r="C2071" s="389" t="s">
        <v>6</v>
      </c>
      <c r="D2071" s="389" t="s">
        <v>591</v>
      </c>
      <c r="E2071" s="390" t="s">
        <v>27</v>
      </c>
      <c r="F2071" s="390">
        <v>4175.0</v>
      </c>
      <c r="G2071" s="390">
        <v>1.0</v>
      </c>
      <c r="H2071" s="390">
        <v>0.02</v>
      </c>
      <c r="I2071" s="390">
        <v>0.0</v>
      </c>
      <c r="J2071" s="390">
        <v>0.0</v>
      </c>
      <c r="K2071" s="390">
        <v>1.0</v>
      </c>
      <c r="L2071" s="390">
        <v>114109.0</v>
      </c>
      <c r="M2071" s="390">
        <v>2.0E-4</v>
      </c>
      <c r="N2071" s="38">
        <v>1.0</v>
      </c>
    </row>
    <row r="2072">
      <c r="A2072" s="389" t="s">
        <v>1973</v>
      </c>
      <c r="B2072" s="389" t="s">
        <v>339</v>
      </c>
      <c r="C2072" s="389" t="s">
        <v>10</v>
      </c>
      <c r="D2072" s="389" t="s">
        <v>591</v>
      </c>
      <c r="E2072" s="390" t="s">
        <v>370</v>
      </c>
      <c r="F2072" s="390">
        <v>4180.0</v>
      </c>
      <c r="G2072" s="390">
        <v>4119.0</v>
      </c>
      <c r="H2072" s="390">
        <v>98.54</v>
      </c>
      <c r="I2072" s="390">
        <v>43.35</v>
      </c>
      <c r="J2072" s="390">
        <v>42.81</v>
      </c>
      <c r="K2072" s="390">
        <v>35514.0</v>
      </c>
      <c r="L2072" s="390">
        <v>81924.0</v>
      </c>
      <c r="M2072" s="390">
        <v>8.4962</v>
      </c>
      <c r="N2072" s="38">
        <v>8.622</v>
      </c>
    </row>
    <row r="2073">
      <c r="A2073" s="389" t="s">
        <v>1973</v>
      </c>
      <c r="B2073" s="389" t="s">
        <v>339</v>
      </c>
      <c r="C2073" s="389" t="s">
        <v>10</v>
      </c>
      <c r="D2073" s="389" t="s">
        <v>591</v>
      </c>
      <c r="E2073" s="390" t="s">
        <v>365</v>
      </c>
      <c r="F2073" s="390">
        <v>4180.0</v>
      </c>
      <c r="G2073" s="390">
        <v>3682.0</v>
      </c>
      <c r="H2073" s="390">
        <v>88.09</v>
      </c>
      <c r="I2073" s="390">
        <v>18.82</v>
      </c>
      <c r="J2073" s="390">
        <v>19.73</v>
      </c>
      <c r="K2073" s="390">
        <v>15418.0</v>
      </c>
      <c r="L2073" s="390">
        <v>81924.0</v>
      </c>
      <c r="M2073" s="390">
        <v>3.6885</v>
      </c>
      <c r="N2073" s="38">
        <v>4.1874</v>
      </c>
    </row>
    <row r="2074">
      <c r="A2074" s="389" t="s">
        <v>1973</v>
      </c>
      <c r="B2074" s="389" t="s">
        <v>339</v>
      </c>
      <c r="C2074" s="389" t="s">
        <v>10</v>
      </c>
      <c r="D2074" s="389" t="s">
        <v>591</v>
      </c>
      <c r="E2074" s="390" t="s">
        <v>371</v>
      </c>
      <c r="F2074" s="390">
        <v>4180.0</v>
      </c>
      <c r="G2074" s="390">
        <v>3258.0</v>
      </c>
      <c r="H2074" s="390">
        <v>77.94</v>
      </c>
      <c r="I2074" s="390">
        <v>11.58</v>
      </c>
      <c r="J2074" s="390">
        <v>14.34</v>
      </c>
      <c r="K2074" s="390">
        <v>9490.0</v>
      </c>
      <c r="L2074" s="390">
        <v>81924.0</v>
      </c>
      <c r="M2074" s="390">
        <v>2.2703</v>
      </c>
      <c r="N2074" s="38">
        <v>2.9128</v>
      </c>
    </row>
    <row r="2075">
      <c r="A2075" s="389" t="s">
        <v>1973</v>
      </c>
      <c r="B2075" s="389" t="s">
        <v>339</v>
      </c>
      <c r="C2075" s="389" t="s">
        <v>10</v>
      </c>
      <c r="D2075" s="389" t="s">
        <v>591</v>
      </c>
      <c r="E2075" s="390" t="s">
        <v>369</v>
      </c>
      <c r="F2075" s="390">
        <v>4180.0</v>
      </c>
      <c r="G2075" s="390">
        <v>1780.0</v>
      </c>
      <c r="H2075" s="390">
        <v>42.58</v>
      </c>
      <c r="I2075" s="390">
        <v>6.67</v>
      </c>
      <c r="J2075" s="390">
        <v>4.5</v>
      </c>
      <c r="K2075" s="390">
        <v>5467.0</v>
      </c>
      <c r="L2075" s="390">
        <v>81924.0</v>
      </c>
      <c r="M2075" s="390">
        <v>1.3079</v>
      </c>
      <c r="N2075" s="38">
        <v>3.0713</v>
      </c>
    </row>
    <row r="2076">
      <c r="A2076" s="389" t="s">
        <v>1973</v>
      </c>
      <c r="B2076" s="389" t="s">
        <v>339</v>
      </c>
      <c r="C2076" s="389" t="s">
        <v>10</v>
      </c>
      <c r="D2076" s="389" t="s">
        <v>591</v>
      </c>
      <c r="E2076" s="390" t="s">
        <v>39</v>
      </c>
      <c r="F2076" s="390">
        <v>4180.0</v>
      </c>
      <c r="G2076" s="390">
        <v>2295.0</v>
      </c>
      <c r="H2076" s="390">
        <v>54.9</v>
      </c>
      <c r="I2076" s="390">
        <v>3.57</v>
      </c>
      <c r="J2076" s="390">
        <v>4.36</v>
      </c>
      <c r="K2076" s="390">
        <v>2924.0</v>
      </c>
      <c r="L2076" s="390">
        <v>81924.0</v>
      </c>
      <c r="M2076" s="390">
        <v>0.6995</v>
      </c>
      <c r="N2076" s="38">
        <v>1.2741</v>
      </c>
    </row>
    <row r="2077">
      <c r="A2077" s="389" t="s">
        <v>1973</v>
      </c>
      <c r="B2077" s="389" t="s">
        <v>339</v>
      </c>
      <c r="C2077" s="389" t="s">
        <v>10</v>
      </c>
      <c r="D2077" s="389" t="s">
        <v>591</v>
      </c>
      <c r="E2077" s="390" t="s">
        <v>108</v>
      </c>
      <c r="F2077" s="390">
        <v>4180.0</v>
      </c>
      <c r="G2077" s="390">
        <v>910.0</v>
      </c>
      <c r="H2077" s="390">
        <v>21.77</v>
      </c>
      <c r="I2077" s="390">
        <v>2.83</v>
      </c>
      <c r="J2077" s="390">
        <v>2.67</v>
      </c>
      <c r="K2077" s="390">
        <v>2317.0</v>
      </c>
      <c r="L2077" s="390">
        <v>81924.0</v>
      </c>
      <c r="M2077" s="390">
        <v>0.5543</v>
      </c>
      <c r="N2077" s="38">
        <v>2.5462</v>
      </c>
    </row>
    <row r="2078">
      <c r="A2078" s="389" t="s">
        <v>1973</v>
      </c>
      <c r="B2078" s="389" t="s">
        <v>339</v>
      </c>
      <c r="C2078" s="389" t="s">
        <v>10</v>
      </c>
      <c r="D2078" s="389" t="s">
        <v>591</v>
      </c>
      <c r="E2078" s="390" t="s">
        <v>363</v>
      </c>
      <c r="F2078" s="390">
        <v>4180.0</v>
      </c>
      <c r="G2078" s="390">
        <v>917.0</v>
      </c>
      <c r="H2078" s="390">
        <v>21.94</v>
      </c>
      <c r="I2078" s="390">
        <v>2.7</v>
      </c>
      <c r="J2078" s="390">
        <v>1.99</v>
      </c>
      <c r="K2078" s="390">
        <v>2216.0</v>
      </c>
      <c r="L2078" s="390">
        <v>81924.0</v>
      </c>
      <c r="M2078" s="390">
        <v>0.5301</v>
      </c>
      <c r="N2078" s="38">
        <v>2.4166</v>
      </c>
    </row>
    <row r="2079">
      <c r="A2079" s="389" t="s">
        <v>1973</v>
      </c>
      <c r="B2079" s="389" t="s">
        <v>339</v>
      </c>
      <c r="C2079" s="389" t="s">
        <v>10</v>
      </c>
      <c r="D2079" s="389" t="s">
        <v>591</v>
      </c>
      <c r="E2079" s="390" t="s">
        <v>366</v>
      </c>
      <c r="F2079" s="390">
        <v>4180.0</v>
      </c>
      <c r="G2079" s="390">
        <v>1229.0</v>
      </c>
      <c r="H2079" s="390">
        <v>29.4</v>
      </c>
      <c r="I2079" s="390">
        <v>2.01</v>
      </c>
      <c r="J2079" s="390">
        <v>1.49</v>
      </c>
      <c r="K2079" s="390">
        <v>1648.0</v>
      </c>
      <c r="L2079" s="390">
        <v>81924.0</v>
      </c>
      <c r="M2079" s="390">
        <v>0.3943</v>
      </c>
      <c r="N2079" s="38">
        <v>1.3409</v>
      </c>
    </row>
    <row r="2080">
      <c r="A2080" s="389" t="s">
        <v>1973</v>
      </c>
      <c r="B2080" s="389" t="s">
        <v>339</v>
      </c>
      <c r="C2080" s="389" t="s">
        <v>10</v>
      </c>
      <c r="D2080" s="389" t="s">
        <v>591</v>
      </c>
      <c r="E2080" s="390" t="s">
        <v>45</v>
      </c>
      <c r="F2080" s="390">
        <v>4180.0</v>
      </c>
      <c r="G2080" s="390">
        <v>1096.0</v>
      </c>
      <c r="H2080" s="390">
        <v>26.22</v>
      </c>
      <c r="I2080" s="390">
        <v>1.72</v>
      </c>
      <c r="J2080" s="390">
        <v>1.77</v>
      </c>
      <c r="K2080" s="390">
        <v>1406.0</v>
      </c>
      <c r="L2080" s="390">
        <v>81924.0</v>
      </c>
      <c r="M2080" s="390">
        <v>0.3364</v>
      </c>
      <c r="N2080" s="38">
        <v>1.2828</v>
      </c>
    </row>
    <row r="2081">
      <c r="A2081" s="389" t="s">
        <v>1973</v>
      </c>
      <c r="B2081" s="389" t="s">
        <v>339</v>
      </c>
      <c r="C2081" s="389" t="s">
        <v>10</v>
      </c>
      <c r="D2081" s="389" t="s">
        <v>591</v>
      </c>
      <c r="E2081" s="390" t="s">
        <v>37</v>
      </c>
      <c r="F2081" s="390">
        <v>4180.0</v>
      </c>
      <c r="G2081" s="390">
        <v>924.0</v>
      </c>
      <c r="H2081" s="390">
        <v>22.11</v>
      </c>
      <c r="I2081" s="390">
        <v>1.5</v>
      </c>
      <c r="J2081" s="390">
        <v>1.57</v>
      </c>
      <c r="K2081" s="390">
        <v>1232.0</v>
      </c>
      <c r="L2081" s="390">
        <v>81924.0</v>
      </c>
      <c r="M2081" s="390">
        <v>0.2947</v>
      </c>
      <c r="N2081" s="38">
        <v>1.3333</v>
      </c>
    </row>
    <row r="2082">
      <c r="A2082" s="389" t="s">
        <v>1973</v>
      </c>
      <c r="B2082" s="389" t="s">
        <v>339</v>
      </c>
      <c r="C2082" s="389" t="s">
        <v>10</v>
      </c>
      <c r="D2082" s="389" t="s">
        <v>591</v>
      </c>
      <c r="E2082" s="390" t="s">
        <v>35</v>
      </c>
      <c r="F2082" s="390">
        <v>4180.0</v>
      </c>
      <c r="G2082" s="390">
        <v>463.0</v>
      </c>
      <c r="H2082" s="390">
        <v>11.08</v>
      </c>
      <c r="I2082" s="390">
        <v>1.38</v>
      </c>
      <c r="J2082" s="390">
        <v>1.12</v>
      </c>
      <c r="K2082" s="390">
        <v>1132.0</v>
      </c>
      <c r="L2082" s="390">
        <v>81924.0</v>
      </c>
      <c r="M2082" s="390">
        <v>0.2708</v>
      </c>
      <c r="N2082" s="38">
        <v>2.4449</v>
      </c>
    </row>
    <row r="2083">
      <c r="A2083" s="389" t="s">
        <v>1973</v>
      </c>
      <c r="B2083" s="389" t="s">
        <v>339</v>
      </c>
      <c r="C2083" s="389" t="s">
        <v>10</v>
      </c>
      <c r="D2083" s="389" t="s">
        <v>591</v>
      </c>
      <c r="E2083" s="390" t="s">
        <v>284</v>
      </c>
      <c r="F2083" s="390">
        <v>4180.0</v>
      </c>
      <c r="G2083" s="390">
        <v>700.0</v>
      </c>
      <c r="H2083" s="390">
        <v>16.75</v>
      </c>
      <c r="I2083" s="390">
        <v>0.98</v>
      </c>
      <c r="J2083" s="390">
        <v>0.96</v>
      </c>
      <c r="K2083" s="390">
        <v>799.0</v>
      </c>
      <c r="L2083" s="390">
        <v>81924.0</v>
      </c>
      <c r="M2083" s="390">
        <v>0.1911</v>
      </c>
      <c r="N2083" s="38">
        <v>1.1414</v>
      </c>
    </row>
    <row r="2084">
      <c r="A2084" s="389" t="s">
        <v>1973</v>
      </c>
      <c r="B2084" s="389" t="s">
        <v>339</v>
      </c>
      <c r="C2084" s="389" t="s">
        <v>10</v>
      </c>
      <c r="D2084" s="389" t="s">
        <v>591</v>
      </c>
      <c r="E2084" s="390" t="s">
        <v>283</v>
      </c>
      <c r="F2084" s="390">
        <v>4180.0</v>
      </c>
      <c r="G2084" s="390">
        <v>527.0</v>
      </c>
      <c r="H2084" s="390">
        <v>12.61</v>
      </c>
      <c r="I2084" s="390">
        <v>0.72</v>
      </c>
      <c r="J2084" s="390">
        <v>0.79</v>
      </c>
      <c r="K2084" s="390">
        <v>589.0</v>
      </c>
      <c r="L2084" s="390">
        <v>81924.0</v>
      </c>
      <c r="M2084" s="390">
        <v>0.1409</v>
      </c>
      <c r="N2084" s="38">
        <v>1.1176</v>
      </c>
    </row>
    <row r="2085">
      <c r="A2085" s="389" t="s">
        <v>1973</v>
      </c>
      <c r="B2085" s="389" t="s">
        <v>339</v>
      </c>
      <c r="C2085" s="389" t="s">
        <v>10</v>
      </c>
      <c r="D2085" s="389" t="s">
        <v>591</v>
      </c>
      <c r="E2085" s="390" t="s">
        <v>282</v>
      </c>
      <c r="F2085" s="390">
        <v>4180.0</v>
      </c>
      <c r="G2085" s="390">
        <v>512.0</v>
      </c>
      <c r="H2085" s="390">
        <v>12.25</v>
      </c>
      <c r="I2085" s="390">
        <v>0.7</v>
      </c>
      <c r="J2085" s="390">
        <v>0.72</v>
      </c>
      <c r="K2085" s="390">
        <v>577.0</v>
      </c>
      <c r="L2085" s="390">
        <v>81924.0</v>
      </c>
      <c r="M2085" s="390">
        <v>0.138</v>
      </c>
      <c r="N2085" s="38">
        <v>1.127</v>
      </c>
    </row>
    <row r="2086">
      <c r="A2086" s="389" t="s">
        <v>1973</v>
      </c>
      <c r="B2086" s="389" t="s">
        <v>339</v>
      </c>
      <c r="C2086" s="389" t="s">
        <v>10</v>
      </c>
      <c r="D2086" s="389" t="s">
        <v>591</v>
      </c>
      <c r="E2086" s="390" t="s">
        <v>30</v>
      </c>
      <c r="F2086" s="390">
        <v>4180.0</v>
      </c>
      <c r="G2086" s="390">
        <v>442.0</v>
      </c>
      <c r="H2086" s="390">
        <v>10.57</v>
      </c>
      <c r="I2086" s="390">
        <v>0.55</v>
      </c>
      <c r="J2086" s="390">
        <v>0.5</v>
      </c>
      <c r="K2086" s="390">
        <v>448.0</v>
      </c>
      <c r="L2086" s="390">
        <v>81924.0</v>
      </c>
      <c r="M2086" s="390">
        <v>0.1072</v>
      </c>
      <c r="N2086" s="38">
        <v>1.0136</v>
      </c>
    </row>
    <row r="2087">
      <c r="A2087" s="389" t="s">
        <v>1973</v>
      </c>
      <c r="B2087" s="389" t="s">
        <v>339</v>
      </c>
      <c r="C2087" s="389" t="s">
        <v>10</v>
      </c>
      <c r="D2087" s="389" t="s">
        <v>591</v>
      </c>
      <c r="E2087" s="390" t="s">
        <v>163</v>
      </c>
      <c r="F2087" s="390">
        <v>4180.0</v>
      </c>
      <c r="G2087" s="390">
        <v>325.0</v>
      </c>
      <c r="H2087" s="390">
        <v>7.78</v>
      </c>
      <c r="I2087" s="390">
        <v>0.4</v>
      </c>
      <c r="J2087" s="390">
        <v>0.27</v>
      </c>
      <c r="K2087" s="390">
        <v>327.0</v>
      </c>
      <c r="L2087" s="390">
        <v>81924.0</v>
      </c>
      <c r="M2087" s="390">
        <v>0.0782</v>
      </c>
      <c r="N2087" s="38">
        <v>1.0062</v>
      </c>
    </row>
    <row r="2088">
      <c r="A2088" s="389" t="s">
        <v>1973</v>
      </c>
      <c r="B2088" s="389" t="s">
        <v>339</v>
      </c>
      <c r="C2088" s="389" t="s">
        <v>10</v>
      </c>
      <c r="D2088" s="389" t="s">
        <v>591</v>
      </c>
      <c r="E2088" s="390" t="s">
        <v>38</v>
      </c>
      <c r="F2088" s="390">
        <v>4180.0</v>
      </c>
      <c r="G2088" s="390">
        <v>298.0</v>
      </c>
      <c r="H2088" s="390">
        <v>7.13</v>
      </c>
      <c r="I2088" s="390">
        <v>0.38</v>
      </c>
      <c r="J2088" s="390">
        <v>0.31</v>
      </c>
      <c r="K2088" s="390">
        <v>315.0</v>
      </c>
      <c r="L2088" s="390">
        <v>81924.0</v>
      </c>
      <c r="M2088" s="390">
        <v>0.0754</v>
      </c>
      <c r="N2088" s="38">
        <v>1.057</v>
      </c>
    </row>
    <row r="2089">
      <c r="A2089" s="389" t="s">
        <v>1973</v>
      </c>
      <c r="B2089" s="389" t="s">
        <v>339</v>
      </c>
      <c r="C2089" s="389" t="s">
        <v>10</v>
      </c>
      <c r="D2089" s="389" t="s">
        <v>591</v>
      </c>
      <c r="E2089" s="390" t="s">
        <v>27</v>
      </c>
      <c r="F2089" s="390">
        <v>4180.0</v>
      </c>
      <c r="G2089" s="390">
        <v>100.0</v>
      </c>
      <c r="H2089" s="390">
        <v>2.39</v>
      </c>
      <c r="I2089" s="390">
        <v>0.12</v>
      </c>
      <c r="J2089" s="390">
        <v>0.09</v>
      </c>
      <c r="K2089" s="390">
        <v>102.0</v>
      </c>
      <c r="L2089" s="390">
        <v>81924.0</v>
      </c>
      <c r="M2089" s="390">
        <v>0.0244</v>
      </c>
      <c r="N2089" s="38">
        <v>1.02</v>
      </c>
    </row>
    <row r="2090">
      <c r="A2090" s="389" t="s">
        <v>1973</v>
      </c>
      <c r="B2090" s="389" t="s">
        <v>339</v>
      </c>
      <c r="C2090" s="389" t="s">
        <v>10</v>
      </c>
      <c r="D2090" s="389" t="s">
        <v>591</v>
      </c>
      <c r="E2090" s="390" t="s">
        <v>367</v>
      </c>
      <c r="F2090" s="390">
        <v>4180.0</v>
      </c>
      <c r="G2090" s="390">
        <v>1.0</v>
      </c>
      <c r="H2090" s="390">
        <v>0.02</v>
      </c>
      <c r="I2090" s="390">
        <v>0.0</v>
      </c>
      <c r="J2090" s="390">
        <v>0.0</v>
      </c>
      <c r="K2090" s="390">
        <v>3.0</v>
      </c>
      <c r="L2090" s="390">
        <v>81924.0</v>
      </c>
      <c r="M2090" s="390">
        <v>7.0E-4</v>
      </c>
      <c r="N2090" s="38">
        <v>3.0</v>
      </c>
    </row>
    <row r="2091">
      <c r="A2091" s="389" t="s">
        <v>1973</v>
      </c>
      <c r="B2091" s="389" t="s">
        <v>339</v>
      </c>
      <c r="C2091" s="389" t="s">
        <v>9</v>
      </c>
      <c r="D2091" s="389" t="s">
        <v>591</v>
      </c>
      <c r="E2091" s="390" t="s">
        <v>370</v>
      </c>
      <c r="F2091" s="390">
        <v>4170.0</v>
      </c>
      <c r="G2091" s="390">
        <v>4125.0</v>
      </c>
      <c r="H2091" s="390">
        <v>98.92</v>
      </c>
      <c r="I2091" s="390">
        <v>43.14</v>
      </c>
      <c r="J2091" s="390">
        <v>44.42</v>
      </c>
      <c r="K2091" s="390">
        <v>35503.0</v>
      </c>
      <c r="L2091" s="390">
        <v>82304.0</v>
      </c>
      <c r="M2091" s="390">
        <v>8.5139</v>
      </c>
      <c r="N2091" s="38">
        <v>8.6068</v>
      </c>
    </row>
    <row r="2092">
      <c r="A2092" s="389" t="s">
        <v>1973</v>
      </c>
      <c r="B2092" s="389" t="s">
        <v>339</v>
      </c>
      <c r="C2092" s="389" t="s">
        <v>9</v>
      </c>
      <c r="D2092" s="389" t="s">
        <v>591</v>
      </c>
      <c r="E2092" s="390" t="s">
        <v>365</v>
      </c>
      <c r="F2092" s="390">
        <v>4170.0</v>
      </c>
      <c r="G2092" s="390">
        <v>3301.0</v>
      </c>
      <c r="H2092" s="390">
        <v>79.16</v>
      </c>
      <c r="I2092" s="390">
        <v>13.43</v>
      </c>
      <c r="J2092" s="390">
        <v>14.65</v>
      </c>
      <c r="K2092" s="390">
        <v>11050.0</v>
      </c>
      <c r="L2092" s="390">
        <v>82304.0</v>
      </c>
      <c r="M2092" s="390">
        <v>2.6499</v>
      </c>
      <c r="N2092" s="38">
        <v>3.3475</v>
      </c>
    </row>
    <row r="2093">
      <c r="A2093" s="389" t="s">
        <v>1973</v>
      </c>
      <c r="B2093" s="389" t="s">
        <v>339</v>
      </c>
      <c r="C2093" s="389" t="s">
        <v>9</v>
      </c>
      <c r="D2093" s="389" t="s">
        <v>591</v>
      </c>
      <c r="E2093" s="390" t="s">
        <v>371</v>
      </c>
      <c r="F2093" s="390">
        <v>4170.0</v>
      </c>
      <c r="G2093" s="390">
        <v>2489.0</v>
      </c>
      <c r="H2093" s="390">
        <v>59.69</v>
      </c>
      <c r="I2093" s="390">
        <v>8.6</v>
      </c>
      <c r="J2093" s="390">
        <v>9.41</v>
      </c>
      <c r="K2093" s="390">
        <v>7079.0</v>
      </c>
      <c r="L2093" s="390">
        <v>82304.0</v>
      </c>
      <c r="M2093" s="390">
        <v>1.6976</v>
      </c>
      <c r="N2093" s="38">
        <v>2.8441</v>
      </c>
    </row>
    <row r="2094">
      <c r="A2094" s="389" t="s">
        <v>1973</v>
      </c>
      <c r="B2094" s="389" t="s">
        <v>339</v>
      </c>
      <c r="C2094" s="389" t="s">
        <v>9</v>
      </c>
      <c r="D2094" s="389" t="s">
        <v>591</v>
      </c>
      <c r="E2094" s="390" t="s">
        <v>369</v>
      </c>
      <c r="F2094" s="390">
        <v>4170.0</v>
      </c>
      <c r="G2094" s="390">
        <v>1554.0</v>
      </c>
      <c r="H2094" s="390">
        <v>37.27</v>
      </c>
      <c r="I2094" s="390">
        <v>6.59</v>
      </c>
      <c r="J2094" s="390">
        <v>3.94</v>
      </c>
      <c r="K2094" s="390">
        <v>5421.0</v>
      </c>
      <c r="L2094" s="390">
        <v>82304.0</v>
      </c>
      <c r="M2094" s="390">
        <v>1.3</v>
      </c>
      <c r="N2094" s="38">
        <v>3.4884</v>
      </c>
    </row>
    <row r="2095">
      <c r="A2095" s="389" t="s">
        <v>1973</v>
      </c>
      <c r="B2095" s="389" t="s">
        <v>339</v>
      </c>
      <c r="C2095" s="389" t="s">
        <v>9</v>
      </c>
      <c r="D2095" s="389" t="s">
        <v>591</v>
      </c>
      <c r="E2095" s="390" t="s">
        <v>44</v>
      </c>
      <c r="F2095" s="390">
        <v>4170.0</v>
      </c>
      <c r="G2095" s="390">
        <v>2098.0</v>
      </c>
      <c r="H2095" s="390">
        <v>50.31</v>
      </c>
      <c r="I2095" s="390">
        <v>4.94</v>
      </c>
      <c r="J2095" s="390">
        <v>5.0</v>
      </c>
      <c r="K2095" s="390">
        <v>4062.0</v>
      </c>
      <c r="L2095" s="390">
        <v>82304.0</v>
      </c>
      <c r="M2095" s="390">
        <v>0.9741</v>
      </c>
      <c r="N2095" s="38">
        <v>1.9361</v>
      </c>
    </row>
    <row r="2096">
      <c r="A2096" s="389" t="s">
        <v>1973</v>
      </c>
      <c r="B2096" s="389" t="s">
        <v>339</v>
      </c>
      <c r="C2096" s="389" t="s">
        <v>9</v>
      </c>
      <c r="D2096" s="389" t="s">
        <v>591</v>
      </c>
      <c r="E2096" s="390" t="s">
        <v>108</v>
      </c>
      <c r="F2096" s="390">
        <v>4170.0</v>
      </c>
      <c r="G2096" s="390">
        <v>960.0</v>
      </c>
      <c r="H2096" s="390">
        <v>23.02</v>
      </c>
      <c r="I2096" s="390">
        <v>4.25</v>
      </c>
      <c r="J2096" s="390">
        <v>2.97</v>
      </c>
      <c r="K2096" s="390">
        <v>3498.0</v>
      </c>
      <c r="L2096" s="390">
        <v>82304.0</v>
      </c>
      <c r="M2096" s="390">
        <v>0.8388</v>
      </c>
      <c r="N2096" s="38">
        <v>3.6438</v>
      </c>
    </row>
    <row r="2097">
      <c r="A2097" s="389" t="s">
        <v>1973</v>
      </c>
      <c r="B2097" s="389" t="s">
        <v>339</v>
      </c>
      <c r="C2097" s="389" t="s">
        <v>9</v>
      </c>
      <c r="D2097" s="389" t="s">
        <v>591</v>
      </c>
      <c r="E2097" s="390" t="s">
        <v>367</v>
      </c>
      <c r="F2097" s="390">
        <v>4170.0</v>
      </c>
      <c r="G2097" s="390">
        <v>1121.0</v>
      </c>
      <c r="H2097" s="390">
        <v>26.88</v>
      </c>
      <c r="I2097" s="390">
        <v>3.55</v>
      </c>
      <c r="J2097" s="390">
        <v>3.41</v>
      </c>
      <c r="K2097" s="390">
        <v>2921.0</v>
      </c>
      <c r="L2097" s="390">
        <v>82304.0</v>
      </c>
      <c r="M2097" s="390">
        <v>0.7005</v>
      </c>
      <c r="N2097" s="38">
        <v>2.6057</v>
      </c>
    </row>
    <row r="2098">
      <c r="A2098" s="389" t="s">
        <v>1973</v>
      </c>
      <c r="B2098" s="389" t="s">
        <v>339</v>
      </c>
      <c r="C2098" s="389" t="s">
        <v>9</v>
      </c>
      <c r="D2098" s="389" t="s">
        <v>591</v>
      </c>
      <c r="E2098" s="390" t="s">
        <v>366</v>
      </c>
      <c r="F2098" s="390">
        <v>4170.0</v>
      </c>
      <c r="G2098" s="390">
        <v>2029.0</v>
      </c>
      <c r="H2098" s="390">
        <v>48.66</v>
      </c>
      <c r="I2098" s="390">
        <v>3.45</v>
      </c>
      <c r="J2098" s="390">
        <v>3.62</v>
      </c>
      <c r="K2098" s="390">
        <v>2842.0</v>
      </c>
      <c r="L2098" s="390">
        <v>82304.0</v>
      </c>
      <c r="M2098" s="390">
        <v>0.6815</v>
      </c>
      <c r="N2098" s="38">
        <v>1.4007</v>
      </c>
    </row>
    <row r="2099">
      <c r="A2099" s="389" t="s">
        <v>1973</v>
      </c>
      <c r="B2099" s="389" t="s">
        <v>339</v>
      </c>
      <c r="C2099" s="389" t="s">
        <v>9</v>
      </c>
      <c r="D2099" s="389" t="s">
        <v>591</v>
      </c>
      <c r="E2099" s="390" t="s">
        <v>39</v>
      </c>
      <c r="F2099" s="390">
        <v>4170.0</v>
      </c>
      <c r="G2099" s="390">
        <v>2227.0</v>
      </c>
      <c r="H2099" s="390">
        <v>53.41</v>
      </c>
      <c r="I2099" s="390">
        <v>3.41</v>
      </c>
      <c r="J2099" s="390">
        <v>4.36</v>
      </c>
      <c r="K2099" s="390">
        <v>2807.0</v>
      </c>
      <c r="L2099" s="390">
        <v>82304.0</v>
      </c>
      <c r="M2099" s="390">
        <v>0.6731</v>
      </c>
      <c r="N2099" s="38">
        <v>1.2604</v>
      </c>
    </row>
    <row r="2100">
      <c r="A2100" s="389" t="s">
        <v>1973</v>
      </c>
      <c r="B2100" s="389" t="s">
        <v>339</v>
      </c>
      <c r="C2100" s="389" t="s">
        <v>9</v>
      </c>
      <c r="D2100" s="389" t="s">
        <v>591</v>
      </c>
      <c r="E2100" s="390" t="s">
        <v>363</v>
      </c>
      <c r="F2100" s="390">
        <v>4170.0</v>
      </c>
      <c r="G2100" s="390">
        <v>902.0</v>
      </c>
      <c r="H2100" s="390">
        <v>21.63</v>
      </c>
      <c r="I2100" s="390">
        <v>2.55</v>
      </c>
      <c r="J2100" s="390">
        <v>1.94</v>
      </c>
      <c r="K2100" s="390">
        <v>2096.0</v>
      </c>
      <c r="L2100" s="390">
        <v>82304.0</v>
      </c>
      <c r="M2100" s="390">
        <v>0.5026</v>
      </c>
      <c r="N2100" s="38">
        <v>2.3237</v>
      </c>
    </row>
    <row r="2101">
      <c r="A2101" s="389" t="s">
        <v>1973</v>
      </c>
      <c r="B2101" s="389" t="s">
        <v>339</v>
      </c>
      <c r="C2101" s="389" t="s">
        <v>9</v>
      </c>
      <c r="D2101" s="389" t="s">
        <v>591</v>
      </c>
      <c r="E2101" s="390" t="s">
        <v>35</v>
      </c>
      <c r="F2101" s="390">
        <v>4170.0</v>
      </c>
      <c r="G2101" s="390">
        <v>858.0</v>
      </c>
      <c r="H2101" s="390">
        <v>20.58</v>
      </c>
      <c r="I2101" s="390">
        <v>1.94</v>
      </c>
      <c r="J2101" s="390">
        <v>1.76</v>
      </c>
      <c r="K2101" s="390">
        <v>1597.0</v>
      </c>
      <c r="L2101" s="390">
        <v>82304.0</v>
      </c>
      <c r="M2101" s="390">
        <v>0.383</v>
      </c>
      <c r="N2101" s="38">
        <v>1.8613</v>
      </c>
    </row>
    <row r="2102">
      <c r="A2102" s="389" t="s">
        <v>1973</v>
      </c>
      <c r="B2102" s="389" t="s">
        <v>339</v>
      </c>
      <c r="C2102" s="389" t="s">
        <v>9</v>
      </c>
      <c r="D2102" s="389" t="s">
        <v>591</v>
      </c>
      <c r="E2102" s="390" t="s">
        <v>368</v>
      </c>
      <c r="F2102" s="390">
        <v>4170.0</v>
      </c>
      <c r="G2102" s="390">
        <v>1141.0</v>
      </c>
      <c r="H2102" s="390">
        <v>27.36</v>
      </c>
      <c r="I2102" s="390">
        <v>1.52</v>
      </c>
      <c r="J2102" s="390">
        <v>1.69</v>
      </c>
      <c r="K2102" s="390">
        <v>1251.0</v>
      </c>
      <c r="L2102" s="390">
        <v>82304.0</v>
      </c>
      <c r="M2102" s="390">
        <v>0.3</v>
      </c>
      <c r="N2102" s="38">
        <v>1.0964</v>
      </c>
    </row>
    <row r="2103">
      <c r="A2103" s="389" t="s">
        <v>1973</v>
      </c>
      <c r="B2103" s="389" t="s">
        <v>339</v>
      </c>
      <c r="C2103" s="389" t="s">
        <v>9</v>
      </c>
      <c r="D2103" s="389" t="s">
        <v>591</v>
      </c>
      <c r="E2103" s="390" t="s">
        <v>45</v>
      </c>
      <c r="F2103" s="390">
        <v>4170.0</v>
      </c>
      <c r="G2103" s="390">
        <v>639.0</v>
      </c>
      <c r="H2103" s="390">
        <v>15.32</v>
      </c>
      <c r="I2103" s="390">
        <v>0.95</v>
      </c>
      <c r="J2103" s="390">
        <v>0.96</v>
      </c>
      <c r="K2103" s="390">
        <v>781.0</v>
      </c>
      <c r="L2103" s="390">
        <v>82304.0</v>
      </c>
      <c r="M2103" s="390">
        <v>0.1873</v>
      </c>
      <c r="N2103" s="38">
        <v>1.2222</v>
      </c>
    </row>
    <row r="2104">
      <c r="A2104" s="389" t="s">
        <v>1973</v>
      </c>
      <c r="B2104" s="389" t="s">
        <v>339</v>
      </c>
      <c r="C2104" s="389" t="s">
        <v>9</v>
      </c>
      <c r="D2104" s="389" t="s">
        <v>591</v>
      </c>
      <c r="E2104" s="390" t="s">
        <v>37</v>
      </c>
      <c r="F2104" s="390">
        <v>4170.0</v>
      </c>
      <c r="G2104" s="390">
        <v>387.0</v>
      </c>
      <c r="H2104" s="390">
        <v>9.28</v>
      </c>
      <c r="I2104" s="390">
        <v>0.53</v>
      </c>
      <c r="J2104" s="390">
        <v>0.62</v>
      </c>
      <c r="K2104" s="390">
        <v>437.0</v>
      </c>
      <c r="L2104" s="390">
        <v>82304.0</v>
      </c>
      <c r="M2104" s="390">
        <v>0.1048</v>
      </c>
      <c r="N2104" s="38">
        <v>1.1292</v>
      </c>
    </row>
    <row r="2105">
      <c r="A2105" s="389" t="s">
        <v>1973</v>
      </c>
      <c r="B2105" s="389" t="s">
        <v>339</v>
      </c>
      <c r="C2105" s="389" t="s">
        <v>9</v>
      </c>
      <c r="D2105" s="389" t="s">
        <v>591</v>
      </c>
      <c r="E2105" s="390" t="s">
        <v>163</v>
      </c>
      <c r="F2105" s="390">
        <v>4170.0</v>
      </c>
      <c r="G2105" s="390">
        <v>417.0</v>
      </c>
      <c r="H2105" s="390">
        <v>10.0</v>
      </c>
      <c r="I2105" s="390">
        <v>0.51</v>
      </c>
      <c r="J2105" s="390">
        <v>0.48</v>
      </c>
      <c r="K2105" s="390">
        <v>421.0</v>
      </c>
      <c r="L2105" s="390">
        <v>82304.0</v>
      </c>
      <c r="M2105" s="390">
        <v>0.101</v>
      </c>
      <c r="N2105" s="38">
        <v>1.0096</v>
      </c>
    </row>
    <row r="2106">
      <c r="A2106" s="389" t="s">
        <v>1973</v>
      </c>
      <c r="B2106" s="389" t="s">
        <v>339</v>
      </c>
      <c r="C2106" s="389" t="s">
        <v>9</v>
      </c>
      <c r="D2106" s="389" t="s">
        <v>591</v>
      </c>
      <c r="E2106" s="390" t="s">
        <v>284</v>
      </c>
      <c r="F2106" s="390">
        <v>4170.0</v>
      </c>
      <c r="G2106" s="390">
        <v>172.0</v>
      </c>
      <c r="H2106" s="390">
        <v>4.12</v>
      </c>
      <c r="I2106" s="390">
        <v>0.22</v>
      </c>
      <c r="J2106" s="390">
        <v>0.24</v>
      </c>
      <c r="K2106" s="390">
        <v>180.0</v>
      </c>
      <c r="L2106" s="390">
        <v>82304.0</v>
      </c>
      <c r="M2106" s="390">
        <v>0.0432</v>
      </c>
      <c r="N2106" s="38">
        <v>1.0465</v>
      </c>
    </row>
    <row r="2107">
      <c r="A2107" s="389" t="s">
        <v>1973</v>
      </c>
      <c r="B2107" s="389" t="s">
        <v>339</v>
      </c>
      <c r="C2107" s="389" t="s">
        <v>9</v>
      </c>
      <c r="D2107" s="389" t="s">
        <v>591</v>
      </c>
      <c r="E2107" s="390" t="s">
        <v>282</v>
      </c>
      <c r="F2107" s="390">
        <v>4170.0</v>
      </c>
      <c r="G2107" s="390">
        <v>117.0</v>
      </c>
      <c r="H2107" s="390">
        <v>2.81</v>
      </c>
      <c r="I2107" s="390">
        <v>0.14</v>
      </c>
      <c r="J2107" s="390">
        <v>0.17</v>
      </c>
      <c r="K2107" s="390">
        <v>119.0</v>
      </c>
      <c r="L2107" s="390">
        <v>82304.0</v>
      </c>
      <c r="M2107" s="390">
        <v>0.0285</v>
      </c>
      <c r="N2107" s="38">
        <v>1.0171</v>
      </c>
    </row>
    <row r="2108">
      <c r="A2108" s="389" t="s">
        <v>1973</v>
      </c>
      <c r="B2108" s="389" t="s">
        <v>339</v>
      </c>
      <c r="C2108" s="389" t="s">
        <v>9</v>
      </c>
      <c r="D2108" s="389" t="s">
        <v>591</v>
      </c>
      <c r="E2108" s="390" t="s">
        <v>283</v>
      </c>
      <c r="F2108" s="390">
        <v>4170.0</v>
      </c>
      <c r="G2108" s="390">
        <v>106.0</v>
      </c>
      <c r="H2108" s="390">
        <v>2.54</v>
      </c>
      <c r="I2108" s="390">
        <v>0.13</v>
      </c>
      <c r="J2108" s="390">
        <v>0.19</v>
      </c>
      <c r="K2108" s="390">
        <v>107.0</v>
      </c>
      <c r="L2108" s="390">
        <v>82304.0</v>
      </c>
      <c r="M2108" s="390">
        <v>0.0257</v>
      </c>
      <c r="N2108" s="38">
        <v>1.0094</v>
      </c>
    </row>
    <row r="2109">
      <c r="A2109" s="389" t="s">
        <v>1973</v>
      </c>
      <c r="B2109" s="389" t="s">
        <v>339</v>
      </c>
      <c r="C2109" s="389" t="s">
        <v>9</v>
      </c>
      <c r="D2109" s="389" t="s">
        <v>591</v>
      </c>
      <c r="E2109" s="390" t="s">
        <v>38</v>
      </c>
      <c r="F2109" s="390">
        <v>4170.0</v>
      </c>
      <c r="G2109" s="390">
        <v>104.0</v>
      </c>
      <c r="H2109" s="390">
        <v>2.49</v>
      </c>
      <c r="I2109" s="390">
        <v>0.13</v>
      </c>
      <c r="J2109" s="390">
        <v>0.16</v>
      </c>
      <c r="K2109" s="390">
        <v>109.0</v>
      </c>
      <c r="L2109" s="390">
        <v>82304.0</v>
      </c>
      <c r="M2109" s="390">
        <v>0.0261</v>
      </c>
      <c r="N2109" s="38">
        <v>1.0481</v>
      </c>
    </row>
    <row r="2110">
      <c r="A2110" s="389" t="s">
        <v>1973</v>
      </c>
      <c r="B2110" s="389" t="s">
        <v>339</v>
      </c>
      <c r="C2110" s="389" t="s">
        <v>9</v>
      </c>
      <c r="D2110" s="389" t="s">
        <v>591</v>
      </c>
      <c r="E2110" s="390" t="s">
        <v>27</v>
      </c>
      <c r="F2110" s="390">
        <v>4170.0</v>
      </c>
      <c r="G2110" s="390">
        <v>23.0</v>
      </c>
      <c r="H2110" s="390">
        <v>0.55</v>
      </c>
      <c r="I2110" s="390">
        <v>0.03</v>
      </c>
      <c r="J2110" s="390">
        <v>0.03</v>
      </c>
      <c r="K2110" s="390">
        <v>23.0</v>
      </c>
      <c r="L2110" s="390">
        <v>82304.0</v>
      </c>
      <c r="M2110" s="390">
        <v>0.0055</v>
      </c>
      <c r="N2110" s="38">
        <v>1.0</v>
      </c>
    </row>
    <row r="2111">
      <c r="A2111" s="389" t="s">
        <v>1973</v>
      </c>
      <c r="B2111" s="389" t="s">
        <v>339</v>
      </c>
      <c r="C2111" s="389" t="s">
        <v>358</v>
      </c>
      <c r="D2111" s="389" t="s">
        <v>1968</v>
      </c>
      <c r="E2111" s="390" t="s">
        <v>371</v>
      </c>
      <c r="F2111" s="390">
        <v>2996.0</v>
      </c>
      <c r="G2111" s="390">
        <v>1316.0</v>
      </c>
      <c r="H2111" s="390">
        <v>43.93</v>
      </c>
      <c r="I2111" s="390">
        <v>34.42</v>
      </c>
      <c r="J2111" s="390">
        <v>27.91</v>
      </c>
      <c r="K2111" s="390">
        <v>40715.0</v>
      </c>
      <c r="L2111" s="390">
        <v>118290.0</v>
      </c>
      <c r="M2111" s="390">
        <v>13.5898</v>
      </c>
      <c r="N2111" s="38">
        <v>30.9384</v>
      </c>
    </row>
    <row r="2112">
      <c r="A2112" s="389" t="s">
        <v>1973</v>
      </c>
      <c r="B2112" s="389" t="s">
        <v>339</v>
      </c>
      <c r="C2112" s="389" t="s">
        <v>358</v>
      </c>
      <c r="D2112" s="389" t="s">
        <v>1968</v>
      </c>
      <c r="E2112" s="390" t="s">
        <v>368</v>
      </c>
      <c r="F2112" s="390">
        <v>2996.0</v>
      </c>
      <c r="G2112" s="390">
        <v>1630.0</v>
      </c>
      <c r="H2112" s="390">
        <v>54.41</v>
      </c>
      <c r="I2112" s="390">
        <v>27.0</v>
      </c>
      <c r="J2112" s="390">
        <v>33.5</v>
      </c>
      <c r="K2112" s="390">
        <v>31935.0</v>
      </c>
      <c r="L2112" s="390">
        <v>118290.0</v>
      </c>
      <c r="M2112" s="390">
        <v>10.6592</v>
      </c>
      <c r="N2112" s="38">
        <v>19.592</v>
      </c>
    </row>
    <row r="2113">
      <c r="A2113" s="389" t="s">
        <v>1973</v>
      </c>
      <c r="B2113" s="389" t="s">
        <v>339</v>
      </c>
      <c r="C2113" s="389" t="s">
        <v>358</v>
      </c>
      <c r="D2113" s="389" t="s">
        <v>1968</v>
      </c>
      <c r="E2113" s="390" t="s">
        <v>108</v>
      </c>
      <c r="F2113" s="390">
        <v>2996.0</v>
      </c>
      <c r="G2113" s="390">
        <v>782.0</v>
      </c>
      <c r="H2113" s="390">
        <v>26.1</v>
      </c>
      <c r="I2113" s="390">
        <v>15.44</v>
      </c>
      <c r="J2113" s="390">
        <v>13.9</v>
      </c>
      <c r="K2113" s="390">
        <v>18265.0</v>
      </c>
      <c r="L2113" s="390">
        <v>118290.0</v>
      </c>
      <c r="M2113" s="390">
        <v>6.0965</v>
      </c>
      <c r="N2113" s="38">
        <v>23.3568</v>
      </c>
    </row>
    <row r="2114">
      <c r="A2114" s="389" t="s">
        <v>1973</v>
      </c>
      <c r="B2114" s="389" t="s">
        <v>339</v>
      </c>
      <c r="C2114" s="389" t="s">
        <v>358</v>
      </c>
      <c r="D2114" s="389" t="s">
        <v>1968</v>
      </c>
      <c r="E2114" s="390" t="s">
        <v>163</v>
      </c>
      <c r="F2114" s="390">
        <v>2996.0</v>
      </c>
      <c r="G2114" s="390">
        <v>657.0</v>
      </c>
      <c r="H2114" s="390">
        <v>21.93</v>
      </c>
      <c r="I2114" s="390">
        <v>10.4</v>
      </c>
      <c r="J2114" s="390">
        <v>12.76</v>
      </c>
      <c r="K2114" s="390">
        <v>12300.0</v>
      </c>
      <c r="L2114" s="390">
        <v>118290.0</v>
      </c>
      <c r="M2114" s="390">
        <v>4.1055</v>
      </c>
      <c r="N2114" s="38">
        <v>18.7215</v>
      </c>
    </row>
    <row r="2115">
      <c r="A2115" s="389" t="s">
        <v>1973</v>
      </c>
      <c r="B2115" s="389" t="s">
        <v>339</v>
      </c>
      <c r="C2115" s="389" t="s">
        <v>358</v>
      </c>
      <c r="D2115" s="389" t="s">
        <v>1968</v>
      </c>
      <c r="E2115" s="390" t="s">
        <v>30</v>
      </c>
      <c r="F2115" s="390">
        <v>2996.0</v>
      </c>
      <c r="G2115" s="390">
        <v>477.0</v>
      </c>
      <c r="H2115" s="390">
        <v>15.92</v>
      </c>
      <c r="I2115" s="390">
        <v>6.09</v>
      </c>
      <c r="J2115" s="390">
        <v>8.01</v>
      </c>
      <c r="K2115" s="390">
        <v>7200.0</v>
      </c>
      <c r="L2115" s="390">
        <v>118290.0</v>
      </c>
      <c r="M2115" s="390">
        <v>2.4032</v>
      </c>
      <c r="N2115" s="38">
        <v>15.0943</v>
      </c>
    </row>
    <row r="2116">
      <c r="A2116" s="389" t="s">
        <v>1973</v>
      </c>
      <c r="B2116" s="389" t="s">
        <v>339</v>
      </c>
      <c r="C2116" s="389" t="s">
        <v>358</v>
      </c>
      <c r="D2116" s="389" t="s">
        <v>1968</v>
      </c>
      <c r="E2116" s="390" t="s">
        <v>366</v>
      </c>
      <c r="F2116" s="390">
        <v>2996.0</v>
      </c>
      <c r="G2116" s="390">
        <v>211.0</v>
      </c>
      <c r="H2116" s="390">
        <v>7.04</v>
      </c>
      <c r="I2116" s="390">
        <v>5.39</v>
      </c>
      <c r="J2116" s="390">
        <v>2.86</v>
      </c>
      <c r="K2116" s="390">
        <v>6375.0</v>
      </c>
      <c r="L2116" s="390">
        <v>118290.0</v>
      </c>
      <c r="M2116" s="390">
        <v>2.1278</v>
      </c>
      <c r="N2116" s="38">
        <v>30.2133</v>
      </c>
    </row>
    <row r="2117">
      <c r="A2117" s="389" t="s">
        <v>1973</v>
      </c>
      <c r="B2117" s="389" t="s">
        <v>339</v>
      </c>
      <c r="C2117" s="389" t="s">
        <v>358</v>
      </c>
      <c r="D2117" s="389" t="s">
        <v>1968</v>
      </c>
      <c r="E2117" s="390" t="s">
        <v>369</v>
      </c>
      <c r="F2117" s="390">
        <v>2996.0</v>
      </c>
      <c r="G2117" s="390">
        <v>42.0</v>
      </c>
      <c r="H2117" s="390">
        <v>1.4</v>
      </c>
      <c r="I2117" s="390">
        <v>1.27</v>
      </c>
      <c r="J2117" s="390">
        <v>1.05</v>
      </c>
      <c r="K2117" s="390">
        <v>1500.0</v>
      </c>
      <c r="L2117" s="390">
        <v>118290.0</v>
      </c>
      <c r="M2117" s="390">
        <v>0.5007</v>
      </c>
      <c r="N2117" s="38">
        <v>35.7143</v>
      </c>
    </row>
    <row r="2118">
      <c r="A2118" s="389" t="s">
        <v>1973</v>
      </c>
      <c r="B2118" s="389" t="s">
        <v>339</v>
      </c>
      <c r="C2118" s="389" t="s">
        <v>359</v>
      </c>
      <c r="D2118" s="389" t="s">
        <v>1968</v>
      </c>
      <c r="E2118" s="390" t="s">
        <v>371</v>
      </c>
      <c r="F2118" s="390">
        <v>3861.0</v>
      </c>
      <c r="G2118" s="390">
        <v>2755.0</v>
      </c>
      <c r="H2118" s="390">
        <v>71.35</v>
      </c>
      <c r="I2118" s="390">
        <v>42.33</v>
      </c>
      <c r="J2118" s="390">
        <v>41.0</v>
      </c>
      <c r="K2118" s="390">
        <v>108225.0</v>
      </c>
      <c r="L2118" s="390">
        <v>255680.0</v>
      </c>
      <c r="M2118" s="390">
        <v>28.0303</v>
      </c>
      <c r="N2118" s="38">
        <v>39.2831</v>
      </c>
    </row>
    <row r="2119">
      <c r="A2119" s="389" t="s">
        <v>1973</v>
      </c>
      <c r="B2119" s="389" t="s">
        <v>339</v>
      </c>
      <c r="C2119" s="389" t="s">
        <v>359</v>
      </c>
      <c r="D2119" s="389" t="s">
        <v>1968</v>
      </c>
      <c r="E2119" s="390" t="s">
        <v>108</v>
      </c>
      <c r="F2119" s="390">
        <v>3861.0</v>
      </c>
      <c r="G2119" s="390">
        <v>1028.0</v>
      </c>
      <c r="H2119" s="390">
        <v>26.63</v>
      </c>
      <c r="I2119" s="390">
        <v>20.25</v>
      </c>
      <c r="J2119" s="390">
        <v>11.35</v>
      </c>
      <c r="K2119" s="390">
        <v>51765.0</v>
      </c>
      <c r="L2119" s="390">
        <v>255680.0</v>
      </c>
      <c r="M2119" s="390">
        <v>13.4071</v>
      </c>
      <c r="N2119" s="38">
        <v>50.3551</v>
      </c>
    </row>
    <row r="2120">
      <c r="A2120" s="389" t="s">
        <v>1973</v>
      </c>
      <c r="B2120" s="389" t="s">
        <v>339</v>
      </c>
      <c r="C2120" s="389" t="s">
        <v>359</v>
      </c>
      <c r="D2120" s="389" t="s">
        <v>1968</v>
      </c>
      <c r="E2120" s="390" t="s">
        <v>368</v>
      </c>
      <c r="F2120" s="390">
        <v>3861.0</v>
      </c>
      <c r="G2120" s="390">
        <v>1713.0</v>
      </c>
      <c r="H2120" s="390">
        <v>44.37</v>
      </c>
      <c r="I2120" s="390">
        <v>13.47</v>
      </c>
      <c r="J2120" s="390">
        <v>16.42</v>
      </c>
      <c r="K2120" s="390">
        <v>34430.0</v>
      </c>
      <c r="L2120" s="390">
        <v>255680.0</v>
      </c>
      <c r="M2120" s="390">
        <v>8.9174</v>
      </c>
      <c r="N2120" s="38">
        <v>20.0992</v>
      </c>
    </row>
    <row r="2121">
      <c r="A2121" s="389" t="s">
        <v>1973</v>
      </c>
      <c r="B2121" s="389" t="s">
        <v>339</v>
      </c>
      <c r="C2121" s="389" t="s">
        <v>359</v>
      </c>
      <c r="D2121" s="389" t="s">
        <v>1968</v>
      </c>
      <c r="E2121" s="390" t="s">
        <v>39</v>
      </c>
      <c r="F2121" s="390">
        <v>3861.0</v>
      </c>
      <c r="G2121" s="390">
        <v>2100.0</v>
      </c>
      <c r="H2121" s="390">
        <v>54.39</v>
      </c>
      <c r="I2121" s="390">
        <v>10.2</v>
      </c>
      <c r="J2121" s="390">
        <v>17.26</v>
      </c>
      <c r="K2121" s="390">
        <v>26090.0</v>
      </c>
      <c r="L2121" s="390">
        <v>255680.0</v>
      </c>
      <c r="M2121" s="390">
        <v>6.7573</v>
      </c>
      <c r="N2121" s="38">
        <v>12.4238</v>
      </c>
    </row>
    <row r="2122">
      <c r="A2122" s="389" t="s">
        <v>1973</v>
      </c>
      <c r="B2122" s="389" t="s">
        <v>339</v>
      </c>
      <c r="C2122" s="389" t="s">
        <v>359</v>
      </c>
      <c r="D2122" s="389" t="s">
        <v>1968</v>
      </c>
      <c r="E2122" s="390" t="s">
        <v>163</v>
      </c>
      <c r="F2122" s="390">
        <v>3861.0</v>
      </c>
      <c r="G2122" s="390">
        <v>692.0</v>
      </c>
      <c r="H2122" s="390">
        <v>17.92</v>
      </c>
      <c r="I2122" s="390">
        <v>4.99</v>
      </c>
      <c r="J2122" s="390">
        <v>6.72</v>
      </c>
      <c r="K2122" s="390">
        <v>12755.0</v>
      </c>
      <c r="L2122" s="390">
        <v>255680.0</v>
      </c>
      <c r="M2122" s="390">
        <v>3.3035</v>
      </c>
      <c r="N2122" s="38">
        <v>18.4321</v>
      </c>
    </row>
    <row r="2123">
      <c r="A2123" s="389" t="s">
        <v>1973</v>
      </c>
      <c r="B2123" s="389" t="s">
        <v>339</v>
      </c>
      <c r="C2123" s="389" t="s">
        <v>359</v>
      </c>
      <c r="D2123" s="389" t="s">
        <v>1968</v>
      </c>
      <c r="E2123" s="390" t="s">
        <v>366</v>
      </c>
      <c r="F2123" s="390">
        <v>3861.0</v>
      </c>
      <c r="G2123" s="390">
        <v>211.0</v>
      </c>
      <c r="H2123" s="390">
        <v>5.46</v>
      </c>
      <c r="I2123" s="390">
        <v>4.93</v>
      </c>
      <c r="J2123" s="390">
        <v>2.15</v>
      </c>
      <c r="K2123" s="390">
        <v>12615.0</v>
      </c>
      <c r="L2123" s="390">
        <v>255680.0</v>
      </c>
      <c r="M2123" s="390">
        <v>3.2673</v>
      </c>
      <c r="N2123" s="38">
        <v>59.7867</v>
      </c>
    </row>
    <row r="2124">
      <c r="A2124" s="389" t="s">
        <v>1973</v>
      </c>
      <c r="B2124" s="389" t="s">
        <v>339</v>
      </c>
      <c r="C2124" s="389" t="s">
        <v>359</v>
      </c>
      <c r="D2124" s="389" t="s">
        <v>1968</v>
      </c>
      <c r="E2124" s="390" t="s">
        <v>30</v>
      </c>
      <c r="F2124" s="390">
        <v>3861.0</v>
      </c>
      <c r="G2124" s="390">
        <v>552.0</v>
      </c>
      <c r="H2124" s="390">
        <v>14.3</v>
      </c>
      <c r="I2124" s="390">
        <v>3.24</v>
      </c>
      <c r="J2124" s="390">
        <v>4.55</v>
      </c>
      <c r="K2124" s="390">
        <v>8280.0</v>
      </c>
      <c r="L2124" s="390">
        <v>255680.0</v>
      </c>
      <c r="M2124" s="390">
        <v>2.1445</v>
      </c>
      <c r="N2124" s="38">
        <v>15.0</v>
      </c>
    </row>
    <row r="2125">
      <c r="A2125" s="389" t="s">
        <v>1973</v>
      </c>
      <c r="B2125" s="389" t="s">
        <v>339</v>
      </c>
      <c r="C2125" s="389" t="s">
        <v>359</v>
      </c>
      <c r="D2125" s="389" t="s">
        <v>1968</v>
      </c>
      <c r="E2125" s="390" t="s">
        <v>369</v>
      </c>
      <c r="F2125" s="390">
        <v>3861.0</v>
      </c>
      <c r="G2125" s="390">
        <v>43.0</v>
      </c>
      <c r="H2125" s="390">
        <v>1.11</v>
      </c>
      <c r="I2125" s="390">
        <v>0.59</v>
      </c>
      <c r="J2125" s="390">
        <v>0.53</v>
      </c>
      <c r="K2125" s="390">
        <v>1505.0</v>
      </c>
      <c r="L2125" s="390">
        <v>255680.0</v>
      </c>
      <c r="M2125" s="390">
        <v>0.3898</v>
      </c>
      <c r="N2125" s="38">
        <v>35.0</v>
      </c>
    </row>
    <row r="2126">
      <c r="A2126" s="389" t="s">
        <v>1973</v>
      </c>
      <c r="B2126" s="389" t="s">
        <v>339</v>
      </c>
      <c r="C2126" s="389" t="s">
        <v>359</v>
      </c>
      <c r="D2126" s="389" t="s">
        <v>1968</v>
      </c>
      <c r="E2126" s="390" t="s">
        <v>370</v>
      </c>
      <c r="F2126" s="390">
        <v>3861.0</v>
      </c>
      <c r="G2126" s="390">
        <v>1.0</v>
      </c>
      <c r="H2126" s="390">
        <v>0.03</v>
      </c>
      <c r="I2126" s="390">
        <v>0.01</v>
      </c>
      <c r="J2126" s="390">
        <v>0.01</v>
      </c>
      <c r="K2126" s="390">
        <v>15.0</v>
      </c>
      <c r="L2126" s="390">
        <v>255680.0</v>
      </c>
      <c r="M2126" s="390">
        <v>0.0039</v>
      </c>
      <c r="N2126" s="38">
        <v>15.0</v>
      </c>
    </row>
    <row r="2127">
      <c r="A2127" s="389" t="s">
        <v>1973</v>
      </c>
      <c r="B2127" s="389" t="s">
        <v>339</v>
      </c>
      <c r="C2127" s="389" t="s">
        <v>360</v>
      </c>
      <c r="D2127" s="389" t="s">
        <v>1968</v>
      </c>
      <c r="E2127" s="390" t="s">
        <v>371</v>
      </c>
      <c r="F2127" s="390">
        <v>3975.0</v>
      </c>
      <c r="G2127" s="390">
        <v>3375.0</v>
      </c>
      <c r="H2127" s="390">
        <v>84.91</v>
      </c>
      <c r="I2127" s="390">
        <v>41.04</v>
      </c>
      <c r="J2127" s="390">
        <v>49.04</v>
      </c>
      <c r="K2127" s="390">
        <v>137940.0</v>
      </c>
      <c r="L2127" s="390">
        <v>336150.0</v>
      </c>
      <c r="M2127" s="390">
        <v>34.7019</v>
      </c>
      <c r="N2127" s="38">
        <v>40.8711</v>
      </c>
    </row>
    <row r="2128">
      <c r="A2128" s="389" t="s">
        <v>1973</v>
      </c>
      <c r="B2128" s="389" t="s">
        <v>339</v>
      </c>
      <c r="C2128" s="389" t="s">
        <v>360</v>
      </c>
      <c r="D2128" s="389" t="s">
        <v>1968</v>
      </c>
      <c r="E2128" s="390" t="s">
        <v>108</v>
      </c>
      <c r="F2128" s="390">
        <v>3975.0</v>
      </c>
      <c r="G2128" s="390">
        <v>1034.0</v>
      </c>
      <c r="H2128" s="390">
        <v>26.01</v>
      </c>
      <c r="I2128" s="390">
        <v>26.04</v>
      </c>
      <c r="J2128" s="390">
        <v>12.41</v>
      </c>
      <c r="K2128" s="390">
        <v>87530.0</v>
      </c>
      <c r="L2128" s="390">
        <v>336150.0</v>
      </c>
      <c r="M2128" s="390">
        <v>22.0201</v>
      </c>
      <c r="N2128" s="38">
        <v>84.6518</v>
      </c>
    </row>
    <row r="2129">
      <c r="A2129" s="389" t="s">
        <v>1973</v>
      </c>
      <c r="B2129" s="389" t="s">
        <v>339</v>
      </c>
      <c r="C2129" s="389" t="s">
        <v>360</v>
      </c>
      <c r="D2129" s="389" t="s">
        <v>1968</v>
      </c>
      <c r="E2129" s="390" t="s">
        <v>368</v>
      </c>
      <c r="F2129" s="390">
        <v>3975.0</v>
      </c>
      <c r="G2129" s="390">
        <v>1629.0</v>
      </c>
      <c r="H2129" s="390">
        <v>40.98</v>
      </c>
      <c r="I2129" s="390">
        <v>10.9</v>
      </c>
      <c r="J2129" s="390">
        <v>12.34</v>
      </c>
      <c r="K2129" s="390">
        <v>36630.0</v>
      </c>
      <c r="L2129" s="390">
        <v>336150.0</v>
      </c>
      <c r="M2129" s="390">
        <v>9.2151</v>
      </c>
      <c r="N2129" s="38">
        <v>22.4862</v>
      </c>
    </row>
    <row r="2130">
      <c r="A2130" s="389" t="s">
        <v>1973</v>
      </c>
      <c r="B2130" s="389" t="s">
        <v>339</v>
      </c>
      <c r="C2130" s="389" t="s">
        <v>360</v>
      </c>
      <c r="D2130" s="389" t="s">
        <v>1968</v>
      </c>
      <c r="E2130" s="390" t="s">
        <v>39</v>
      </c>
      <c r="F2130" s="390">
        <v>3975.0</v>
      </c>
      <c r="G2130" s="390">
        <v>2227.0</v>
      </c>
      <c r="H2130" s="390">
        <v>56.03</v>
      </c>
      <c r="I2130" s="390">
        <v>8.28</v>
      </c>
      <c r="J2130" s="390">
        <v>13.22</v>
      </c>
      <c r="K2130" s="390">
        <v>27840.0</v>
      </c>
      <c r="L2130" s="390">
        <v>336150.0</v>
      </c>
      <c r="M2130" s="390">
        <v>7.0038</v>
      </c>
      <c r="N2130" s="38">
        <v>12.5011</v>
      </c>
    </row>
    <row r="2131">
      <c r="A2131" s="389" t="s">
        <v>1973</v>
      </c>
      <c r="B2131" s="389" t="s">
        <v>339</v>
      </c>
      <c r="C2131" s="389" t="s">
        <v>360</v>
      </c>
      <c r="D2131" s="389" t="s">
        <v>1968</v>
      </c>
      <c r="E2131" s="390" t="s">
        <v>366</v>
      </c>
      <c r="F2131" s="390">
        <v>3975.0</v>
      </c>
      <c r="G2131" s="390">
        <v>364.0</v>
      </c>
      <c r="H2131" s="390">
        <v>9.16</v>
      </c>
      <c r="I2131" s="390">
        <v>6.52</v>
      </c>
      <c r="J2131" s="390">
        <v>3.45</v>
      </c>
      <c r="K2131" s="390">
        <v>21930.0</v>
      </c>
      <c r="L2131" s="390">
        <v>336150.0</v>
      </c>
      <c r="M2131" s="390">
        <v>5.517</v>
      </c>
      <c r="N2131" s="38">
        <v>60.2473</v>
      </c>
    </row>
    <row r="2132">
      <c r="A2132" s="389" t="s">
        <v>1973</v>
      </c>
      <c r="B2132" s="389" t="s">
        <v>339</v>
      </c>
      <c r="C2132" s="389" t="s">
        <v>360</v>
      </c>
      <c r="D2132" s="389" t="s">
        <v>1968</v>
      </c>
      <c r="E2132" s="390" t="s">
        <v>163</v>
      </c>
      <c r="F2132" s="390">
        <v>3975.0</v>
      </c>
      <c r="G2132" s="390">
        <v>676.0</v>
      </c>
      <c r="H2132" s="390">
        <v>17.01</v>
      </c>
      <c r="I2132" s="390">
        <v>4.12</v>
      </c>
      <c r="J2132" s="390">
        <v>5.2</v>
      </c>
      <c r="K2132" s="390">
        <v>13840.0</v>
      </c>
      <c r="L2132" s="390">
        <v>336150.0</v>
      </c>
      <c r="M2132" s="390">
        <v>3.4818</v>
      </c>
      <c r="N2132" s="38">
        <v>20.4734</v>
      </c>
    </row>
    <row r="2133">
      <c r="A2133" s="389" t="s">
        <v>1973</v>
      </c>
      <c r="B2133" s="389" t="s">
        <v>339</v>
      </c>
      <c r="C2133" s="389" t="s">
        <v>360</v>
      </c>
      <c r="D2133" s="389" t="s">
        <v>1968</v>
      </c>
      <c r="E2133" s="390" t="s">
        <v>30</v>
      </c>
      <c r="F2133" s="390">
        <v>3975.0</v>
      </c>
      <c r="G2133" s="390">
        <v>596.0</v>
      </c>
      <c r="H2133" s="390">
        <v>14.99</v>
      </c>
      <c r="I2133" s="390">
        <v>2.66</v>
      </c>
      <c r="J2133" s="390">
        <v>3.88</v>
      </c>
      <c r="K2133" s="390">
        <v>8940.0</v>
      </c>
      <c r="L2133" s="390">
        <v>336150.0</v>
      </c>
      <c r="M2133" s="390">
        <v>2.2491</v>
      </c>
      <c r="N2133" s="38">
        <v>15.0</v>
      </c>
    </row>
    <row r="2134">
      <c r="A2134" s="389" t="s">
        <v>1973</v>
      </c>
      <c r="B2134" s="389" t="s">
        <v>339</v>
      </c>
      <c r="C2134" s="389" t="s">
        <v>360</v>
      </c>
      <c r="D2134" s="389" t="s">
        <v>1968</v>
      </c>
      <c r="E2134" s="390" t="s">
        <v>369</v>
      </c>
      <c r="F2134" s="390">
        <v>3975.0</v>
      </c>
      <c r="G2134" s="390">
        <v>42.0</v>
      </c>
      <c r="H2134" s="390">
        <v>1.06</v>
      </c>
      <c r="I2134" s="390">
        <v>0.45</v>
      </c>
      <c r="J2134" s="390">
        <v>0.46</v>
      </c>
      <c r="K2134" s="390">
        <v>1500.0</v>
      </c>
      <c r="L2134" s="390">
        <v>336150.0</v>
      </c>
      <c r="M2134" s="390">
        <v>0.3774</v>
      </c>
      <c r="N2134" s="38">
        <v>35.7143</v>
      </c>
    </row>
    <row r="2135">
      <c r="A2135" s="389" t="s">
        <v>1973</v>
      </c>
      <c r="B2135" s="389" t="s">
        <v>339</v>
      </c>
      <c r="C2135" s="389" t="s">
        <v>12</v>
      </c>
      <c r="D2135" s="389" t="s">
        <v>1968</v>
      </c>
      <c r="E2135" s="390" t="s">
        <v>370</v>
      </c>
      <c r="F2135" s="390">
        <v>4189.0</v>
      </c>
      <c r="G2135" s="390">
        <v>4181.0</v>
      </c>
      <c r="H2135" s="390">
        <v>99.81</v>
      </c>
      <c r="I2135" s="390">
        <v>41.12</v>
      </c>
      <c r="J2135" s="390">
        <v>40.77</v>
      </c>
      <c r="K2135" s="390">
        <v>2675325.0</v>
      </c>
      <c r="L2135" s="390">
        <v>6506118.0</v>
      </c>
      <c r="M2135" s="390">
        <v>638.6548</v>
      </c>
      <c r="N2135" s="38">
        <v>639.8768</v>
      </c>
    </row>
    <row r="2136">
      <c r="A2136" s="389" t="s">
        <v>1973</v>
      </c>
      <c r="B2136" s="389" t="s">
        <v>339</v>
      </c>
      <c r="C2136" s="389" t="s">
        <v>12</v>
      </c>
      <c r="D2136" s="389" t="s">
        <v>1968</v>
      </c>
      <c r="E2136" s="390" t="s">
        <v>371</v>
      </c>
      <c r="F2136" s="390">
        <v>4189.0</v>
      </c>
      <c r="G2136" s="390">
        <v>3322.0</v>
      </c>
      <c r="H2136" s="390">
        <v>79.3</v>
      </c>
      <c r="I2136" s="390">
        <v>15.68</v>
      </c>
      <c r="J2136" s="390">
        <v>16.82</v>
      </c>
      <c r="K2136" s="390">
        <v>1019975.0</v>
      </c>
      <c r="L2136" s="390">
        <v>6506118.0</v>
      </c>
      <c r="M2136" s="390">
        <v>243.4889</v>
      </c>
      <c r="N2136" s="38">
        <v>307.0364</v>
      </c>
    </row>
    <row r="2137">
      <c r="A2137" s="389" t="s">
        <v>1973</v>
      </c>
      <c r="B2137" s="389" t="s">
        <v>339</v>
      </c>
      <c r="C2137" s="389" t="s">
        <v>12</v>
      </c>
      <c r="D2137" s="389" t="s">
        <v>1968</v>
      </c>
      <c r="E2137" s="390" t="s">
        <v>365</v>
      </c>
      <c r="F2137" s="390">
        <v>4189.0</v>
      </c>
      <c r="G2137" s="390">
        <v>3832.0</v>
      </c>
      <c r="H2137" s="390">
        <v>91.48</v>
      </c>
      <c r="I2137" s="390">
        <v>13.57</v>
      </c>
      <c r="J2137" s="390">
        <v>14.16</v>
      </c>
      <c r="K2137" s="390">
        <v>882900.0</v>
      </c>
      <c r="L2137" s="390">
        <v>6506118.0</v>
      </c>
      <c r="M2137" s="390">
        <v>210.7663</v>
      </c>
      <c r="N2137" s="38">
        <v>230.4019</v>
      </c>
    </row>
    <row r="2138">
      <c r="A2138" s="389" t="s">
        <v>1973</v>
      </c>
      <c r="B2138" s="389" t="s">
        <v>339</v>
      </c>
      <c r="C2138" s="389" t="s">
        <v>12</v>
      </c>
      <c r="D2138" s="389" t="s">
        <v>1968</v>
      </c>
      <c r="E2138" s="390" t="s">
        <v>44</v>
      </c>
      <c r="F2138" s="390">
        <v>4189.0</v>
      </c>
      <c r="G2138" s="390">
        <v>3086.0</v>
      </c>
      <c r="H2138" s="390">
        <v>73.67</v>
      </c>
      <c r="I2138" s="390">
        <v>6.56</v>
      </c>
      <c r="J2138" s="390">
        <v>6.96</v>
      </c>
      <c r="K2138" s="390">
        <v>426680.0</v>
      </c>
      <c r="L2138" s="390">
        <v>6506118.0</v>
      </c>
      <c r="M2138" s="390">
        <v>101.8572</v>
      </c>
      <c r="N2138" s="38">
        <v>138.2631</v>
      </c>
    </row>
    <row r="2139">
      <c r="A2139" s="389" t="s">
        <v>1973</v>
      </c>
      <c r="B2139" s="389" t="s">
        <v>339</v>
      </c>
      <c r="C2139" s="389" t="s">
        <v>12</v>
      </c>
      <c r="D2139" s="389" t="s">
        <v>1968</v>
      </c>
      <c r="E2139" s="390" t="s">
        <v>369</v>
      </c>
      <c r="F2139" s="390">
        <v>4189.0</v>
      </c>
      <c r="G2139" s="390">
        <v>1574.0</v>
      </c>
      <c r="H2139" s="390">
        <v>37.57</v>
      </c>
      <c r="I2139" s="390">
        <v>6.14</v>
      </c>
      <c r="J2139" s="390">
        <v>2.67</v>
      </c>
      <c r="K2139" s="390">
        <v>399713.0</v>
      </c>
      <c r="L2139" s="390">
        <v>6506118.0</v>
      </c>
      <c r="M2139" s="390">
        <v>95.4197</v>
      </c>
      <c r="N2139" s="38">
        <v>253.9473</v>
      </c>
    </row>
    <row r="2140">
      <c r="A2140" s="389" t="s">
        <v>1973</v>
      </c>
      <c r="B2140" s="389" t="s">
        <v>339</v>
      </c>
      <c r="C2140" s="389" t="s">
        <v>12</v>
      </c>
      <c r="D2140" s="389" t="s">
        <v>1968</v>
      </c>
      <c r="E2140" s="390" t="s">
        <v>39</v>
      </c>
      <c r="F2140" s="390">
        <v>4189.0</v>
      </c>
      <c r="G2140" s="390">
        <v>2526.0</v>
      </c>
      <c r="H2140" s="390">
        <v>60.3</v>
      </c>
      <c r="I2140" s="390">
        <v>4.26</v>
      </c>
      <c r="J2140" s="390">
        <v>5.42</v>
      </c>
      <c r="K2140" s="390">
        <v>276960.0</v>
      </c>
      <c r="L2140" s="390">
        <v>6506118.0</v>
      </c>
      <c r="M2140" s="390">
        <v>66.116</v>
      </c>
      <c r="N2140" s="38">
        <v>109.6437</v>
      </c>
    </row>
    <row r="2141">
      <c r="A2141" s="389" t="s">
        <v>1973</v>
      </c>
      <c r="B2141" s="389" t="s">
        <v>339</v>
      </c>
      <c r="C2141" s="389" t="s">
        <v>12</v>
      </c>
      <c r="D2141" s="389" t="s">
        <v>1968</v>
      </c>
      <c r="E2141" s="390" t="s">
        <v>366</v>
      </c>
      <c r="F2141" s="390">
        <v>4189.0</v>
      </c>
      <c r="G2141" s="390">
        <v>3042.0</v>
      </c>
      <c r="H2141" s="390">
        <v>72.62</v>
      </c>
      <c r="I2141" s="390">
        <v>3.35</v>
      </c>
      <c r="J2141" s="390">
        <v>2.99</v>
      </c>
      <c r="K2141" s="390">
        <v>217995.0</v>
      </c>
      <c r="L2141" s="390">
        <v>6506118.0</v>
      </c>
      <c r="M2141" s="390">
        <v>52.0399</v>
      </c>
      <c r="N2141" s="38">
        <v>71.6617</v>
      </c>
    </row>
    <row r="2142">
      <c r="A2142" s="389" t="s">
        <v>1973</v>
      </c>
      <c r="B2142" s="389" t="s">
        <v>339</v>
      </c>
      <c r="C2142" s="389" t="s">
        <v>12</v>
      </c>
      <c r="D2142" s="389" t="s">
        <v>1968</v>
      </c>
      <c r="E2142" s="390" t="s">
        <v>368</v>
      </c>
      <c r="F2142" s="390">
        <v>4189.0</v>
      </c>
      <c r="G2142" s="390">
        <v>1755.0</v>
      </c>
      <c r="H2142" s="390">
        <v>41.9</v>
      </c>
      <c r="I2142" s="390">
        <v>3.12</v>
      </c>
      <c r="J2142" s="390">
        <v>3.75</v>
      </c>
      <c r="K2142" s="390">
        <v>203145.0</v>
      </c>
      <c r="L2142" s="390">
        <v>6506118.0</v>
      </c>
      <c r="M2142" s="390">
        <v>48.4949</v>
      </c>
      <c r="N2142" s="38">
        <v>115.7521</v>
      </c>
    </row>
    <row r="2143">
      <c r="A2143" s="389" t="s">
        <v>1973</v>
      </c>
      <c r="B2143" s="389" t="s">
        <v>339</v>
      </c>
      <c r="C2143" s="389" t="s">
        <v>12</v>
      </c>
      <c r="D2143" s="389" t="s">
        <v>1968</v>
      </c>
      <c r="E2143" s="390" t="s">
        <v>30</v>
      </c>
      <c r="F2143" s="390">
        <v>4189.0</v>
      </c>
      <c r="G2143" s="390">
        <v>780.0</v>
      </c>
      <c r="H2143" s="390">
        <v>18.62</v>
      </c>
      <c r="I2143" s="390">
        <v>2.0</v>
      </c>
      <c r="J2143" s="390">
        <v>1.89</v>
      </c>
      <c r="K2143" s="390">
        <v>129870.0</v>
      </c>
      <c r="L2143" s="390">
        <v>6506118.0</v>
      </c>
      <c r="M2143" s="390">
        <v>31.0026</v>
      </c>
      <c r="N2143" s="38">
        <v>166.5</v>
      </c>
    </row>
    <row r="2144">
      <c r="A2144" s="389" t="s">
        <v>1973</v>
      </c>
      <c r="B2144" s="389" t="s">
        <v>339</v>
      </c>
      <c r="C2144" s="389" t="s">
        <v>12</v>
      </c>
      <c r="D2144" s="389" t="s">
        <v>1968</v>
      </c>
      <c r="E2144" s="390" t="s">
        <v>163</v>
      </c>
      <c r="F2144" s="390">
        <v>4189.0</v>
      </c>
      <c r="G2144" s="390">
        <v>709.0</v>
      </c>
      <c r="H2144" s="390">
        <v>16.93</v>
      </c>
      <c r="I2144" s="390">
        <v>1.13</v>
      </c>
      <c r="J2144" s="390">
        <v>1.22</v>
      </c>
      <c r="K2144" s="390">
        <v>73680.0</v>
      </c>
      <c r="L2144" s="390">
        <v>6506118.0</v>
      </c>
      <c r="M2144" s="390">
        <v>17.5889</v>
      </c>
      <c r="N2144" s="38">
        <v>103.921</v>
      </c>
    </row>
    <row r="2145">
      <c r="A2145" s="389" t="s">
        <v>1973</v>
      </c>
      <c r="B2145" s="389" t="s">
        <v>339</v>
      </c>
      <c r="C2145" s="389" t="s">
        <v>12</v>
      </c>
      <c r="D2145" s="389" t="s">
        <v>1968</v>
      </c>
      <c r="E2145" s="390" t="s">
        <v>367</v>
      </c>
      <c r="F2145" s="390">
        <v>4189.0</v>
      </c>
      <c r="G2145" s="390">
        <v>1210.0</v>
      </c>
      <c r="H2145" s="390">
        <v>28.89</v>
      </c>
      <c r="I2145" s="390">
        <v>1.12</v>
      </c>
      <c r="J2145" s="390">
        <v>1.14</v>
      </c>
      <c r="K2145" s="390">
        <v>72910.0</v>
      </c>
      <c r="L2145" s="390">
        <v>6506118.0</v>
      </c>
      <c r="M2145" s="390">
        <v>17.4051</v>
      </c>
      <c r="N2145" s="38">
        <v>60.2562</v>
      </c>
    </row>
    <row r="2146">
      <c r="A2146" s="389" t="s">
        <v>1973</v>
      </c>
      <c r="B2146" s="389" t="s">
        <v>339</v>
      </c>
      <c r="C2146" s="389" t="s">
        <v>12</v>
      </c>
      <c r="D2146" s="389" t="s">
        <v>1968</v>
      </c>
      <c r="E2146" s="390" t="s">
        <v>38</v>
      </c>
      <c r="F2146" s="390">
        <v>4189.0</v>
      </c>
      <c r="G2146" s="390">
        <v>1950.0</v>
      </c>
      <c r="H2146" s="390">
        <v>46.55</v>
      </c>
      <c r="I2146" s="390">
        <v>1.07</v>
      </c>
      <c r="J2146" s="390">
        <v>1.42</v>
      </c>
      <c r="K2146" s="390">
        <v>69695.0</v>
      </c>
      <c r="L2146" s="390">
        <v>6506118.0</v>
      </c>
      <c r="M2146" s="390">
        <v>16.6376</v>
      </c>
      <c r="N2146" s="38">
        <v>35.741</v>
      </c>
    </row>
    <row r="2147">
      <c r="A2147" s="389" t="s">
        <v>1973</v>
      </c>
      <c r="B2147" s="389" t="s">
        <v>339</v>
      </c>
      <c r="C2147" s="389" t="s">
        <v>12</v>
      </c>
      <c r="D2147" s="389" t="s">
        <v>1968</v>
      </c>
      <c r="E2147" s="390" t="s">
        <v>363</v>
      </c>
      <c r="F2147" s="390">
        <v>4189.0</v>
      </c>
      <c r="G2147" s="390">
        <v>1058.0</v>
      </c>
      <c r="H2147" s="390">
        <v>25.26</v>
      </c>
      <c r="I2147" s="390">
        <v>0.51</v>
      </c>
      <c r="J2147" s="390">
        <v>0.41</v>
      </c>
      <c r="K2147" s="390">
        <v>33245.0</v>
      </c>
      <c r="L2147" s="390">
        <v>6506118.0</v>
      </c>
      <c r="M2147" s="390">
        <v>7.9363</v>
      </c>
      <c r="N2147" s="38">
        <v>31.4225</v>
      </c>
    </row>
    <row r="2148">
      <c r="A2148" s="389" t="s">
        <v>1973</v>
      </c>
      <c r="B2148" s="389" t="s">
        <v>339</v>
      </c>
      <c r="C2148" s="389" t="s">
        <v>12</v>
      </c>
      <c r="D2148" s="389" t="s">
        <v>1968</v>
      </c>
      <c r="E2148" s="390" t="s">
        <v>108</v>
      </c>
      <c r="F2148" s="390">
        <v>4189.0</v>
      </c>
      <c r="G2148" s="390">
        <v>355.0</v>
      </c>
      <c r="H2148" s="390">
        <v>8.47</v>
      </c>
      <c r="I2148" s="390">
        <v>0.24</v>
      </c>
      <c r="J2148" s="390">
        <v>0.23</v>
      </c>
      <c r="K2148" s="390">
        <v>15350.0</v>
      </c>
      <c r="L2148" s="390">
        <v>6506118.0</v>
      </c>
      <c r="M2148" s="390">
        <v>3.6644</v>
      </c>
      <c r="N2148" s="38">
        <v>43.2394</v>
      </c>
    </row>
    <row r="2149">
      <c r="A2149" s="389" t="s">
        <v>1973</v>
      </c>
      <c r="B2149" s="389" t="s">
        <v>339</v>
      </c>
      <c r="C2149" s="389" t="s">
        <v>12</v>
      </c>
      <c r="D2149" s="389" t="s">
        <v>1968</v>
      </c>
      <c r="E2149" s="390" t="s">
        <v>27</v>
      </c>
      <c r="F2149" s="390">
        <v>4189.0</v>
      </c>
      <c r="G2149" s="390">
        <v>236.0</v>
      </c>
      <c r="H2149" s="390">
        <v>5.63</v>
      </c>
      <c r="I2149" s="390">
        <v>0.12</v>
      </c>
      <c r="J2149" s="390">
        <v>0.12</v>
      </c>
      <c r="K2149" s="390">
        <v>7560.0</v>
      </c>
      <c r="L2149" s="390">
        <v>6506118.0</v>
      </c>
      <c r="M2149" s="390">
        <v>1.8047</v>
      </c>
      <c r="N2149" s="38">
        <v>32.0339</v>
      </c>
    </row>
    <row r="2150">
      <c r="A2150" s="389" t="s">
        <v>1973</v>
      </c>
      <c r="B2150" s="389" t="s">
        <v>339</v>
      </c>
      <c r="C2150" s="389" t="s">
        <v>12</v>
      </c>
      <c r="D2150" s="389" t="s">
        <v>1968</v>
      </c>
      <c r="E2150" s="390" t="s">
        <v>45</v>
      </c>
      <c r="F2150" s="390">
        <v>4189.0</v>
      </c>
      <c r="G2150" s="390">
        <v>22.0</v>
      </c>
      <c r="H2150" s="390">
        <v>0.53</v>
      </c>
      <c r="I2150" s="390">
        <v>0.02</v>
      </c>
      <c r="J2150" s="390">
        <v>0.02</v>
      </c>
      <c r="K2150" s="390">
        <v>1095.0</v>
      </c>
      <c r="L2150" s="390">
        <v>6506118.0</v>
      </c>
      <c r="M2150" s="390">
        <v>0.2614</v>
      </c>
      <c r="N2150" s="38">
        <v>49.7727</v>
      </c>
    </row>
    <row r="2151">
      <c r="A2151" s="389" t="s">
        <v>1973</v>
      </c>
      <c r="B2151" s="389" t="s">
        <v>339</v>
      </c>
      <c r="C2151" s="389" t="s">
        <v>12</v>
      </c>
      <c r="D2151" s="389" t="s">
        <v>1968</v>
      </c>
      <c r="E2151" s="390" t="s">
        <v>37</v>
      </c>
      <c r="F2151" s="390">
        <v>4189.0</v>
      </c>
      <c r="G2151" s="390">
        <v>1.0</v>
      </c>
      <c r="H2151" s="390">
        <v>0.02</v>
      </c>
      <c r="I2151" s="390">
        <v>0.0</v>
      </c>
      <c r="J2151" s="390">
        <v>0.0</v>
      </c>
      <c r="K2151" s="390">
        <v>20.0</v>
      </c>
      <c r="L2151" s="390">
        <v>6506118.0</v>
      </c>
      <c r="M2151" s="390">
        <v>0.0048</v>
      </c>
      <c r="N2151" s="38">
        <v>20.0</v>
      </c>
    </row>
  </sheetData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388" t="s">
        <v>1974</v>
      </c>
      <c r="B1" s="388" t="s">
        <v>1954</v>
      </c>
      <c r="C1" s="388" t="s">
        <v>1975</v>
      </c>
      <c r="D1" s="388" t="s">
        <v>1976</v>
      </c>
      <c r="E1" s="388" t="s">
        <v>1977</v>
      </c>
      <c r="F1" s="388" t="s">
        <v>1978</v>
      </c>
      <c r="G1" s="388" t="s">
        <v>1979</v>
      </c>
      <c r="H1" s="388" t="s">
        <v>1980</v>
      </c>
      <c r="I1" s="388" t="s">
        <v>1981</v>
      </c>
      <c r="J1" s="388" t="s">
        <v>1982</v>
      </c>
      <c r="K1" s="388" t="s">
        <v>1983</v>
      </c>
      <c r="L1" s="388" t="s">
        <v>1984</v>
      </c>
      <c r="M1" s="388" t="s">
        <v>1985</v>
      </c>
      <c r="N1" s="388" t="s">
        <v>1986</v>
      </c>
      <c r="O1" s="388" t="s">
        <v>1987</v>
      </c>
      <c r="P1" s="388" t="s">
        <v>1988</v>
      </c>
      <c r="Q1" s="388" t="s">
        <v>1989</v>
      </c>
      <c r="R1" s="388" t="s">
        <v>1990</v>
      </c>
      <c r="S1" s="388" t="s">
        <v>1991</v>
      </c>
      <c r="T1" s="388" t="s">
        <v>1992</v>
      </c>
      <c r="U1" s="388" t="s">
        <v>1993</v>
      </c>
      <c r="V1" s="388" t="s">
        <v>1994</v>
      </c>
      <c r="W1" s="388" t="s">
        <v>1995</v>
      </c>
      <c r="X1" s="388" t="s">
        <v>1996</v>
      </c>
      <c r="Y1" s="388" t="s">
        <v>1997</v>
      </c>
      <c r="Z1" s="388" t="s">
        <v>1998</v>
      </c>
      <c r="AA1" s="388" t="s">
        <v>1999</v>
      </c>
      <c r="AB1" s="388" t="s">
        <v>2000</v>
      </c>
      <c r="AC1" s="388" t="s">
        <v>2001</v>
      </c>
      <c r="AD1" s="388" t="s">
        <v>2002</v>
      </c>
      <c r="AE1" s="388" t="s">
        <v>2003</v>
      </c>
      <c r="AF1" s="388" t="s">
        <v>2004</v>
      </c>
      <c r="AG1" s="388" t="s">
        <v>2005</v>
      </c>
      <c r="AH1" s="388" t="s">
        <v>2006</v>
      </c>
      <c r="AI1" s="388" t="s">
        <v>2007</v>
      </c>
      <c r="AJ1" s="388" t="s">
        <v>2008</v>
      </c>
    </row>
    <row r="2">
      <c r="A2" s="37" t="s">
        <v>51</v>
      </c>
      <c r="B2" s="37" t="s">
        <v>137</v>
      </c>
      <c r="C2" s="38">
        <v>1.0</v>
      </c>
      <c r="D2" s="38">
        <v>140231.0</v>
      </c>
      <c r="E2" s="38">
        <v>1323955.0</v>
      </c>
      <c r="F2" s="38">
        <v>40120.0</v>
      </c>
      <c r="G2" s="38">
        <v>38.74</v>
      </c>
      <c r="H2" s="38">
        <v>9.36</v>
      </c>
      <c r="I2" s="38">
        <v>1.0</v>
      </c>
      <c r="J2" s="38">
        <v>5.0</v>
      </c>
      <c r="K2" s="38">
        <v>16.0</v>
      </c>
      <c r="L2" s="38">
        <v>25.0</v>
      </c>
      <c r="M2" s="38">
        <v>0.2868</v>
      </c>
      <c r="N2" s="38">
        <v>0.2763</v>
      </c>
      <c r="O2" s="38">
        <v>0.2898</v>
      </c>
      <c r="P2" s="38">
        <v>0.2895</v>
      </c>
      <c r="Q2" s="38">
        <v>0.2906</v>
      </c>
      <c r="R2" s="38">
        <v>0.2819</v>
      </c>
      <c r="S2" s="38">
        <v>0.2832</v>
      </c>
      <c r="T2" s="38">
        <v>0.2741</v>
      </c>
      <c r="U2" s="38">
        <v>0.2786</v>
      </c>
      <c r="V2" s="38">
        <v>3.99</v>
      </c>
      <c r="W2" s="38">
        <v>2.0</v>
      </c>
      <c r="X2" s="38">
        <v>5.0</v>
      </c>
      <c r="Y2" s="38">
        <v>10.0</v>
      </c>
      <c r="Z2" s="37" t="s">
        <v>364</v>
      </c>
      <c r="AA2" s="38">
        <v>5.4395</v>
      </c>
      <c r="AB2" s="38">
        <v>13.6318</v>
      </c>
      <c r="AC2" s="38">
        <v>5.5418</v>
      </c>
      <c r="AD2" s="38">
        <v>29.5566</v>
      </c>
      <c r="AE2" s="38">
        <v>90.56</v>
      </c>
      <c r="AF2" s="38">
        <v>19.4429</v>
      </c>
      <c r="AG2" s="38">
        <v>3.95</v>
      </c>
      <c r="AH2" s="38">
        <v>3.0</v>
      </c>
      <c r="AI2" s="38">
        <v>5.0</v>
      </c>
      <c r="AJ2" s="38">
        <v>9.0</v>
      </c>
    </row>
    <row r="3">
      <c r="A3" s="37" t="s">
        <v>51</v>
      </c>
      <c r="B3" s="37" t="s">
        <v>339</v>
      </c>
      <c r="C3" s="38">
        <v>1.0</v>
      </c>
      <c r="D3" s="38">
        <v>88680.0</v>
      </c>
      <c r="E3" s="38">
        <v>1040772.0</v>
      </c>
      <c r="F3" s="38">
        <v>31539.0</v>
      </c>
      <c r="G3" s="38">
        <v>38.74</v>
      </c>
      <c r="H3" s="38">
        <v>11.99</v>
      </c>
      <c r="I3" s="38">
        <v>3.0</v>
      </c>
      <c r="J3" s="38">
        <v>10.0</v>
      </c>
      <c r="K3" s="38">
        <v>20.0</v>
      </c>
      <c r="L3" s="38">
        <v>27.0</v>
      </c>
      <c r="M3" s="38">
        <v>0.3674</v>
      </c>
      <c r="N3" s="38">
        <v>0.3539</v>
      </c>
      <c r="O3" s="38">
        <v>0.3754</v>
      </c>
      <c r="P3" s="38">
        <v>0.3703</v>
      </c>
      <c r="Q3" s="38">
        <v>0.3706</v>
      </c>
      <c r="R3" s="38">
        <v>0.3579</v>
      </c>
      <c r="S3" s="38">
        <v>0.3649</v>
      </c>
      <c r="T3" s="38">
        <v>0.3512</v>
      </c>
      <c r="U3" s="38">
        <v>0.3566</v>
      </c>
      <c r="V3" s="38">
        <v>5.01</v>
      </c>
      <c r="W3" s="38">
        <v>3.0</v>
      </c>
      <c r="X3" s="38">
        <v>6.0</v>
      </c>
      <c r="Y3" s="38">
        <v>12.0</v>
      </c>
      <c r="Z3" s="37" t="s">
        <v>364</v>
      </c>
      <c r="AA3" s="38">
        <v>5.2652</v>
      </c>
      <c r="AB3" s="38">
        <v>17.5398</v>
      </c>
      <c r="AC3" s="38">
        <v>5.3641</v>
      </c>
      <c r="AD3" s="38">
        <v>32.7072</v>
      </c>
      <c r="AE3" s="38">
        <v>91.49</v>
      </c>
      <c r="AF3" s="38">
        <v>20.5667</v>
      </c>
      <c r="AG3" s="38">
        <v>3.58</v>
      </c>
      <c r="AH3" s="38">
        <v>2.0</v>
      </c>
      <c r="AI3" s="38">
        <v>5.0</v>
      </c>
      <c r="AJ3" s="38">
        <v>8.0</v>
      </c>
    </row>
    <row r="4">
      <c r="A4" s="37" t="s">
        <v>52</v>
      </c>
      <c r="B4" s="37" t="s">
        <v>137</v>
      </c>
      <c r="C4" s="38">
        <v>2.0</v>
      </c>
      <c r="D4" s="38">
        <v>76607.0</v>
      </c>
      <c r="E4" s="38">
        <v>889547.0</v>
      </c>
      <c r="F4" s="38">
        <v>26956.0</v>
      </c>
      <c r="G4" s="38">
        <v>34.57</v>
      </c>
      <c r="H4" s="38">
        <v>11.65</v>
      </c>
      <c r="I4" s="38">
        <v>2.0</v>
      </c>
      <c r="J4" s="38">
        <v>8.0</v>
      </c>
      <c r="K4" s="38">
        <v>21.0</v>
      </c>
      <c r="L4" s="38">
        <v>29.0</v>
      </c>
      <c r="M4" s="38">
        <v>0.3606</v>
      </c>
      <c r="N4" s="38">
        <v>0.336</v>
      </c>
      <c r="O4" s="38">
        <v>0.3776</v>
      </c>
      <c r="P4" s="38">
        <v>0.3772</v>
      </c>
      <c r="Q4" s="38">
        <v>0.3647</v>
      </c>
      <c r="R4" s="38">
        <v>0.3479</v>
      </c>
      <c r="S4" s="38">
        <v>0.3425</v>
      </c>
      <c r="T4" s="38">
        <v>0.3331</v>
      </c>
      <c r="U4" s="38">
        <v>0.3388</v>
      </c>
      <c r="V4" s="38">
        <v>5.92</v>
      </c>
      <c r="W4" s="38">
        <v>3.0</v>
      </c>
      <c r="X4" s="38">
        <v>7.0</v>
      </c>
      <c r="Y4" s="38">
        <v>16.0</v>
      </c>
      <c r="Z4" s="37" t="s">
        <v>364</v>
      </c>
      <c r="AA4" s="38">
        <v>13.7012</v>
      </c>
      <c r="AB4" s="38">
        <v>26.6528</v>
      </c>
      <c r="AC4" s="38">
        <v>14.2384</v>
      </c>
      <c r="AD4" s="38">
        <v>55.4632</v>
      </c>
      <c r="AE4" s="38">
        <v>89.47</v>
      </c>
      <c r="AF4" s="38">
        <v>20.157</v>
      </c>
      <c r="AG4" s="38">
        <v>9.46</v>
      </c>
      <c r="AH4" s="38">
        <v>7.0</v>
      </c>
      <c r="AI4" s="38">
        <v>13.0</v>
      </c>
      <c r="AJ4" s="38">
        <v>20.0</v>
      </c>
    </row>
    <row r="5">
      <c r="A5" s="37" t="s">
        <v>52</v>
      </c>
      <c r="B5" s="37" t="s">
        <v>339</v>
      </c>
      <c r="C5" s="38">
        <v>2.0</v>
      </c>
      <c r="D5" s="38">
        <v>40476.0</v>
      </c>
      <c r="E5" s="38">
        <v>517348.0</v>
      </c>
      <c r="F5" s="38">
        <v>15677.0</v>
      </c>
      <c r="G5" s="38">
        <v>34.57</v>
      </c>
      <c r="H5" s="38">
        <v>12.29</v>
      </c>
      <c r="I5" s="38">
        <v>2.0</v>
      </c>
      <c r="J5" s="38">
        <v>9.0</v>
      </c>
      <c r="K5" s="38">
        <v>22.0</v>
      </c>
      <c r="L5" s="38">
        <v>30.0</v>
      </c>
      <c r="M5" s="38">
        <v>0.3803</v>
      </c>
      <c r="N5" s="38">
        <v>0.3541</v>
      </c>
      <c r="O5" s="38">
        <v>0.3989</v>
      </c>
      <c r="P5" s="38">
        <v>0.3951</v>
      </c>
      <c r="Q5" s="38">
        <v>0.3846</v>
      </c>
      <c r="R5" s="38">
        <v>0.3661</v>
      </c>
      <c r="S5" s="38">
        <v>0.3635</v>
      </c>
      <c r="T5" s="38">
        <v>0.3513</v>
      </c>
      <c r="U5" s="38">
        <v>0.3569</v>
      </c>
      <c r="V5" s="38">
        <v>6.21</v>
      </c>
      <c r="W5" s="38">
        <v>3.0</v>
      </c>
      <c r="X5" s="38">
        <v>8.0</v>
      </c>
      <c r="Y5" s="38">
        <v>17.0</v>
      </c>
      <c r="Z5" s="37" t="s">
        <v>364</v>
      </c>
      <c r="AA5" s="38">
        <v>13.4909</v>
      </c>
      <c r="AB5" s="38">
        <v>33.883</v>
      </c>
      <c r="AC5" s="38">
        <v>14.0385</v>
      </c>
      <c r="AD5" s="38">
        <v>59.3756</v>
      </c>
      <c r="AE5" s="38">
        <v>90.18</v>
      </c>
      <c r="AF5" s="38">
        <v>20.8945</v>
      </c>
      <c r="AG5" s="38">
        <v>8.95</v>
      </c>
      <c r="AH5" s="38">
        <v>6.0</v>
      </c>
      <c r="AI5" s="38">
        <v>12.0</v>
      </c>
      <c r="AJ5" s="38">
        <v>20.0</v>
      </c>
    </row>
    <row r="6">
      <c r="A6" s="37" t="s">
        <v>53</v>
      </c>
      <c r="B6" s="37" t="s">
        <v>137</v>
      </c>
      <c r="C6" s="38">
        <v>3.0</v>
      </c>
      <c r="D6" s="38">
        <v>47510.0</v>
      </c>
      <c r="E6" s="38">
        <v>506860.0</v>
      </c>
      <c r="F6" s="38">
        <v>15359.0</v>
      </c>
      <c r="G6" s="38">
        <v>35.08</v>
      </c>
      <c r="H6" s="38">
        <v>10.83</v>
      </c>
      <c r="I6" s="38">
        <v>2.0</v>
      </c>
      <c r="J6" s="38">
        <v>6.0</v>
      </c>
      <c r="K6" s="38">
        <v>19.0</v>
      </c>
      <c r="L6" s="38">
        <v>30.0</v>
      </c>
      <c r="M6" s="38">
        <v>0.3319</v>
      </c>
      <c r="N6" s="38">
        <v>0.3191</v>
      </c>
      <c r="O6" s="38">
        <v>0.3519</v>
      </c>
      <c r="P6" s="38">
        <v>0.3454</v>
      </c>
      <c r="Q6" s="38">
        <v>0.3273</v>
      </c>
      <c r="R6" s="38">
        <v>0.3215</v>
      </c>
      <c r="S6" s="38">
        <v>0.3202</v>
      </c>
      <c r="T6" s="38">
        <v>0.3154</v>
      </c>
      <c r="U6" s="38">
        <v>0.3229</v>
      </c>
      <c r="V6" s="38">
        <v>6.3</v>
      </c>
      <c r="W6" s="38">
        <v>3.0</v>
      </c>
      <c r="X6" s="38">
        <v>8.0</v>
      </c>
      <c r="Y6" s="38">
        <v>18.0</v>
      </c>
      <c r="Z6" s="37" t="s">
        <v>364</v>
      </c>
      <c r="AA6" s="38">
        <v>26.4438</v>
      </c>
      <c r="AB6" s="38">
        <v>40.7398</v>
      </c>
      <c r="AC6" s="38">
        <v>27.2091</v>
      </c>
      <c r="AD6" s="38">
        <v>79.871</v>
      </c>
      <c r="AE6" s="38">
        <v>88.44</v>
      </c>
      <c r="AF6" s="38">
        <v>20.3442</v>
      </c>
      <c r="AG6" s="38">
        <v>18.2</v>
      </c>
      <c r="AH6" s="38">
        <v>14.0</v>
      </c>
      <c r="AI6" s="38">
        <v>25.0</v>
      </c>
      <c r="AJ6" s="38">
        <v>38.0</v>
      </c>
    </row>
    <row r="7">
      <c r="A7" s="37" t="s">
        <v>53</v>
      </c>
      <c r="B7" s="37" t="s">
        <v>339</v>
      </c>
      <c r="C7" s="38">
        <v>3.0</v>
      </c>
      <c r="D7" s="38">
        <v>25669.0</v>
      </c>
      <c r="E7" s="38">
        <v>273248.0</v>
      </c>
      <c r="F7" s="38">
        <v>8280.0</v>
      </c>
      <c r="G7" s="38">
        <v>35.08</v>
      </c>
      <c r="H7" s="38">
        <v>10.53</v>
      </c>
      <c r="I7" s="38">
        <v>2.0</v>
      </c>
      <c r="J7" s="38">
        <v>6.0</v>
      </c>
      <c r="K7" s="38">
        <v>18.0</v>
      </c>
      <c r="L7" s="38">
        <v>29.0</v>
      </c>
      <c r="M7" s="38">
        <v>0.3224</v>
      </c>
      <c r="N7" s="38">
        <v>0.3113</v>
      </c>
      <c r="O7" s="38">
        <v>0.341</v>
      </c>
      <c r="P7" s="38">
        <v>0.3307</v>
      </c>
      <c r="Q7" s="38">
        <v>0.319</v>
      </c>
      <c r="R7" s="38">
        <v>0.3141</v>
      </c>
      <c r="S7" s="38">
        <v>0.3125</v>
      </c>
      <c r="T7" s="38">
        <v>0.3065</v>
      </c>
      <c r="U7" s="38">
        <v>0.316</v>
      </c>
      <c r="V7" s="38">
        <v>6.01</v>
      </c>
      <c r="W7" s="38">
        <v>2.0</v>
      </c>
      <c r="X7" s="38">
        <v>7.0</v>
      </c>
      <c r="Y7" s="38">
        <v>17.0</v>
      </c>
      <c r="Z7" s="37" t="s">
        <v>364</v>
      </c>
      <c r="AA7" s="38">
        <v>26.0987</v>
      </c>
      <c r="AB7" s="38">
        <v>49.0871</v>
      </c>
      <c r="AC7" s="38">
        <v>26.8235</v>
      </c>
      <c r="AD7" s="38">
        <v>82.8951</v>
      </c>
      <c r="AE7" s="38">
        <v>89.64</v>
      </c>
      <c r="AF7" s="38">
        <v>20.562</v>
      </c>
      <c r="AG7" s="38">
        <v>17.58</v>
      </c>
      <c r="AH7" s="38">
        <v>13.0</v>
      </c>
      <c r="AI7" s="38">
        <v>25.0</v>
      </c>
      <c r="AJ7" s="38">
        <v>38.0</v>
      </c>
    </row>
    <row r="8">
      <c r="A8" s="37" t="s">
        <v>54</v>
      </c>
      <c r="B8" s="37" t="s">
        <v>137</v>
      </c>
      <c r="C8" s="38">
        <v>4.0</v>
      </c>
      <c r="D8" s="38">
        <v>21575.0</v>
      </c>
      <c r="E8" s="38">
        <v>221427.0</v>
      </c>
      <c r="F8" s="38">
        <v>6710.0</v>
      </c>
      <c r="G8" s="38">
        <v>36.3</v>
      </c>
      <c r="H8" s="38">
        <v>10.52</v>
      </c>
      <c r="I8" s="38">
        <v>2.0</v>
      </c>
      <c r="J8" s="38">
        <v>6.0</v>
      </c>
      <c r="K8" s="38">
        <v>16.0</v>
      </c>
      <c r="L8" s="38">
        <v>31.0</v>
      </c>
      <c r="M8" s="38">
        <v>0.3188</v>
      </c>
      <c r="N8" s="38">
        <v>0.3187</v>
      </c>
      <c r="O8" s="38">
        <v>0.3368</v>
      </c>
      <c r="P8" s="38">
        <v>0.3212</v>
      </c>
      <c r="Q8" s="38">
        <v>0.3129</v>
      </c>
      <c r="R8" s="38">
        <v>0.3119</v>
      </c>
      <c r="S8" s="38">
        <v>0.3154</v>
      </c>
      <c r="T8" s="38">
        <v>0.3145</v>
      </c>
      <c r="U8" s="38">
        <v>0.3229</v>
      </c>
      <c r="V8" s="38">
        <v>7.25</v>
      </c>
      <c r="W8" s="38">
        <v>3.0</v>
      </c>
      <c r="X8" s="38">
        <v>9.0</v>
      </c>
      <c r="Y8" s="38">
        <v>22.0</v>
      </c>
      <c r="Z8" s="37" t="s">
        <v>364</v>
      </c>
      <c r="AA8" s="38">
        <v>53.7343</v>
      </c>
      <c r="AB8" s="38">
        <v>68.6592</v>
      </c>
      <c r="AC8" s="38">
        <v>54.3154</v>
      </c>
      <c r="AD8" s="38">
        <v>125.3259</v>
      </c>
      <c r="AE8" s="38">
        <v>86.78</v>
      </c>
      <c r="AF8" s="38">
        <v>21.0991</v>
      </c>
      <c r="AG8" s="38">
        <v>37.64</v>
      </c>
      <c r="AH8" s="38">
        <v>30.0</v>
      </c>
      <c r="AI8" s="38">
        <v>52.0</v>
      </c>
      <c r="AJ8" s="38">
        <v>79.0</v>
      </c>
    </row>
    <row r="9">
      <c r="A9" s="37" t="s">
        <v>54</v>
      </c>
      <c r="B9" s="37" t="s">
        <v>339</v>
      </c>
      <c r="C9" s="38">
        <v>4.0</v>
      </c>
      <c r="D9" s="38">
        <v>12294.0</v>
      </c>
      <c r="E9" s="38">
        <v>115928.0</v>
      </c>
      <c r="F9" s="38">
        <v>3513.0</v>
      </c>
      <c r="G9" s="38">
        <v>36.3</v>
      </c>
      <c r="H9" s="38">
        <v>9.65</v>
      </c>
      <c r="I9" s="38">
        <v>2.0</v>
      </c>
      <c r="J9" s="38">
        <v>6.0</v>
      </c>
      <c r="K9" s="38">
        <v>13.0</v>
      </c>
      <c r="L9" s="38">
        <v>28.0</v>
      </c>
      <c r="M9" s="38">
        <v>0.2911</v>
      </c>
      <c r="N9" s="38">
        <v>0.2956</v>
      </c>
      <c r="O9" s="38">
        <v>0.3073</v>
      </c>
      <c r="P9" s="38">
        <v>0.2934</v>
      </c>
      <c r="Q9" s="38">
        <v>0.2855</v>
      </c>
      <c r="R9" s="38">
        <v>0.2858</v>
      </c>
      <c r="S9" s="38">
        <v>0.2871</v>
      </c>
      <c r="T9" s="38">
        <v>0.2902</v>
      </c>
      <c r="U9" s="38">
        <v>0.3009</v>
      </c>
      <c r="V9" s="38">
        <v>6.31</v>
      </c>
      <c r="W9" s="38">
        <v>3.0</v>
      </c>
      <c r="X9" s="38">
        <v>7.0</v>
      </c>
      <c r="Y9" s="38">
        <v>17.0</v>
      </c>
      <c r="Z9" s="37" t="s">
        <v>364</v>
      </c>
      <c r="AA9" s="38">
        <v>52.8571</v>
      </c>
      <c r="AB9" s="38">
        <v>78.1033</v>
      </c>
      <c r="AC9" s="38">
        <v>53.6848</v>
      </c>
      <c r="AD9" s="38">
        <v>127.0714</v>
      </c>
      <c r="AE9" s="38">
        <v>88.42</v>
      </c>
      <c r="AF9" s="38">
        <v>20.9006</v>
      </c>
      <c r="AG9" s="38">
        <v>36.27</v>
      </c>
      <c r="AH9" s="38">
        <v>28.0</v>
      </c>
      <c r="AI9" s="38">
        <v>51.0</v>
      </c>
      <c r="AJ9" s="38">
        <v>79.0</v>
      </c>
    </row>
    <row r="10">
      <c r="A10" s="37" t="s">
        <v>55</v>
      </c>
      <c r="B10" s="37" t="s">
        <v>137</v>
      </c>
      <c r="C10" s="38">
        <v>5.0</v>
      </c>
      <c r="D10" s="38">
        <v>3401.0</v>
      </c>
      <c r="E10" s="38">
        <v>27876.0</v>
      </c>
      <c r="F10" s="38">
        <v>845.0</v>
      </c>
      <c r="G10" s="38">
        <v>34.31</v>
      </c>
      <c r="H10" s="38">
        <v>6.82</v>
      </c>
      <c r="I10" s="38">
        <v>2.0</v>
      </c>
      <c r="J10" s="38">
        <v>3.0</v>
      </c>
      <c r="K10" s="38">
        <v>7.0</v>
      </c>
      <c r="L10" s="38">
        <v>21.0</v>
      </c>
      <c r="M10" s="38">
        <v>0.2012</v>
      </c>
      <c r="N10" s="38">
        <v>0.2188</v>
      </c>
      <c r="O10" s="38">
        <v>0.2016</v>
      </c>
      <c r="P10" s="38">
        <v>0.2082</v>
      </c>
      <c r="Q10" s="38">
        <v>0.1939</v>
      </c>
      <c r="R10" s="38">
        <v>0.1992</v>
      </c>
      <c r="S10" s="38">
        <v>0.2044</v>
      </c>
      <c r="T10" s="38">
        <v>0.2085</v>
      </c>
      <c r="U10" s="38">
        <v>0.2291</v>
      </c>
      <c r="V10" s="38">
        <v>5.65</v>
      </c>
      <c r="W10" s="38">
        <v>2.0</v>
      </c>
      <c r="X10" s="38">
        <v>5.0</v>
      </c>
      <c r="Y10" s="38">
        <v>16.0</v>
      </c>
      <c r="Z10" s="37" t="s">
        <v>364</v>
      </c>
      <c r="AA10" s="38">
        <v>127.4215</v>
      </c>
      <c r="AB10" s="38">
        <v>146.0028</v>
      </c>
      <c r="AC10" s="38">
        <v>126.0309</v>
      </c>
      <c r="AD10" s="38">
        <v>239.5534</v>
      </c>
      <c r="AE10" s="38">
        <v>84.61</v>
      </c>
      <c r="AF10" s="38">
        <v>18.9851</v>
      </c>
      <c r="AG10" s="38">
        <v>85.36</v>
      </c>
      <c r="AH10" s="38">
        <v>70.0</v>
      </c>
      <c r="AI10" s="38">
        <v>121.0</v>
      </c>
      <c r="AJ10" s="38">
        <v>176.0</v>
      </c>
    </row>
    <row r="11">
      <c r="A11" s="37" t="s">
        <v>55</v>
      </c>
      <c r="B11" s="37" t="s">
        <v>339</v>
      </c>
      <c r="C11" s="38">
        <v>5.0</v>
      </c>
      <c r="D11" s="38">
        <v>1776.0</v>
      </c>
      <c r="E11" s="38">
        <v>14406.0</v>
      </c>
      <c r="F11" s="38">
        <v>437.0</v>
      </c>
      <c r="G11" s="38">
        <v>34.31</v>
      </c>
      <c r="H11" s="38">
        <v>6.95</v>
      </c>
      <c r="I11" s="38">
        <v>2.0</v>
      </c>
      <c r="J11" s="38">
        <v>4.0</v>
      </c>
      <c r="K11" s="38">
        <v>9.0</v>
      </c>
      <c r="L11" s="38">
        <v>17.0</v>
      </c>
      <c r="M11" s="38">
        <v>0.2038</v>
      </c>
      <c r="N11" s="38">
        <v>0.226</v>
      </c>
      <c r="O11" s="38">
        <v>0.2023</v>
      </c>
      <c r="P11" s="38">
        <v>0.2058</v>
      </c>
      <c r="Q11" s="38">
        <v>0.2005</v>
      </c>
      <c r="R11" s="38">
        <v>0.2026</v>
      </c>
      <c r="S11" s="38">
        <v>0.2078</v>
      </c>
      <c r="T11" s="38">
        <v>0.2194</v>
      </c>
      <c r="U11" s="38">
        <v>0.2327</v>
      </c>
      <c r="V11" s="38">
        <v>5.38</v>
      </c>
      <c r="W11" s="38">
        <v>3.0</v>
      </c>
      <c r="X11" s="38">
        <v>6.0</v>
      </c>
      <c r="Y11" s="38">
        <v>13.0</v>
      </c>
      <c r="Z11" s="37" t="s">
        <v>364</v>
      </c>
      <c r="AA11" s="38">
        <v>126.6968</v>
      </c>
      <c r="AB11" s="38">
        <v>155.763</v>
      </c>
      <c r="AC11" s="38">
        <v>126.4547</v>
      </c>
      <c r="AD11" s="38">
        <v>236.5223</v>
      </c>
      <c r="AE11" s="38">
        <v>87.26</v>
      </c>
      <c r="AF11" s="38">
        <v>18.8248</v>
      </c>
      <c r="AG11" s="38">
        <v>84.93</v>
      </c>
      <c r="AH11" s="38">
        <v>67.0</v>
      </c>
      <c r="AI11" s="38">
        <v>122.0</v>
      </c>
      <c r="AJ11" s="38">
        <v>179.0</v>
      </c>
    </row>
  </sheetData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388" t="s">
        <v>2009</v>
      </c>
      <c r="B1" s="388" t="s">
        <v>1954</v>
      </c>
      <c r="C1" s="388" t="s">
        <v>1974</v>
      </c>
      <c r="D1" s="388" t="s">
        <v>1975</v>
      </c>
      <c r="E1" s="388" t="s">
        <v>2010</v>
      </c>
      <c r="F1" s="388" t="s">
        <v>2011</v>
      </c>
      <c r="G1" s="388" t="s">
        <v>2012</v>
      </c>
      <c r="H1" s="392" t="s">
        <v>2013</v>
      </c>
      <c r="I1" s="392" t="s">
        <v>2014</v>
      </c>
      <c r="J1" s="392" t="s">
        <v>2015</v>
      </c>
      <c r="K1" s="388" t="s">
        <v>2016</v>
      </c>
      <c r="L1" s="388" t="s">
        <v>2017</v>
      </c>
      <c r="M1" s="388" t="s">
        <v>2018</v>
      </c>
      <c r="N1" s="388" t="s">
        <v>2019</v>
      </c>
      <c r="O1" s="388" t="s">
        <v>2020</v>
      </c>
      <c r="P1" s="392" t="s">
        <v>2021</v>
      </c>
      <c r="Q1" s="392" t="s">
        <v>2022</v>
      </c>
      <c r="R1" s="392" t="s">
        <v>2023</v>
      </c>
      <c r="S1" s="240"/>
      <c r="T1" s="240"/>
      <c r="U1" s="240"/>
      <c r="V1" s="240"/>
      <c r="W1" s="240"/>
      <c r="X1" s="240"/>
      <c r="Y1" s="240"/>
      <c r="Z1" s="240"/>
    </row>
    <row r="2">
      <c r="A2" s="37" t="s">
        <v>8</v>
      </c>
      <c r="B2" s="37" t="s">
        <v>137</v>
      </c>
      <c r="C2" s="37" t="s">
        <v>51</v>
      </c>
      <c r="D2" s="38">
        <v>1.0</v>
      </c>
      <c r="E2" s="38">
        <v>6.0</v>
      </c>
      <c r="F2" s="38">
        <v>309852.0</v>
      </c>
      <c r="G2" s="38">
        <v>21607.0</v>
      </c>
      <c r="H2" s="393">
        <v>0.4184</v>
      </c>
      <c r="I2" s="393">
        <v>0.6615</v>
      </c>
      <c r="J2" s="393">
        <v>0.0</v>
      </c>
      <c r="K2" s="38">
        <v>6.0</v>
      </c>
      <c r="L2" s="38">
        <v>11.0</v>
      </c>
      <c r="M2" s="38">
        <v>15.0</v>
      </c>
      <c r="N2" s="38">
        <v>28.6</v>
      </c>
      <c r="O2" s="38">
        <v>0.0</v>
      </c>
      <c r="P2" s="393">
        <v>3.1315764858605735</v>
      </c>
      <c r="Q2" s="393">
        <v>10.484436780098092</v>
      </c>
      <c r="R2" s="393">
        <v>33.292991133784476</v>
      </c>
    </row>
    <row r="3">
      <c r="A3" s="37" t="s">
        <v>8</v>
      </c>
      <c r="B3" s="37" t="s">
        <v>339</v>
      </c>
      <c r="C3" s="37" t="s">
        <v>51</v>
      </c>
      <c r="D3" s="38">
        <v>1.0</v>
      </c>
      <c r="E3" s="38">
        <v>6.0</v>
      </c>
      <c r="F3" s="38">
        <v>239133.0</v>
      </c>
      <c r="G3" s="38">
        <v>17616.0</v>
      </c>
      <c r="H3" s="393">
        <v>0.442</v>
      </c>
      <c r="I3" s="393">
        <v>0.6861</v>
      </c>
      <c r="J3" s="393">
        <v>0.0</v>
      </c>
      <c r="K3" s="38">
        <v>7.0</v>
      </c>
      <c r="L3" s="38">
        <v>12.0</v>
      </c>
      <c r="M3" s="38">
        <v>17.0</v>
      </c>
      <c r="N3" s="38">
        <v>26.1</v>
      </c>
      <c r="O3" s="38">
        <v>0.0</v>
      </c>
      <c r="P3" s="393">
        <v>2.2212173505202144</v>
      </c>
      <c r="Q3" s="393">
        <v>7.546639233637151</v>
      </c>
      <c r="R3" s="393">
        <v>26.13764735203727</v>
      </c>
    </row>
    <row r="4">
      <c r="A4" s="37" t="s">
        <v>8</v>
      </c>
      <c r="B4" s="37" t="s">
        <v>137</v>
      </c>
      <c r="C4" s="37" t="s">
        <v>52</v>
      </c>
      <c r="D4" s="38">
        <v>2.0</v>
      </c>
      <c r="E4" s="38">
        <v>6.0</v>
      </c>
      <c r="F4" s="38">
        <v>200427.0</v>
      </c>
      <c r="G4" s="38">
        <v>20040.0</v>
      </c>
      <c r="H4" s="393">
        <v>0.5999</v>
      </c>
      <c r="I4" s="393">
        <v>0.6925</v>
      </c>
      <c r="J4" s="393">
        <v>0.0</v>
      </c>
      <c r="K4" s="38">
        <v>4.0</v>
      </c>
      <c r="L4" s="38">
        <v>8.0</v>
      </c>
      <c r="M4" s="38">
        <v>13.0</v>
      </c>
      <c r="N4" s="38">
        <v>73.8</v>
      </c>
      <c r="O4" s="38">
        <v>0.0</v>
      </c>
      <c r="P4" s="393">
        <v>10.82059112550473</v>
      </c>
      <c r="Q4" s="393">
        <v>36.61196059088581</v>
      </c>
      <c r="R4" s="393">
        <v>98.15964430177803</v>
      </c>
    </row>
    <row r="5">
      <c r="A5" s="37" t="s">
        <v>8</v>
      </c>
      <c r="B5" s="37" t="s">
        <v>339</v>
      </c>
      <c r="C5" s="37" t="s">
        <v>52</v>
      </c>
      <c r="D5" s="38">
        <v>2.0</v>
      </c>
      <c r="E5" s="38">
        <v>6.0</v>
      </c>
      <c r="F5" s="38">
        <v>117376.0</v>
      </c>
      <c r="G5" s="38">
        <v>11725.0</v>
      </c>
      <c r="H5" s="393">
        <v>0.5993</v>
      </c>
      <c r="I5" s="393">
        <v>0.7037</v>
      </c>
      <c r="J5" s="393">
        <v>0.0</v>
      </c>
      <c r="K5" s="38">
        <v>4.0</v>
      </c>
      <c r="L5" s="38">
        <v>9.0</v>
      </c>
      <c r="M5" s="38">
        <v>14.0</v>
      </c>
      <c r="N5" s="38">
        <v>75.7</v>
      </c>
      <c r="O5" s="38">
        <v>0.0</v>
      </c>
      <c r="P5" s="393">
        <v>7.644669384957924</v>
      </c>
      <c r="Q5" s="393">
        <v>31.46165358223671</v>
      </c>
      <c r="R5" s="393">
        <v>100.86553176303036</v>
      </c>
    </row>
    <row r="6">
      <c r="A6" s="37" t="s">
        <v>8</v>
      </c>
      <c r="B6" s="37" t="s">
        <v>137</v>
      </c>
      <c r="C6" s="37" t="s">
        <v>53</v>
      </c>
      <c r="D6" s="38">
        <v>3.0</v>
      </c>
      <c r="E6" s="38">
        <v>6.0</v>
      </c>
      <c r="F6" s="38">
        <v>113001.0</v>
      </c>
      <c r="G6" s="38">
        <v>12513.0</v>
      </c>
      <c r="H6" s="393">
        <v>0.6644</v>
      </c>
      <c r="I6" s="393">
        <v>0.7093</v>
      </c>
      <c r="J6" s="393">
        <v>0.0</v>
      </c>
      <c r="K6" s="38">
        <v>2.0</v>
      </c>
      <c r="L6" s="38">
        <v>5.0</v>
      </c>
      <c r="M6" s="38">
        <v>9.0</v>
      </c>
      <c r="N6" s="38">
        <v>159.0</v>
      </c>
      <c r="O6" s="38">
        <v>0.0</v>
      </c>
      <c r="P6" s="393">
        <v>33.00650751376137</v>
      </c>
      <c r="Q6" s="393">
        <v>101.74907132938735</v>
      </c>
      <c r="R6" s="393">
        <v>218.3503160530761</v>
      </c>
    </row>
    <row r="7">
      <c r="A7" s="37" t="s">
        <v>8</v>
      </c>
      <c r="B7" s="37" t="s">
        <v>339</v>
      </c>
      <c r="C7" s="37" t="s">
        <v>53</v>
      </c>
      <c r="D7" s="38">
        <v>3.0</v>
      </c>
      <c r="E7" s="38">
        <v>6.0</v>
      </c>
      <c r="F7" s="38">
        <v>62025.0</v>
      </c>
      <c r="G7" s="38">
        <v>6748.0</v>
      </c>
      <c r="H7" s="393">
        <v>0.6528</v>
      </c>
      <c r="I7" s="393">
        <v>0.704</v>
      </c>
      <c r="J7" s="393">
        <v>0.0</v>
      </c>
      <c r="K7" s="38">
        <v>2.0</v>
      </c>
      <c r="L7" s="38">
        <v>5.0</v>
      </c>
      <c r="M7" s="38">
        <v>10.0</v>
      </c>
      <c r="N7" s="38">
        <v>160.5</v>
      </c>
      <c r="O7" s="38">
        <v>0.0</v>
      </c>
      <c r="P7" s="393">
        <v>22.07880370792247</v>
      </c>
      <c r="Q7" s="393">
        <v>95.46660001886882</v>
      </c>
      <c r="R7" s="393">
        <v>228.2592540839286</v>
      </c>
    </row>
    <row r="8">
      <c r="A8" s="37" t="s">
        <v>8</v>
      </c>
      <c r="B8" s="37" t="s">
        <v>137</v>
      </c>
      <c r="C8" s="37" t="s">
        <v>54</v>
      </c>
      <c r="D8" s="38">
        <v>4.0</v>
      </c>
      <c r="E8" s="38">
        <v>6.0</v>
      </c>
      <c r="F8" s="38">
        <v>48537.0</v>
      </c>
      <c r="G8" s="38">
        <v>5880.0</v>
      </c>
      <c r="H8" s="393">
        <v>0.7268</v>
      </c>
      <c r="I8" s="393">
        <v>0.7458</v>
      </c>
      <c r="J8" s="393">
        <v>0.0</v>
      </c>
      <c r="K8" s="38">
        <v>1.0</v>
      </c>
      <c r="L8" s="38">
        <v>3.0</v>
      </c>
      <c r="M8" s="38">
        <v>6.0</v>
      </c>
      <c r="N8" s="38">
        <v>364.2</v>
      </c>
      <c r="O8" s="38">
        <v>0.0</v>
      </c>
      <c r="P8" s="393">
        <v>103.05856172807029</v>
      </c>
      <c r="Q8" s="393">
        <v>254.2382582917091</v>
      </c>
      <c r="R8" s="393">
        <v>513.9720624945044</v>
      </c>
    </row>
    <row r="9">
      <c r="A9" s="37" t="s">
        <v>8</v>
      </c>
      <c r="B9" s="37" t="s">
        <v>339</v>
      </c>
      <c r="C9" s="37" t="s">
        <v>54</v>
      </c>
      <c r="D9" s="38">
        <v>4.0</v>
      </c>
      <c r="E9" s="38">
        <v>6.0</v>
      </c>
      <c r="F9" s="38">
        <v>26164.0</v>
      </c>
      <c r="G9" s="38">
        <v>3044.0</v>
      </c>
      <c r="H9" s="393">
        <v>0.698</v>
      </c>
      <c r="I9" s="393">
        <v>0.724</v>
      </c>
      <c r="J9" s="393">
        <v>0.0</v>
      </c>
      <c r="K9" s="38">
        <v>1.0</v>
      </c>
      <c r="L9" s="38">
        <v>3.0</v>
      </c>
      <c r="M9" s="38">
        <v>6.0</v>
      </c>
      <c r="N9" s="38">
        <v>362.2</v>
      </c>
      <c r="O9" s="38">
        <v>0.0</v>
      </c>
      <c r="P9" s="393">
        <v>76.10841049382718</v>
      </c>
      <c r="Q9" s="393">
        <v>240.6099575031789</v>
      </c>
      <c r="R9" s="393">
        <v>507.90491054832796</v>
      </c>
    </row>
    <row r="10">
      <c r="A10" s="37" t="s">
        <v>8</v>
      </c>
      <c r="B10" s="37" t="s">
        <v>137</v>
      </c>
      <c r="C10" s="37" t="s">
        <v>55</v>
      </c>
      <c r="D10" s="38">
        <v>5.0</v>
      </c>
      <c r="E10" s="38">
        <v>6.0</v>
      </c>
      <c r="F10" s="38">
        <v>6460.0</v>
      </c>
      <c r="G10" s="38">
        <v>826.0</v>
      </c>
      <c r="H10" s="393">
        <v>0.7667</v>
      </c>
      <c r="I10" s="393">
        <v>0.7762</v>
      </c>
      <c r="J10" s="393">
        <v>0.0</v>
      </c>
      <c r="K10" s="38">
        <v>1.0</v>
      </c>
      <c r="L10" s="38">
        <v>1.0</v>
      </c>
      <c r="M10" s="38">
        <v>3.0</v>
      </c>
      <c r="N10" s="38">
        <v>826.0</v>
      </c>
      <c r="O10" s="38">
        <v>0.0</v>
      </c>
      <c r="P10" s="393">
        <v>277.78512589533824</v>
      </c>
      <c r="Q10" s="393">
        <v>635.3238028011629</v>
      </c>
      <c r="R10" s="393">
        <v>1182.2490137356037</v>
      </c>
    </row>
    <row r="11">
      <c r="A11" s="37" t="s">
        <v>8</v>
      </c>
      <c r="B11" s="37" t="s">
        <v>339</v>
      </c>
      <c r="C11" s="37" t="s">
        <v>55</v>
      </c>
      <c r="D11" s="38">
        <v>5.0</v>
      </c>
      <c r="E11" s="38">
        <v>6.0</v>
      </c>
      <c r="F11" s="38">
        <v>3431.0</v>
      </c>
      <c r="G11" s="38">
        <v>416.0</v>
      </c>
      <c r="H11" s="393">
        <v>0.7266</v>
      </c>
      <c r="I11" s="393">
        <v>0.7421</v>
      </c>
      <c r="J11" s="393">
        <v>0.0</v>
      </c>
      <c r="K11" s="38">
        <v>1.0</v>
      </c>
      <c r="L11" s="38">
        <v>1.0</v>
      </c>
      <c r="M11" s="38">
        <v>3.0</v>
      </c>
      <c r="N11" s="38">
        <v>811.0</v>
      </c>
      <c r="O11" s="38">
        <v>0.0</v>
      </c>
      <c r="P11" s="393">
        <v>234.94427536231885</v>
      </c>
      <c r="Q11" s="393">
        <v>603.4297198266232</v>
      </c>
      <c r="R11" s="393">
        <v>1139.7125222941893</v>
      </c>
    </row>
    <row r="12">
      <c r="A12" s="37" t="s">
        <v>2024</v>
      </c>
      <c r="B12" s="37" t="s">
        <v>137</v>
      </c>
      <c r="C12" s="37" t="s">
        <v>51</v>
      </c>
      <c r="D12" s="38">
        <v>1.0</v>
      </c>
      <c r="E12" s="38">
        <v>1.0</v>
      </c>
      <c r="F12" s="38">
        <v>78875.0</v>
      </c>
      <c r="G12" s="38">
        <v>56510.0</v>
      </c>
      <c r="H12" s="393">
        <v>0.7165</v>
      </c>
      <c r="I12" s="393">
        <v>0.9392</v>
      </c>
      <c r="J12" s="393">
        <v>0.6888</v>
      </c>
      <c r="K12" s="37" t="s">
        <v>364</v>
      </c>
      <c r="L12" s="37" t="s">
        <v>364</v>
      </c>
      <c r="M12" s="37" t="s">
        <v>364</v>
      </c>
      <c r="N12" s="38">
        <v>50.6</v>
      </c>
      <c r="O12" s="37" t="s">
        <v>364</v>
      </c>
      <c r="P12" s="393">
        <v>14.798022458460938</v>
      </c>
      <c r="Q12" s="393">
        <v>33.96359573001672</v>
      </c>
      <c r="R12" s="393">
        <v>68.81039853476621</v>
      </c>
    </row>
    <row r="13">
      <c r="A13" s="37" t="s">
        <v>2024</v>
      </c>
      <c r="B13" s="37" t="s">
        <v>339</v>
      </c>
      <c r="C13" s="37" t="s">
        <v>51</v>
      </c>
      <c r="D13" s="38">
        <v>1.0</v>
      </c>
      <c r="E13" s="38">
        <v>1.0</v>
      </c>
      <c r="F13" s="38">
        <v>57468.0</v>
      </c>
      <c r="G13" s="38">
        <v>43751.0</v>
      </c>
      <c r="H13" s="393">
        <v>0.7613</v>
      </c>
      <c r="I13" s="393">
        <v>0.9565</v>
      </c>
      <c r="J13" s="393">
        <v>0.6847</v>
      </c>
      <c r="K13" s="37" t="s">
        <v>364</v>
      </c>
      <c r="L13" s="37" t="s">
        <v>364</v>
      </c>
      <c r="M13" s="37" t="s">
        <v>364</v>
      </c>
      <c r="N13" s="38">
        <v>44.6</v>
      </c>
      <c r="O13" s="37" t="s">
        <v>364</v>
      </c>
      <c r="P13" s="393">
        <v>13.244287286510083</v>
      </c>
      <c r="Q13" s="393">
        <v>29.388998658771083</v>
      </c>
      <c r="R13" s="393">
        <v>59.84011449011177</v>
      </c>
    </row>
    <row r="14">
      <c r="A14" s="37" t="s">
        <v>2024</v>
      </c>
      <c r="B14" s="37" t="s">
        <v>137</v>
      </c>
      <c r="C14" s="37" t="s">
        <v>52</v>
      </c>
      <c r="D14" s="38">
        <v>2.0</v>
      </c>
      <c r="E14" s="38">
        <v>1.0</v>
      </c>
      <c r="F14" s="38">
        <v>44503.0</v>
      </c>
      <c r="G14" s="38">
        <v>40406.0</v>
      </c>
      <c r="H14" s="393">
        <v>0.9079</v>
      </c>
      <c r="I14" s="393">
        <v>0.9513</v>
      </c>
      <c r="J14" s="393">
        <v>0.8575</v>
      </c>
      <c r="K14" s="37" t="s">
        <v>364</v>
      </c>
      <c r="L14" s="37" t="s">
        <v>364</v>
      </c>
      <c r="M14" s="37" t="s">
        <v>364</v>
      </c>
      <c r="N14" s="38">
        <v>161.0</v>
      </c>
      <c r="O14" s="37" t="s">
        <v>364</v>
      </c>
      <c r="P14" s="393">
        <v>66.65651481554323</v>
      </c>
      <c r="Q14" s="393">
        <v>128.67170342944166</v>
      </c>
      <c r="R14" s="393">
        <v>211.8067718899262</v>
      </c>
    </row>
    <row r="15">
      <c r="A15" s="37" t="s">
        <v>2024</v>
      </c>
      <c r="B15" s="37" t="s">
        <v>339</v>
      </c>
      <c r="C15" s="37" t="s">
        <v>52</v>
      </c>
      <c r="D15" s="38">
        <v>2.0</v>
      </c>
      <c r="E15" s="38">
        <v>1.0</v>
      </c>
      <c r="F15" s="38">
        <v>25725.0</v>
      </c>
      <c r="G15" s="38">
        <v>23657.0</v>
      </c>
      <c r="H15" s="393">
        <v>0.9196</v>
      </c>
      <c r="I15" s="393">
        <v>0.9576</v>
      </c>
      <c r="J15" s="393">
        <v>0.8568</v>
      </c>
      <c r="K15" s="37" t="s">
        <v>364</v>
      </c>
      <c r="L15" s="37" t="s">
        <v>364</v>
      </c>
      <c r="M15" s="37" t="s">
        <v>364</v>
      </c>
      <c r="N15" s="38">
        <v>141.7</v>
      </c>
      <c r="O15" s="37" t="s">
        <v>364</v>
      </c>
      <c r="P15" s="393">
        <v>57.66888950308966</v>
      </c>
      <c r="Q15" s="393">
        <v>111.62363012696521</v>
      </c>
      <c r="R15" s="393">
        <v>187.49763001199906</v>
      </c>
    </row>
    <row r="16">
      <c r="A16" s="37" t="s">
        <v>2024</v>
      </c>
      <c r="B16" s="37" t="s">
        <v>137</v>
      </c>
      <c r="C16" s="37" t="s">
        <v>53</v>
      </c>
      <c r="D16" s="38">
        <v>3.0</v>
      </c>
      <c r="E16" s="38">
        <v>1.0</v>
      </c>
      <c r="F16" s="38">
        <v>25109.0</v>
      </c>
      <c r="G16" s="38">
        <v>23294.0</v>
      </c>
      <c r="H16" s="393">
        <v>0.9277</v>
      </c>
      <c r="I16" s="393">
        <v>0.9522</v>
      </c>
      <c r="J16" s="393">
        <v>0.8528</v>
      </c>
      <c r="K16" s="37" t="s">
        <v>364</v>
      </c>
      <c r="L16" s="37" t="s">
        <v>364</v>
      </c>
      <c r="M16" s="37" t="s">
        <v>364</v>
      </c>
      <c r="N16" s="38">
        <v>338.9</v>
      </c>
      <c r="O16" s="37" t="s">
        <v>364</v>
      </c>
      <c r="P16" s="393">
        <v>155.10674204261997</v>
      </c>
      <c r="Q16" s="393">
        <v>298.2090415904156</v>
      </c>
      <c r="R16" s="393">
        <v>468.1167275903566</v>
      </c>
    </row>
    <row r="17">
      <c r="A17" s="37" t="s">
        <v>2024</v>
      </c>
      <c r="B17" s="37" t="s">
        <v>339</v>
      </c>
      <c r="C17" s="37" t="s">
        <v>53</v>
      </c>
      <c r="D17" s="38">
        <v>3.0</v>
      </c>
      <c r="E17" s="38">
        <v>1.0</v>
      </c>
      <c r="F17" s="38">
        <v>13644.0</v>
      </c>
      <c r="G17" s="38">
        <v>12657.0</v>
      </c>
      <c r="H17" s="393">
        <v>0.9277</v>
      </c>
      <c r="I17" s="393">
        <v>0.9504</v>
      </c>
      <c r="J17" s="393">
        <v>0.8442</v>
      </c>
      <c r="K17" s="37" t="s">
        <v>364</v>
      </c>
      <c r="L17" s="37" t="s">
        <v>364</v>
      </c>
      <c r="M17" s="37" t="s">
        <v>364</v>
      </c>
      <c r="N17" s="38">
        <v>301.4</v>
      </c>
      <c r="O17" s="37" t="s">
        <v>364</v>
      </c>
      <c r="P17" s="393">
        <v>133.34821683102288</v>
      </c>
      <c r="Q17" s="393">
        <v>254.5083502899164</v>
      </c>
      <c r="R17" s="393">
        <v>412.57714385669067</v>
      </c>
    </row>
    <row r="18">
      <c r="A18" s="37" t="s">
        <v>2024</v>
      </c>
      <c r="B18" s="37" t="s">
        <v>137</v>
      </c>
      <c r="C18" s="37" t="s">
        <v>54</v>
      </c>
      <c r="D18" s="38">
        <v>4.0</v>
      </c>
      <c r="E18" s="38">
        <v>1.0</v>
      </c>
      <c r="F18" s="38">
        <v>10089.0</v>
      </c>
      <c r="G18" s="38">
        <v>9551.0</v>
      </c>
      <c r="H18" s="393">
        <v>0.9467</v>
      </c>
      <c r="I18" s="393">
        <v>0.9582</v>
      </c>
      <c r="J18" s="393">
        <v>0.7181</v>
      </c>
      <c r="K18" s="37" t="s">
        <v>364</v>
      </c>
      <c r="L18" s="37" t="s">
        <v>364</v>
      </c>
      <c r="M18" s="37" t="s">
        <v>364</v>
      </c>
      <c r="N18" s="38">
        <v>624.8</v>
      </c>
      <c r="O18" s="37" t="s">
        <v>364</v>
      </c>
      <c r="P18" s="393">
        <v>333.527518317604</v>
      </c>
      <c r="Q18" s="393">
        <v>608.1056449251122</v>
      </c>
      <c r="R18" s="393">
        <v>889.0411179179168</v>
      </c>
    </row>
    <row r="19">
      <c r="A19" s="37" t="s">
        <v>2024</v>
      </c>
      <c r="B19" s="37" t="s">
        <v>339</v>
      </c>
      <c r="C19" s="37" t="s">
        <v>54</v>
      </c>
      <c r="D19" s="38">
        <v>4.0</v>
      </c>
      <c r="E19" s="38">
        <v>1.0</v>
      </c>
      <c r="F19" s="38">
        <v>5558.0</v>
      </c>
      <c r="G19" s="38">
        <v>5189.0</v>
      </c>
      <c r="H19" s="393">
        <v>0.9336</v>
      </c>
      <c r="I19" s="393">
        <v>0.9446</v>
      </c>
      <c r="J19" s="393">
        <v>0.729</v>
      </c>
      <c r="K19" s="37" t="s">
        <v>364</v>
      </c>
      <c r="L19" s="37" t="s">
        <v>364</v>
      </c>
      <c r="M19" s="37" t="s">
        <v>364</v>
      </c>
      <c r="N19" s="38">
        <v>536.0</v>
      </c>
      <c r="O19" s="37" t="s">
        <v>364</v>
      </c>
      <c r="P19" s="393">
        <v>263.1510088441564</v>
      </c>
      <c r="Q19" s="393">
        <v>494.9043479884633</v>
      </c>
      <c r="R19" s="393">
        <v>777.2234409911343</v>
      </c>
    </row>
    <row r="20">
      <c r="A20" s="37" t="s">
        <v>2024</v>
      </c>
      <c r="B20" s="37" t="s">
        <v>137</v>
      </c>
      <c r="C20" s="37" t="s">
        <v>55</v>
      </c>
      <c r="D20" s="38">
        <v>5.0</v>
      </c>
      <c r="E20" s="38">
        <v>1.0</v>
      </c>
      <c r="F20" s="38">
        <v>1298.0</v>
      </c>
      <c r="G20" s="38">
        <v>1219.0</v>
      </c>
      <c r="H20" s="393">
        <v>0.9391</v>
      </c>
      <c r="I20" s="393">
        <v>0.9492</v>
      </c>
      <c r="J20" s="393">
        <v>0.37</v>
      </c>
      <c r="K20" s="37" t="s">
        <v>364</v>
      </c>
      <c r="L20" s="37" t="s">
        <v>364</v>
      </c>
      <c r="M20" s="37" t="s">
        <v>364</v>
      </c>
      <c r="N20" s="38">
        <v>883.9</v>
      </c>
      <c r="O20" s="37" t="s">
        <v>364</v>
      </c>
      <c r="P20" s="393">
        <v>511.1704061895552</v>
      </c>
      <c r="Q20" s="393">
        <v>830.7915646853147</v>
      </c>
      <c r="R20" s="393">
        <v>1084.4259259259259</v>
      </c>
    </row>
    <row r="21">
      <c r="A21" s="37" t="s">
        <v>2024</v>
      </c>
      <c r="B21" s="37" t="s">
        <v>339</v>
      </c>
      <c r="C21" s="37" t="s">
        <v>55</v>
      </c>
      <c r="D21" s="38">
        <v>5.0</v>
      </c>
      <c r="E21" s="38">
        <v>1.0</v>
      </c>
      <c r="F21" s="38">
        <v>687.0</v>
      </c>
      <c r="G21" s="38">
        <v>645.0</v>
      </c>
      <c r="H21" s="393">
        <v>0.9389</v>
      </c>
      <c r="I21" s="393">
        <v>0.9447</v>
      </c>
      <c r="J21" s="393">
        <v>0.3922</v>
      </c>
      <c r="K21" s="37" t="s">
        <v>364</v>
      </c>
      <c r="L21" s="37" t="s">
        <v>364</v>
      </c>
      <c r="M21" s="37" t="s">
        <v>364</v>
      </c>
      <c r="N21" s="38">
        <v>730.9</v>
      </c>
      <c r="O21" s="37" t="s">
        <v>364</v>
      </c>
      <c r="P21" s="393">
        <v>491.63522727272726</v>
      </c>
      <c r="Q21" s="393">
        <v>695.0213903743316</v>
      </c>
      <c r="R21" s="393">
        <v>999.1477272727274</v>
      </c>
    </row>
    <row r="22">
      <c r="A22" s="37" t="s">
        <v>7</v>
      </c>
      <c r="B22" s="37" t="s">
        <v>137</v>
      </c>
      <c r="C22" s="37" t="s">
        <v>51</v>
      </c>
      <c r="D22" s="38">
        <v>1.0</v>
      </c>
      <c r="E22" s="38">
        <v>5.0</v>
      </c>
      <c r="F22" s="38">
        <v>258292.0</v>
      </c>
      <c r="G22" s="38">
        <v>26808.0</v>
      </c>
      <c r="H22" s="393">
        <v>0.5189</v>
      </c>
      <c r="I22" s="393">
        <v>0.6524</v>
      </c>
      <c r="J22" s="393">
        <v>0.0</v>
      </c>
      <c r="K22" s="38">
        <v>5.0</v>
      </c>
      <c r="L22" s="38">
        <v>10.0</v>
      </c>
      <c r="M22" s="38">
        <v>14.0</v>
      </c>
      <c r="N22" s="38">
        <v>37.7</v>
      </c>
      <c r="O22" s="38">
        <v>0.0</v>
      </c>
      <c r="P22" s="393">
        <v>11.059228870070998</v>
      </c>
      <c r="Q22" s="393">
        <v>26.066161737067244</v>
      </c>
      <c r="R22" s="393">
        <v>53.58763609875799</v>
      </c>
    </row>
    <row r="23">
      <c r="A23" s="37" t="s">
        <v>7</v>
      </c>
      <c r="B23" s="37" t="s">
        <v>339</v>
      </c>
      <c r="C23" s="37" t="s">
        <v>51</v>
      </c>
      <c r="D23" s="38">
        <v>1.0</v>
      </c>
      <c r="E23" s="38">
        <v>5.0</v>
      </c>
      <c r="F23" s="38">
        <v>200207.0</v>
      </c>
      <c r="G23" s="38">
        <v>22075.0</v>
      </c>
      <c r="H23" s="393">
        <v>0.5513</v>
      </c>
      <c r="I23" s="393">
        <v>0.6779</v>
      </c>
      <c r="J23" s="393">
        <v>0.0</v>
      </c>
      <c r="K23" s="38">
        <v>6.0</v>
      </c>
      <c r="L23" s="38">
        <v>11.0</v>
      </c>
      <c r="M23" s="38">
        <v>15.0</v>
      </c>
      <c r="N23" s="38">
        <v>33.4</v>
      </c>
      <c r="O23" s="38">
        <v>0.0</v>
      </c>
      <c r="P23" s="393">
        <v>9.390086322022038</v>
      </c>
      <c r="Q23" s="393">
        <v>22.410187688138315</v>
      </c>
      <c r="R23" s="393">
        <v>44.39305950680857</v>
      </c>
    </row>
    <row r="24">
      <c r="A24" s="37" t="s">
        <v>7</v>
      </c>
      <c r="B24" s="37" t="s">
        <v>137</v>
      </c>
      <c r="C24" s="37" t="s">
        <v>52</v>
      </c>
      <c r="D24" s="38">
        <v>2.0</v>
      </c>
      <c r="E24" s="38">
        <v>5.0</v>
      </c>
      <c r="F24" s="38">
        <v>173087.0</v>
      </c>
      <c r="G24" s="38">
        <v>22105.0</v>
      </c>
      <c r="H24" s="393">
        <v>0.6386</v>
      </c>
      <c r="I24" s="393">
        <v>0.6937</v>
      </c>
      <c r="J24" s="393">
        <v>0.0</v>
      </c>
      <c r="K24" s="38">
        <v>3.0</v>
      </c>
      <c r="L24" s="38">
        <v>6.0</v>
      </c>
      <c r="M24" s="38">
        <v>10.0</v>
      </c>
      <c r="N24" s="38">
        <v>95.4</v>
      </c>
      <c r="O24" s="38">
        <v>0.0</v>
      </c>
      <c r="P24" s="393">
        <v>36.91928403445642</v>
      </c>
      <c r="Q24" s="393">
        <v>77.25999991003295</v>
      </c>
      <c r="R24" s="393">
        <v>131.39613938363902</v>
      </c>
    </row>
    <row r="25">
      <c r="A25" s="37" t="s">
        <v>7</v>
      </c>
      <c r="B25" s="37" t="s">
        <v>339</v>
      </c>
      <c r="C25" s="37" t="s">
        <v>52</v>
      </c>
      <c r="D25" s="38">
        <v>2.0</v>
      </c>
      <c r="E25" s="38">
        <v>5.0</v>
      </c>
      <c r="F25" s="38">
        <v>100318.0</v>
      </c>
      <c r="G25" s="38">
        <v>12787.0</v>
      </c>
      <c r="H25" s="393">
        <v>0.6373</v>
      </c>
      <c r="I25" s="393">
        <v>0.6998</v>
      </c>
      <c r="J25" s="393">
        <v>0.0</v>
      </c>
      <c r="K25" s="38">
        <v>3.0</v>
      </c>
      <c r="L25" s="38">
        <v>7.0</v>
      </c>
      <c r="M25" s="38">
        <v>11.0</v>
      </c>
      <c r="N25" s="38">
        <v>89.0</v>
      </c>
      <c r="O25" s="38">
        <v>0.0</v>
      </c>
      <c r="P25" s="393">
        <v>28.83069890957479</v>
      </c>
      <c r="Q25" s="393">
        <v>64.27954973351638</v>
      </c>
      <c r="R25" s="393">
        <v>121.71055331774973</v>
      </c>
    </row>
    <row r="26">
      <c r="A26" s="37" t="s">
        <v>7</v>
      </c>
      <c r="B26" s="37" t="s">
        <v>137</v>
      </c>
      <c r="C26" s="37" t="s">
        <v>53</v>
      </c>
      <c r="D26" s="38">
        <v>3.0</v>
      </c>
      <c r="E26" s="38">
        <v>5.0</v>
      </c>
      <c r="F26" s="38">
        <v>93776.0</v>
      </c>
      <c r="G26" s="38">
        <v>12602.0</v>
      </c>
      <c r="H26" s="393">
        <v>0.6719</v>
      </c>
      <c r="I26" s="393">
        <v>0.7018</v>
      </c>
      <c r="J26" s="393">
        <v>0.0</v>
      </c>
      <c r="K26" s="38">
        <v>2.0</v>
      </c>
      <c r="L26" s="38">
        <v>4.0</v>
      </c>
      <c r="M26" s="38">
        <v>7.0</v>
      </c>
      <c r="N26" s="38">
        <v>174.5</v>
      </c>
      <c r="O26" s="38">
        <v>0.0</v>
      </c>
      <c r="P26" s="393">
        <v>77.69499101537451</v>
      </c>
      <c r="Q26" s="393">
        <v>151.80759167724577</v>
      </c>
      <c r="R26" s="393">
        <v>244.64072492808862</v>
      </c>
    </row>
    <row r="27">
      <c r="A27" s="37" t="s">
        <v>7</v>
      </c>
      <c r="B27" s="37" t="s">
        <v>339</v>
      </c>
      <c r="C27" s="37" t="s">
        <v>53</v>
      </c>
      <c r="D27" s="38">
        <v>3.0</v>
      </c>
      <c r="E27" s="38">
        <v>5.0</v>
      </c>
      <c r="F27" s="38">
        <v>51693.0</v>
      </c>
      <c r="G27" s="38">
        <v>6844.0</v>
      </c>
      <c r="H27" s="393">
        <v>0.662</v>
      </c>
      <c r="I27" s="393">
        <v>0.6985</v>
      </c>
      <c r="J27" s="393">
        <v>0.0</v>
      </c>
      <c r="K27" s="38">
        <v>2.0</v>
      </c>
      <c r="L27" s="38">
        <v>4.0</v>
      </c>
      <c r="M27" s="38">
        <v>8.0</v>
      </c>
      <c r="N27" s="38">
        <v>164.8</v>
      </c>
      <c r="O27" s="38">
        <v>0.0</v>
      </c>
      <c r="P27" s="393">
        <v>62.601540440637486</v>
      </c>
      <c r="Q27" s="393">
        <v>138.22756913906738</v>
      </c>
      <c r="R27" s="393">
        <v>231.45374671676686</v>
      </c>
    </row>
    <row r="28">
      <c r="A28" s="37" t="s">
        <v>7</v>
      </c>
      <c r="B28" s="37" t="s">
        <v>137</v>
      </c>
      <c r="C28" s="37" t="s">
        <v>54</v>
      </c>
      <c r="D28" s="38">
        <v>4.0</v>
      </c>
      <c r="E28" s="38">
        <v>5.0</v>
      </c>
      <c r="F28" s="38">
        <v>40453.0</v>
      </c>
      <c r="G28" s="38">
        <v>5830.0</v>
      </c>
      <c r="H28" s="393">
        <v>0.7206</v>
      </c>
      <c r="I28" s="393">
        <v>0.7334</v>
      </c>
      <c r="J28" s="393">
        <v>0.0</v>
      </c>
      <c r="K28" s="38">
        <v>1.0</v>
      </c>
      <c r="L28" s="38">
        <v>2.0</v>
      </c>
      <c r="M28" s="38">
        <v>4.0</v>
      </c>
      <c r="N28" s="38">
        <v>353.8</v>
      </c>
      <c r="O28" s="38">
        <v>0.0</v>
      </c>
      <c r="P28" s="393">
        <v>166.83086954761103</v>
      </c>
      <c r="Q28" s="393">
        <v>306.9314456690796</v>
      </c>
      <c r="R28" s="393">
        <v>485.19583177906645</v>
      </c>
    </row>
    <row r="29">
      <c r="A29" s="37" t="s">
        <v>7</v>
      </c>
      <c r="B29" s="37" t="s">
        <v>339</v>
      </c>
      <c r="C29" s="37" t="s">
        <v>54</v>
      </c>
      <c r="D29" s="38">
        <v>4.0</v>
      </c>
      <c r="E29" s="38">
        <v>5.0</v>
      </c>
      <c r="F29" s="38">
        <v>21720.0</v>
      </c>
      <c r="G29" s="38">
        <v>3023.0</v>
      </c>
      <c r="H29" s="393">
        <v>0.6959</v>
      </c>
      <c r="I29" s="393">
        <v>0.7152</v>
      </c>
      <c r="J29" s="393">
        <v>0.0</v>
      </c>
      <c r="K29" s="38">
        <v>1.0</v>
      </c>
      <c r="L29" s="38">
        <v>2.0</v>
      </c>
      <c r="M29" s="38">
        <v>4.0</v>
      </c>
      <c r="N29" s="38">
        <v>333.8</v>
      </c>
      <c r="O29" s="38">
        <v>0.0</v>
      </c>
      <c r="P29" s="393">
        <v>137.39125744584885</v>
      </c>
      <c r="Q29" s="393">
        <v>285.5723877906459</v>
      </c>
      <c r="R29" s="393">
        <v>467.65841727816616</v>
      </c>
    </row>
    <row r="30">
      <c r="A30" s="37" t="s">
        <v>7</v>
      </c>
      <c r="B30" s="37" t="s">
        <v>137</v>
      </c>
      <c r="C30" s="37" t="s">
        <v>55</v>
      </c>
      <c r="D30" s="38">
        <v>5.0</v>
      </c>
      <c r="E30" s="38">
        <v>5.0</v>
      </c>
      <c r="F30" s="38">
        <v>5242.0</v>
      </c>
      <c r="G30" s="38">
        <v>795.0</v>
      </c>
      <c r="H30" s="393">
        <v>0.7581</v>
      </c>
      <c r="I30" s="393">
        <v>0.7646</v>
      </c>
      <c r="J30" s="393">
        <v>0.0</v>
      </c>
      <c r="K30" s="38">
        <v>1.0</v>
      </c>
      <c r="L30" s="38">
        <v>1.0</v>
      </c>
      <c r="M30" s="38">
        <v>2.0</v>
      </c>
      <c r="N30" s="38">
        <v>793.3</v>
      </c>
      <c r="O30" s="38">
        <v>0.0</v>
      </c>
      <c r="P30" s="393">
        <v>431.55597627714377</v>
      </c>
      <c r="Q30" s="393">
        <v>720.7516059883138</v>
      </c>
      <c r="R30" s="393">
        <v>1077.4897592044347</v>
      </c>
    </row>
    <row r="31">
      <c r="A31" s="37" t="s">
        <v>7</v>
      </c>
      <c r="B31" s="37" t="s">
        <v>339</v>
      </c>
      <c r="C31" s="37" t="s">
        <v>55</v>
      </c>
      <c r="D31" s="38">
        <v>5.0</v>
      </c>
      <c r="E31" s="38">
        <v>5.0</v>
      </c>
      <c r="F31" s="38">
        <v>2809.0</v>
      </c>
      <c r="G31" s="38">
        <v>410.0</v>
      </c>
      <c r="H31" s="393">
        <v>0.7291</v>
      </c>
      <c r="I31" s="393">
        <v>0.7348</v>
      </c>
      <c r="J31" s="393">
        <v>0.0</v>
      </c>
      <c r="K31" s="38">
        <v>1.0</v>
      </c>
      <c r="L31" s="38">
        <v>1.0</v>
      </c>
      <c r="M31" s="38">
        <v>2.0</v>
      </c>
      <c r="N31" s="38">
        <v>762.2</v>
      </c>
      <c r="O31" s="38">
        <v>0.0</v>
      </c>
      <c r="P31" s="393">
        <v>377.11509433962266</v>
      </c>
      <c r="Q31" s="393">
        <v>687.2798563869992</v>
      </c>
      <c r="R31" s="393">
        <v>1033.3142649652452</v>
      </c>
    </row>
    <row r="32">
      <c r="A32" s="37" t="s">
        <v>2025</v>
      </c>
      <c r="B32" s="37" t="s">
        <v>137</v>
      </c>
      <c r="C32" s="37" t="s">
        <v>51</v>
      </c>
      <c r="D32" s="38">
        <v>1.0</v>
      </c>
      <c r="E32" s="38">
        <v>48.0</v>
      </c>
      <c r="F32" s="38">
        <v>2617360.0</v>
      </c>
      <c r="G32" s="38">
        <v>7232.0</v>
      </c>
      <c r="H32" s="393">
        <v>0.1326</v>
      </c>
      <c r="I32" s="393">
        <v>0.1666</v>
      </c>
      <c r="J32" s="393">
        <v>0.0</v>
      </c>
      <c r="K32" s="37" t="s">
        <v>364</v>
      </c>
      <c r="L32" s="37" t="s">
        <v>364</v>
      </c>
      <c r="M32" s="37" t="s">
        <v>364</v>
      </c>
      <c r="N32" s="38">
        <v>1.2</v>
      </c>
      <c r="O32" s="37" t="s">
        <v>364</v>
      </c>
      <c r="P32" s="393">
        <v>0.0</v>
      </c>
      <c r="Q32" s="393">
        <v>0.2805226768922444</v>
      </c>
      <c r="R32" s="393">
        <v>1.8873464146559908</v>
      </c>
    </row>
    <row r="33">
      <c r="A33" s="37" t="s">
        <v>2025</v>
      </c>
      <c r="B33" s="37" t="s">
        <v>339</v>
      </c>
      <c r="C33" s="37" t="s">
        <v>51</v>
      </c>
      <c r="D33" s="38">
        <v>1.0</v>
      </c>
      <c r="E33" s="38">
        <v>48.0</v>
      </c>
      <c r="F33" s="38">
        <v>2018469.0</v>
      </c>
      <c r="G33" s="38">
        <v>6613.0</v>
      </c>
      <c r="H33" s="393">
        <v>0.1573</v>
      </c>
      <c r="I33" s="393">
        <v>0.1911</v>
      </c>
      <c r="J33" s="393">
        <v>1.0E-4</v>
      </c>
      <c r="K33" s="37" t="s">
        <v>364</v>
      </c>
      <c r="L33" s="37" t="s">
        <v>364</v>
      </c>
      <c r="M33" s="37" t="s">
        <v>364</v>
      </c>
      <c r="N33" s="38">
        <v>0.9</v>
      </c>
      <c r="O33" s="37" t="s">
        <v>364</v>
      </c>
      <c r="P33" s="393">
        <v>0.0</v>
      </c>
      <c r="Q33" s="393">
        <v>0.0</v>
      </c>
      <c r="R33" s="393">
        <v>1.0628440801512595</v>
      </c>
    </row>
    <row r="34">
      <c r="A34" s="37" t="s">
        <v>2025</v>
      </c>
      <c r="B34" s="37" t="s">
        <v>137</v>
      </c>
      <c r="C34" s="37" t="s">
        <v>52</v>
      </c>
      <c r="D34" s="38">
        <v>2.0</v>
      </c>
      <c r="E34" s="38">
        <v>48.0</v>
      </c>
      <c r="F34" s="38">
        <v>1673567.0</v>
      </c>
      <c r="G34" s="38">
        <v>5991.0</v>
      </c>
      <c r="H34" s="393">
        <v>0.1718</v>
      </c>
      <c r="I34" s="393">
        <v>0.1864</v>
      </c>
      <c r="J34" s="393">
        <v>1.0E-4</v>
      </c>
      <c r="K34" s="37" t="s">
        <v>364</v>
      </c>
      <c r="L34" s="37" t="s">
        <v>364</v>
      </c>
      <c r="M34" s="37" t="s">
        <v>364</v>
      </c>
      <c r="N34" s="38">
        <v>2.4</v>
      </c>
      <c r="O34" s="37" t="s">
        <v>364</v>
      </c>
      <c r="P34" s="393">
        <v>0.0</v>
      </c>
      <c r="Q34" s="393">
        <v>0.6605231150968063</v>
      </c>
      <c r="R34" s="393">
        <v>3.509851962826526</v>
      </c>
    </row>
    <row r="35">
      <c r="A35" s="37" t="s">
        <v>2025</v>
      </c>
      <c r="B35" s="37" t="s">
        <v>339</v>
      </c>
      <c r="C35" s="37" t="s">
        <v>52</v>
      </c>
      <c r="D35" s="38">
        <v>2.0</v>
      </c>
      <c r="E35" s="38">
        <v>48.0</v>
      </c>
      <c r="F35" s="38">
        <v>982011.0</v>
      </c>
      <c r="G35" s="38">
        <v>3779.0</v>
      </c>
      <c r="H35" s="393">
        <v>0.1847</v>
      </c>
      <c r="I35" s="393">
        <v>0.2012</v>
      </c>
      <c r="J35" s="393">
        <v>2.0E-4</v>
      </c>
      <c r="K35" s="37" t="s">
        <v>364</v>
      </c>
      <c r="L35" s="37" t="s">
        <v>364</v>
      </c>
      <c r="M35" s="37" t="s">
        <v>364</v>
      </c>
      <c r="N35" s="38">
        <v>1.9</v>
      </c>
      <c r="O35" s="37" t="s">
        <v>364</v>
      </c>
      <c r="P35" s="393">
        <v>0.0</v>
      </c>
      <c r="Q35" s="393">
        <v>0.024875214794206697</v>
      </c>
      <c r="R35" s="393">
        <v>2.6900748180774117</v>
      </c>
    </row>
    <row r="36">
      <c r="A36" s="37" t="s">
        <v>2025</v>
      </c>
      <c r="B36" s="37" t="s">
        <v>137</v>
      </c>
      <c r="C36" s="37" t="s">
        <v>53</v>
      </c>
      <c r="D36" s="38">
        <v>3.0</v>
      </c>
      <c r="E36" s="38">
        <v>48.0</v>
      </c>
      <c r="F36" s="38">
        <v>947266.0</v>
      </c>
      <c r="G36" s="38">
        <v>3565.0</v>
      </c>
      <c r="H36" s="393">
        <v>0.1807</v>
      </c>
      <c r="I36" s="393">
        <v>0.1893</v>
      </c>
      <c r="J36" s="393">
        <v>2.0E-4</v>
      </c>
      <c r="K36" s="37" t="s">
        <v>364</v>
      </c>
      <c r="L36" s="37" t="s">
        <v>364</v>
      </c>
      <c r="M36" s="37" t="s">
        <v>364</v>
      </c>
      <c r="N36" s="38">
        <v>5.0</v>
      </c>
      <c r="O36" s="37" t="s">
        <v>364</v>
      </c>
      <c r="P36" s="393">
        <v>0.0</v>
      </c>
      <c r="Q36" s="393">
        <v>2.5941907965200848</v>
      </c>
      <c r="R36" s="393">
        <v>9.59717470402384</v>
      </c>
    </row>
    <row r="37">
      <c r="A37" s="37" t="s">
        <v>2025</v>
      </c>
      <c r="B37" s="37" t="s">
        <v>339</v>
      </c>
      <c r="C37" s="37" t="s">
        <v>53</v>
      </c>
      <c r="D37" s="38">
        <v>3.0</v>
      </c>
      <c r="E37" s="38">
        <v>48.0</v>
      </c>
      <c r="F37" s="38">
        <v>517158.0</v>
      </c>
      <c r="G37" s="38">
        <v>2050.0</v>
      </c>
      <c r="H37" s="393">
        <v>0.1902</v>
      </c>
      <c r="I37" s="393">
        <v>0.2004</v>
      </c>
      <c r="J37" s="393">
        <v>3.0E-4</v>
      </c>
      <c r="K37" s="37" t="s">
        <v>364</v>
      </c>
      <c r="L37" s="37" t="s">
        <v>364</v>
      </c>
      <c r="M37" s="37" t="s">
        <v>364</v>
      </c>
      <c r="N37" s="38">
        <v>4.3</v>
      </c>
      <c r="O37" s="37" t="s">
        <v>364</v>
      </c>
      <c r="P37" s="393">
        <v>0.0</v>
      </c>
      <c r="Q37" s="393">
        <v>1.2223914998855518</v>
      </c>
      <c r="R37" s="393">
        <v>8.266159297296264</v>
      </c>
    </row>
    <row r="38">
      <c r="A38" s="37" t="s">
        <v>2025</v>
      </c>
      <c r="B38" s="37" t="s">
        <v>137</v>
      </c>
      <c r="C38" s="37" t="s">
        <v>54</v>
      </c>
      <c r="D38" s="38">
        <v>4.0</v>
      </c>
      <c r="E38" s="38">
        <v>48.0</v>
      </c>
      <c r="F38" s="38">
        <v>401483.0</v>
      </c>
      <c r="G38" s="38">
        <v>1492.0</v>
      </c>
      <c r="H38" s="393">
        <v>0.1783</v>
      </c>
      <c r="I38" s="393">
        <v>0.1825</v>
      </c>
      <c r="J38" s="393">
        <v>2.0E-4</v>
      </c>
      <c r="K38" s="37" t="s">
        <v>364</v>
      </c>
      <c r="L38" s="37" t="s">
        <v>364</v>
      </c>
      <c r="M38" s="37" t="s">
        <v>364</v>
      </c>
      <c r="N38" s="38">
        <v>9.5</v>
      </c>
      <c r="O38" s="37" t="s">
        <v>364</v>
      </c>
      <c r="P38" s="393">
        <v>1.9534446938817092</v>
      </c>
      <c r="Q38" s="393">
        <v>13.5328005925427</v>
      </c>
      <c r="R38" s="393">
        <v>14.0</v>
      </c>
    </row>
    <row r="39">
      <c r="A39" s="37" t="s">
        <v>2025</v>
      </c>
      <c r="B39" s="37" t="s">
        <v>339</v>
      </c>
      <c r="C39" s="37" t="s">
        <v>54</v>
      </c>
      <c r="D39" s="38">
        <v>4.0</v>
      </c>
      <c r="E39" s="38">
        <v>48.0</v>
      </c>
      <c r="F39" s="38">
        <v>216479.0</v>
      </c>
      <c r="G39" s="38">
        <v>835.0</v>
      </c>
      <c r="H39" s="393">
        <v>0.1851</v>
      </c>
      <c r="I39" s="393">
        <v>0.1906</v>
      </c>
      <c r="J39" s="393">
        <v>3.0E-4</v>
      </c>
      <c r="K39" s="37" t="s">
        <v>364</v>
      </c>
      <c r="L39" s="37" t="s">
        <v>364</v>
      </c>
      <c r="M39" s="37" t="s">
        <v>364</v>
      </c>
      <c r="N39" s="38">
        <v>8.3</v>
      </c>
      <c r="O39" s="37" t="s">
        <v>364</v>
      </c>
      <c r="P39" s="393">
        <v>0.10483695651451407</v>
      </c>
      <c r="Q39" s="393">
        <v>10.58179442670986</v>
      </c>
      <c r="R39" s="393">
        <v>14.0</v>
      </c>
    </row>
    <row r="40">
      <c r="A40" s="37" t="s">
        <v>2025</v>
      </c>
      <c r="B40" s="37" t="s">
        <v>137</v>
      </c>
      <c r="C40" s="37" t="s">
        <v>55</v>
      </c>
      <c r="D40" s="38">
        <v>5.0</v>
      </c>
      <c r="E40" s="38">
        <v>48.0</v>
      </c>
      <c r="F40" s="38">
        <v>52665.0</v>
      </c>
      <c r="G40" s="38">
        <v>163.0</v>
      </c>
      <c r="H40" s="393">
        <v>0.1485</v>
      </c>
      <c r="I40" s="393">
        <v>0.1501</v>
      </c>
      <c r="J40" s="393">
        <v>0.0</v>
      </c>
      <c r="K40" s="37" t="s">
        <v>364</v>
      </c>
      <c r="L40" s="37" t="s">
        <v>364</v>
      </c>
      <c r="M40" s="37" t="s">
        <v>364</v>
      </c>
      <c r="N40" s="38">
        <v>14.6</v>
      </c>
      <c r="O40" s="37" t="s">
        <v>364</v>
      </c>
      <c r="P40" s="393">
        <v>14.0</v>
      </c>
      <c r="Q40" s="393">
        <v>14.0</v>
      </c>
      <c r="R40" s="393">
        <v>14.09594298245614</v>
      </c>
    </row>
    <row r="41">
      <c r="A41" s="37" t="s">
        <v>2025</v>
      </c>
      <c r="B41" s="37" t="s">
        <v>339</v>
      </c>
      <c r="C41" s="37" t="s">
        <v>55</v>
      </c>
      <c r="D41" s="38">
        <v>5.0</v>
      </c>
      <c r="E41" s="38">
        <v>48.0</v>
      </c>
      <c r="F41" s="38">
        <v>27763.0</v>
      </c>
      <c r="G41" s="38">
        <v>92.0</v>
      </c>
      <c r="H41" s="393">
        <v>0.1584</v>
      </c>
      <c r="I41" s="393">
        <v>0.1618</v>
      </c>
      <c r="J41" s="393">
        <v>0.0</v>
      </c>
      <c r="K41" s="37" t="s">
        <v>364</v>
      </c>
      <c r="L41" s="37" t="s">
        <v>364</v>
      </c>
      <c r="M41" s="37" t="s">
        <v>364</v>
      </c>
      <c r="N41" s="38">
        <v>12.4</v>
      </c>
      <c r="O41" s="37" t="s">
        <v>364</v>
      </c>
      <c r="P41" s="393">
        <v>9.49058005003127</v>
      </c>
      <c r="Q41" s="393">
        <v>14.0</v>
      </c>
      <c r="R41" s="393">
        <v>14.0</v>
      </c>
    </row>
    <row r="42">
      <c r="A42" s="37" t="s">
        <v>2026</v>
      </c>
      <c r="B42" s="37" t="s">
        <v>137</v>
      </c>
      <c r="C42" s="37" t="s">
        <v>51</v>
      </c>
      <c r="D42" s="38">
        <v>1.0</v>
      </c>
      <c r="E42" s="38">
        <v>23.0</v>
      </c>
      <c r="F42" s="38">
        <v>975872.0</v>
      </c>
      <c r="G42" s="38">
        <v>0.0</v>
      </c>
      <c r="H42" s="393">
        <v>0.0</v>
      </c>
      <c r="I42" s="393">
        <v>0.0</v>
      </c>
      <c r="J42" s="393">
        <v>1.0</v>
      </c>
      <c r="K42" s="38">
        <v>0.0</v>
      </c>
      <c r="L42" s="38">
        <v>0.0</v>
      </c>
      <c r="M42" s="38">
        <v>0.0</v>
      </c>
      <c r="N42" s="38">
        <v>12.5</v>
      </c>
      <c r="O42" s="37" t="s">
        <v>364</v>
      </c>
      <c r="P42" s="393">
        <v>10.0</v>
      </c>
      <c r="Q42" s="393">
        <v>10.0</v>
      </c>
      <c r="R42" s="393">
        <v>15.0</v>
      </c>
    </row>
    <row r="43">
      <c r="A43" s="37" t="s">
        <v>2026</v>
      </c>
      <c r="B43" s="37" t="s">
        <v>339</v>
      </c>
      <c r="C43" s="37" t="s">
        <v>51</v>
      </c>
      <c r="D43" s="38">
        <v>1.0</v>
      </c>
      <c r="E43" s="38">
        <v>23.0</v>
      </c>
      <c r="F43" s="38">
        <v>769828.0</v>
      </c>
      <c r="G43" s="38">
        <v>0.0</v>
      </c>
      <c r="H43" s="393">
        <v>0.0</v>
      </c>
      <c r="I43" s="393">
        <v>0.0</v>
      </c>
      <c r="J43" s="393" t="s">
        <v>364</v>
      </c>
      <c r="K43" s="37" t="s">
        <v>364</v>
      </c>
      <c r="L43" s="37" t="s">
        <v>364</v>
      </c>
      <c r="M43" s="37" t="s">
        <v>364</v>
      </c>
      <c r="N43" s="37" t="s">
        <v>364</v>
      </c>
      <c r="O43" s="37" t="s">
        <v>364</v>
      </c>
      <c r="P43" s="393" t="s">
        <v>364</v>
      </c>
      <c r="Q43" s="393" t="s">
        <v>364</v>
      </c>
      <c r="R43" s="393" t="s">
        <v>364</v>
      </c>
    </row>
    <row r="44">
      <c r="A44" s="37" t="s">
        <v>2026</v>
      </c>
      <c r="B44" s="37" t="s">
        <v>137</v>
      </c>
      <c r="C44" s="37" t="s">
        <v>52</v>
      </c>
      <c r="D44" s="38">
        <v>2.0</v>
      </c>
      <c r="E44" s="38">
        <v>23.0</v>
      </c>
      <c r="F44" s="38">
        <v>641247.0</v>
      </c>
      <c r="G44" s="38">
        <v>0.0</v>
      </c>
      <c r="H44" s="393">
        <v>0.0</v>
      </c>
      <c r="I44" s="393">
        <v>0.0</v>
      </c>
      <c r="J44" s="393">
        <v>1.0</v>
      </c>
      <c r="K44" s="38">
        <v>0.0</v>
      </c>
      <c r="L44" s="38">
        <v>0.0</v>
      </c>
      <c r="M44" s="38">
        <v>0.0</v>
      </c>
      <c r="N44" s="38">
        <v>180.0</v>
      </c>
      <c r="O44" s="37" t="s">
        <v>364</v>
      </c>
      <c r="P44" s="393">
        <v>180.0</v>
      </c>
      <c r="Q44" s="393">
        <v>180.0</v>
      </c>
      <c r="R44" s="393">
        <v>180.0</v>
      </c>
    </row>
    <row r="45">
      <c r="A45" s="37" t="s">
        <v>2026</v>
      </c>
      <c r="B45" s="37" t="s">
        <v>339</v>
      </c>
      <c r="C45" s="37" t="s">
        <v>52</v>
      </c>
      <c r="D45" s="38">
        <v>2.0</v>
      </c>
      <c r="E45" s="38">
        <v>23.0</v>
      </c>
      <c r="F45" s="38">
        <v>369976.0</v>
      </c>
      <c r="G45" s="38">
        <v>0.0</v>
      </c>
      <c r="H45" s="393">
        <v>0.0</v>
      </c>
      <c r="I45" s="393">
        <v>0.0</v>
      </c>
      <c r="J45" s="393" t="s">
        <v>364</v>
      </c>
      <c r="K45" s="37" t="s">
        <v>364</v>
      </c>
      <c r="L45" s="37" t="s">
        <v>364</v>
      </c>
      <c r="M45" s="37" t="s">
        <v>364</v>
      </c>
      <c r="N45" s="37" t="s">
        <v>364</v>
      </c>
      <c r="O45" s="37" t="s">
        <v>364</v>
      </c>
      <c r="P45" s="393" t="s">
        <v>364</v>
      </c>
      <c r="Q45" s="393" t="s">
        <v>364</v>
      </c>
      <c r="R45" s="393" t="s">
        <v>364</v>
      </c>
    </row>
    <row r="46">
      <c r="A46" s="37" t="s">
        <v>2026</v>
      </c>
      <c r="B46" s="37" t="s">
        <v>137</v>
      </c>
      <c r="C46" s="37" t="s">
        <v>53</v>
      </c>
      <c r="D46" s="38">
        <v>3.0</v>
      </c>
      <c r="E46" s="38">
        <v>23.0</v>
      </c>
      <c r="F46" s="38">
        <v>367999.0</v>
      </c>
      <c r="G46" s="38">
        <v>0.0</v>
      </c>
      <c r="H46" s="393">
        <v>0.0</v>
      </c>
      <c r="I46" s="393">
        <v>0.0</v>
      </c>
      <c r="J46" s="393" t="s">
        <v>364</v>
      </c>
      <c r="K46" s="37" t="s">
        <v>364</v>
      </c>
      <c r="L46" s="37" t="s">
        <v>364</v>
      </c>
      <c r="M46" s="37" t="s">
        <v>364</v>
      </c>
      <c r="N46" s="37" t="s">
        <v>364</v>
      </c>
      <c r="O46" s="37" t="s">
        <v>364</v>
      </c>
      <c r="P46" s="393" t="s">
        <v>364</v>
      </c>
      <c r="Q46" s="393" t="s">
        <v>364</v>
      </c>
      <c r="R46" s="393" t="s">
        <v>364</v>
      </c>
    </row>
    <row r="47">
      <c r="A47" s="37" t="s">
        <v>2026</v>
      </c>
      <c r="B47" s="37" t="s">
        <v>339</v>
      </c>
      <c r="C47" s="37" t="s">
        <v>53</v>
      </c>
      <c r="D47" s="38">
        <v>3.0</v>
      </c>
      <c r="E47" s="38">
        <v>23.0</v>
      </c>
      <c r="F47" s="38">
        <v>197179.0</v>
      </c>
      <c r="G47" s="38">
        <v>0.0</v>
      </c>
      <c r="H47" s="393">
        <v>0.0</v>
      </c>
      <c r="I47" s="393">
        <v>0.0</v>
      </c>
      <c r="J47" s="393" t="s">
        <v>364</v>
      </c>
      <c r="K47" s="37" t="s">
        <v>364</v>
      </c>
      <c r="L47" s="37" t="s">
        <v>364</v>
      </c>
      <c r="M47" s="37" t="s">
        <v>364</v>
      </c>
      <c r="N47" s="37" t="s">
        <v>364</v>
      </c>
      <c r="O47" s="37" t="s">
        <v>364</v>
      </c>
      <c r="P47" s="393" t="s">
        <v>364</v>
      </c>
      <c r="Q47" s="393" t="s">
        <v>364</v>
      </c>
      <c r="R47" s="393" t="s">
        <v>364</v>
      </c>
    </row>
    <row r="48">
      <c r="A48" s="37" t="s">
        <v>2026</v>
      </c>
      <c r="B48" s="37" t="s">
        <v>137</v>
      </c>
      <c r="C48" s="37" t="s">
        <v>54</v>
      </c>
      <c r="D48" s="38">
        <v>4.0</v>
      </c>
      <c r="E48" s="38">
        <v>23.0</v>
      </c>
      <c r="F48" s="38">
        <v>159302.0</v>
      </c>
      <c r="G48" s="38">
        <v>0.0</v>
      </c>
      <c r="H48" s="393">
        <v>0.0</v>
      </c>
      <c r="I48" s="393">
        <v>0.0</v>
      </c>
      <c r="J48" s="393" t="s">
        <v>364</v>
      </c>
      <c r="K48" s="37" t="s">
        <v>364</v>
      </c>
      <c r="L48" s="37" t="s">
        <v>364</v>
      </c>
      <c r="M48" s="37" t="s">
        <v>364</v>
      </c>
      <c r="N48" s="37" t="s">
        <v>364</v>
      </c>
      <c r="O48" s="37" t="s">
        <v>364</v>
      </c>
      <c r="P48" s="393" t="s">
        <v>364</v>
      </c>
      <c r="Q48" s="393" t="s">
        <v>364</v>
      </c>
      <c r="R48" s="393" t="s">
        <v>364</v>
      </c>
    </row>
    <row r="49">
      <c r="A49" s="37" t="s">
        <v>2026</v>
      </c>
      <c r="B49" s="37" t="s">
        <v>339</v>
      </c>
      <c r="C49" s="37" t="s">
        <v>54</v>
      </c>
      <c r="D49" s="38">
        <v>4.0</v>
      </c>
      <c r="E49" s="38">
        <v>23.0</v>
      </c>
      <c r="F49" s="38">
        <v>82293.0</v>
      </c>
      <c r="G49" s="38">
        <v>0.0</v>
      </c>
      <c r="H49" s="393">
        <v>0.0</v>
      </c>
      <c r="I49" s="393">
        <v>0.0</v>
      </c>
      <c r="J49" s="393" t="s">
        <v>364</v>
      </c>
      <c r="K49" s="37" t="s">
        <v>364</v>
      </c>
      <c r="L49" s="37" t="s">
        <v>364</v>
      </c>
      <c r="M49" s="37" t="s">
        <v>364</v>
      </c>
      <c r="N49" s="37" t="s">
        <v>364</v>
      </c>
      <c r="O49" s="37" t="s">
        <v>364</v>
      </c>
      <c r="P49" s="393" t="s">
        <v>364</v>
      </c>
      <c r="Q49" s="393" t="s">
        <v>364</v>
      </c>
      <c r="R49" s="393" t="s">
        <v>364</v>
      </c>
    </row>
    <row r="50">
      <c r="A50" s="37" t="s">
        <v>2026</v>
      </c>
      <c r="B50" s="37" t="s">
        <v>137</v>
      </c>
      <c r="C50" s="37" t="s">
        <v>55</v>
      </c>
      <c r="D50" s="38">
        <v>5.0</v>
      </c>
      <c r="E50" s="38">
        <v>23.0</v>
      </c>
      <c r="F50" s="38">
        <v>19060.0</v>
      </c>
      <c r="G50" s="38">
        <v>0.0</v>
      </c>
      <c r="H50" s="393">
        <v>0.0</v>
      </c>
      <c r="I50" s="393">
        <v>0.0</v>
      </c>
      <c r="J50" s="393" t="s">
        <v>364</v>
      </c>
      <c r="K50" s="37" t="s">
        <v>364</v>
      </c>
      <c r="L50" s="37" t="s">
        <v>364</v>
      </c>
      <c r="M50" s="37" t="s">
        <v>364</v>
      </c>
      <c r="N50" s="37" t="s">
        <v>364</v>
      </c>
      <c r="O50" s="37" t="s">
        <v>364</v>
      </c>
      <c r="P50" s="393" t="s">
        <v>364</v>
      </c>
      <c r="Q50" s="393" t="s">
        <v>364</v>
      </c>
      <c r="R50" s="393" t="s">
        <v>364</v>
      </c>
    </row>
    <row r="51">
      <c r="A51" s="37" t="s">
        <v>2026</v>
      </c>
      <c r="B51" s="37" t="s">
        <v>339</v>
      </c>
      <c r="C51" s="37" t="s">
        <v>55</v>
      </c>
      <c r="D51" s="38">
        <v>5.0</v>
      </c>
      <c r="E51" s="38">
        <v>23.0</v>
      </c>
      <c r="F51" s="38">
        <v>10099.0</v>
      </c>
      <c r="G51" s="38">
        <v>0.0</v>
      </c>
      <c r="H51" s="393">
        <v>0.0</v>
      </c>
      <c r="I51" s="393">
        <v>0.0</v>
      </c>
      <c r="J51" s="393" t="s">
        <v>364</v>
      </c>
      <c r="K51" s="37" t="s">
        <v>364</v>
      </c>
      <c r="L51" s="37" t="s">
        <v>364</v>
      </c>
      <c r="M51" s="37" t="s">
        <v>364</v>
      </c>
      <c r="N51" s="37" t="s">
        <v>364</v>
      </c>
      <c r="O51" s="37" t="s">
        <v>364</v>
      </c>
      <c r="P51" s="393" t="s">
        <v>364</v>
      </c>
      <c r="Q51" s="393" t="s">
        <v>364</v>
      </c>
      <c r="R51" s="393" t="s">
        <v>364</v>
      </c>
    </row>
    <row r="52">
      <c r="A52" s="37" t="s">
        <v>41</v>
      </c>
      <c r="B52" s="37" t="s">
        <v>137</v>
      </c>
      <c r="C52" s="37" t="s">
        <v>51</v>
      </c>
      <c r="D52" s="38">
        <v>1.0</v>
      </c>
      <c r="E52" s="38">
        <v>17.0</v>
      </c>
      <c r="F52" s="38">
        <v>904456.0</v>
      </c>
      <c r="G52" s="38">
        <v>13915.0</v>
      </c>
      <c r="H52" s="393">
        <v>0.2615</v>
      </c>
      <c r="I52" s="393">
        <v>0.6436</v>
      </c>
      <c r="J52" s="393">
        <v>0.0</v>
      </c>
      <c r="K52" s="38">
        <v>3.0</v>
      </c>
      <c r="L52" s="38">
        <v>4.0</v>
      </c>
      <c r="M52" s="38">
        <v>6.0</v>
      </c>
      <c r="N52" s="38">
        <v>5.0</v>
      </c>
      <c r="O52" s="38">
        <v>0.0</v>
      </c>
      <c r="P52" s="393">
        <v>2.105791647082619</v>
      </c>
      <c r="Q52" s="393">
        <v>4.44747277063409</v>
      </c>
      <c r="R52" s="393">
        <v>8.095374131309582</v>
      </c>
    </row>
    <row r="53">
      <c r="A53" s="37" t="s">
        <v>41</v>
      </c>
      <c r="B53" s="37" t="s">
        <v>339</v>
      </c>
      <c r="C53" s="37" t="s">
        <v>51</v>
      </c>
      <c r="D53" s="38">
        <v>1.0</v>
      </c>
      <c r="E53" s="38">
        <v>17.0</v>
      </c>
      <c r="F53" s="38">
        <v>695996.0</v>
      </c>
      <c r="G53" s="38">
        <v>13048.0</v>
      </c>
      <c r="H53" s="393">
        <v>0.3187</v>
      </c>
      <c r="I53" s="393">
        <v>0.672</v>
      </c>
      <c r="J53" s="393">
        <v>0.0</v>
      </c>
      <c r="K53" s="38">
        <v>3.0</v>
      </c>
      <c r="L53" s="38">
        <v>4.0</v>
      </c>
      <c r="M53" s="38">
        <v>6.0</v>
      </c>
      <c r="N53" s="38">
        <v>4.7</v>
      </c>
      <c r="O53" s="38">
        <v>0.0</v>
      </c>
      <c r="P53" s="393">
        <v>2.0293114844077005</v>
      </c>
      <c r="Q53" s="393">
        <v>3.979224117240928</v>
      </c>
      <c r="R53" s="393">
        <v>7.391971592418948</v>
      </c>
    </row>
    <row r="54">
      <c r="A54" s="37" t="s">
        <v>41</v>
      </c>
      <c r="B54" s="37" t="s">
        <v>137</v>
      </c>
      <c r="C54" s="37" t="s">
        <v>52</v>
      </c>
      <c r="D54" s="38">
        <v>2.0</v>
      </c>
      <c r="E54" s="38">
        <v>17.0</v>
      </c>
      <c r="F54" s="38">
        <v>588657.0</v>
      </c>
      <c r="G54" s="38">
        <v>15129.0</v>
      </c>
      <c r="H54" s="393">
        <v>0.4369</v>
      </c>
      <c r="I54" s="393">
        <v>0.6881</v>
      </c>
      <c r="J54" s="393">
        <v>0.0</v>
      </c>
      <c r="K54" s="38">
        <v>2.0</v>
      </c>
      <c r="L54" s="38">
        <v>3.0</v>
      </c>
      <c r="M54" s="38">
        <v>5.0</v>
      </c>
      <c r="N54" s="38">
        <v>7.8</v>
      </c>
      <c r="O54" s="38">
        <v>0.0</v>
      </c>
      <c r="P54" s="393">
        <v>5.637450637488248</v>
      </c>
      <c r="Q54" s="393">
        <v>9.928004619772196</v>
      </c>
      <c r="R54" s="393">
        <v>10.0</v>
      </c>
    </row>
    <row r="55">
      <c r="A55" s="37" t="s">
        <v>41</v>
      </c>
      <c r="B55" s="37" t="s">
        <v>339</v>
      </c>
      <c r="C55" s="37" t="s">
        <v>52</v>
      </c>
      <c r="D55" s="38">
        <v>2.0</v>
      </c>
      <c r="E55" s="38">
        <v>17.0</v>
      </c>
      <c r="F55" s="38">
        <v>344134.0</v>
      </c>
      <c r="G55" s="38">
        <v>9433.0</v>
      </c>
      <c r="H55" s="393">
        <v>0.466</v>
      </c>
      <c r="I55" s="393">
        <v>0.6992</v>
      </c>
      <c r="J55" s="393">
        <v>0.0</v>
      </c>
      <c r="K55" s="38">
        <v>2.0</v>
      </c>
      <c r="L55" s="38">
        <v>3.0</v>
      </c>
      <c r="M55" s="38">
        <v>5.0</v>
      </c>
      <c r="N55" s="38">
        <v>7.6</v>
      </c>
      <c r="O55" s="38">
        <v>0.0</v>
      </c>
      <c r="P55" s="393">
        <v>5.155800164759921</v>
      </c>
      <c r="Q55" s="393">
        <v>9.815942124127869</v>
      </c>
      <c r="R55" s="393">
        <v>10.0</v>
      </c>
    </row>
    <row r="56">
      <c r="A56" s="37" t="s">
        <v>41</v>
      </c>
      <c r="B56" s="37" t="s">
        <v>137</v>
      </c>
      <c r="C56" s="37" t="s">
        <v>53</v>
      </c>
      <c r="D56" s="38">
        <v>3.0</v>
      </c>
      <c r="E56" s="38">
        <v>17.0</v>
      </c>
      <c r="F56" s="38">
        <v>333965.0</v>
      </c>
      <c r="G56" s="38">
        <v>10063.0</v>
      </c>
      <c r="H56" s="393">
        <v>0.5122</v>
      </c>
      <c r="I56" s="393">
        <v>0.6978</v>
      </c>
      <c r="J56" s="393">
        <v>0.0</v>
      </c>
      <c r="K56" s="38">
        <v>2.0</v>
      </c>
      <c r="L56" s="38">
        <v>3.0</v>
      </c>
      <c r="M56" s="38">
        <v>4.0</v>
      </c>
      <c r="N56" s="38">
        <v>9.1</v>
      </c>
      <c r="O56" s="38">
        <v>0.0</v>
      </c>
      <c r="P56" s="393">
        <v>9.91818525149355</v>
      </c>
      <c r="Q56" s="393">
        <v>10.0</v>
      </c>
      <c r="R56" s="393">
        <v>10.0</v>
      </c>
    </row>
    <row r="57">
      <c r="A57" s="37" t="s">
        <v>41</v>
      </c>
      <c r="B57" s="37" t="s">
        <v>339</v>
      </c>
      <c r="C57" s="37" t="s">
        <v>53</v>
      </c>
      <c r="D57" s="38">
        <v>3.0</v>
      </c>
      <c r="E57" s="38">
        <v>17.0</v>
      </c>
      <c r="F57" s="38">
        <v>182676.0</v>
      </c>
      <c r="G57" s="38">
        <v>5612.0</v>
      </c>
      <c r="H57" s="393">
        <v>0.5223</v>
      </c>
      <c r="I57" s="393">
        <v>0.6948</v>
      </c>
      <c r="J57" s="393">
        <v>0.0</v>
      </c>
      <c r="K57" s="38">
        <v>1.0</v>
      </c>
      <c r="L57" s="38">
        <v>3.0</v>
      </c>
      <c r="M57" s="38">
        <v>4.0</v>
      </c>
      <c r="N57" s="38">
        <v>8.9</v>
      </c>
      <c r="O57" s="38">
        <v>0.0</v>
      </c>
      <c r="P57" s="393">
        <v>9.75072089644012</v>
      </c>
      <c r="Q57" s="393">
        <v>10.0</v>
      </c>
      <c r="R57" s="393">
        <v>10.0</v>
      </c>
    </row>
    <row r="58">
      <c r="A58" s="37" t="s">
        <v>41</v>
      </c>
      <c r="B58" s="37" t="s">
        <v>137</v>
      </c>
      <c r="C58" s="37" t="s">
        <v>54</v>
      </c>
      <c r="D58" s="38">
        <v>4.0</v>
      </c>
      <c r="E58" s="38">
        <v>17.0</v>
      </c>
      <c r="F58" s="38">
        <v>140979.0</v>
      </c>
      <c r="G58" s="38">
        <v>4982.0</v>
      </c>
      <c r="H58" s="393">
        <v>0.6008</v>
      </c>
      <c r="I58" s="393">
        <v>0.7293</v>
      </c>
      <c r="J58" s="393">
        <v>0.0</v>
      </c>
      <c r="K58" s="38">
        <v>1.0</v>
      </c>
      <c r="L58" s="38">
        <v>2.0</v>
      </c>
      <c r="M58" s="38">
        <v>3.0</v>
      </c>
      <c r="N58" s="38">
        <v>9.7</v>
      </c>
      <c r="O58" s="38">
        <v>0.0</v>
      </c>
      <c r="P58" s="393">
        <v>10.0</v>
      </c>
      <c r="Q58" s="393">
        <v>10.0</v>
      </c>
      <c r="R58" s="393">
        <v>10.0</v>
      </c>
    </row>
    <row r="59">
      <c r="A59" s="37" t="s">
        <v>41</v>
      </c>
      <c r="B59" s="37" t="s">
        <v>339</v>
      </c>
      <c r="C59" s="37" t="s">
        <v>54</v>
      </c>
      <c r="D59" s="38">
        <v>4.0</v>
      </c>
      <c r="E59" s="38">
        <v>17.0</v>
      </c>
      <c r="F59" s="38">
        <v>76020.0</v>
      </c>
      <c r="G59" s="38">
        <v>2680.0</v>
      </c>
      <c r="H59" s="393">
        <v>0.5993</v>
      </c>
      <c r="I59" s="393">
        <v>0.7173</v>
      </c>
      <c r="J59" s="393">
        <v>0.0</v>
      </c>
      <c r="K59" s="38">
        <v>1.0</v>
      </c>
      <c r="L59" s="38">
        <v>2.0</v>
      </c>
      <c r="M59" s="38">
        <v>3.0</v>
      </c>
      <c r="N59" s="38">
        <v>9.5</v>
      </c>
      <c r="O59" s="38">
        <v>0.0</v>
      </c>
      <c r="P59" s="393">
        <v>10.0</v>
      </c>
      <c r="Q59" s="393">
        <v>10.0</v>
      </c>
      <c r="R59" s="393">
        <v>10.0</v>
      </c>
    </row>
    <row r="60">
      <c r="A60" s="37" t="s">
        <v>41</v>
      </c>
      <c r="B60" s="37" t="s">
        <v>137</v>
      </c>
      <c r="C60" s="37" t="s">
        <v>55</v>
      </c>
      <c r="D60" s="38">
        <v>5.0</v>
      </c>
      <c r="E60" s="38">
        <v>17.0</v>
      </c>
      <c r="F60" s="38">
        <v>18718.0</v>
      </c>
      <c r="G60" s="38">
        <v>746.0</v>
      </c>
      <c r="H60" s="393">
        <v>0.678</v>
      </c>
      <c r="I60" s="393">
        <v>0.756</v>
      </c>
      <c r="J60" s="393">
        <v>0.0</v>
      </c>
      <c r="K60" s="38">
        <v>1.0</v>
      </c>
      <c r="L60" s="38">
        <v>2.0</v>
      </c>
      <c r="M60" s="38">
        <v>3.0</v>
      </c>
      <c r="N60" s="38">
        <v>9.9</v>
      </c>
      <c r="O60" s="38">
        <v>0.0</v>
      </c>
      <c r="P60" s="393">
        <v>10.0</v>
      </c>
      <c r="Q60" s="393">
        <v>10.0</v>
      </c>
      <c r="R60" s="393">
        <v>10.0</v>
      </c>
    </row>
    <row r="61">
      <c r="A61" s="37" t="s">
        <v>41</v>
      </c>
      <c r="B61" s="37" t="s">
        <v>339</v>
      </c>
      <c r="C61" s="37" t="s">
        <v>55</v>
      </c>
      <c r="D61" s="38">
        <v>5.0</v>
      </c>
      <c r="E61" s="38">
        <v>17.0</v>
      </c>
      <c r="F61" s="38">
        <v>9997.0</v>
      </c>
      <c r="G61" s="38">
        <v>391.0</v>
      </c>
      <c r="H61" s="393">
        <v>0.6656</v>
      </c>
      <c r="I61" s="393">
        <v>0.738</v>
      </c>
      <c r="J61" s="393">
        <v>0.0</v>
      </c>
      <c r="K61" s="38">
        <v>1.0</v>
      </c>
      <c r="L61" s="38">
        <v>2.0</v>
      </c>
      <c r="M61" s="38">
        <v>3.0</v>
      </c>
      <c r="N61" s="38">
        <v>9.8</v>
      </c>
      <c r="O61" s="38">
        <v>0.0</v>
      </c>
      <c r="P61" s="393">
        <v>10.0</v>
      </c>
      <c r="Q61" s="393">
        <v>10.0</v>
      </c>
      <c r="R61" s="393">
        <v>10.0</v>
      </c>
    </row>
    <row r="62">
      <c r="A62" s="37" t="s">
        <v>44</v>
      </c>
      <c r="B62" s="37" t="s">
        <v>137</v>
      </c>
      <c r="C62" s="37" t="s">
        <v>51</v>
      </c>
      <c r="D62" s="38">
        <v>1.0</v>
      </c>
      <c r="E62" s="38">
        <v>19.0</v>
      </c>
      <c r="F62" s="38">
        <v>1030668.0</v>
      </c>
      <c r="G62" s="38">
        <v>13230.0</v>
      </c>
      <c r="H62" s="393">
        <v>0.2439</v>
      </c>
      <c r="I62" s="393">
        <v>0.3184</v>
      </c>
      <c r="J62" s="393">
        <v>0.0</v>
      </c>
      <c r="K62" s="38">
        <v>2.0</v>
      </c>
      <c r="L62" s="38">
        <v>3.0</v>
      </c>
      <c r="M62" s="38">
        <v>4.0</v>
      </c>
      <c r="N62" s="38">
        <v>1123.6</v>
      </c>
      <c r="O62" s="38">
        <v>0.0</v>
      </c>
      <c r="P62" s="393">
        <v>167.63329584361617</v>
      </c>
      <c r="Q62" s="393">
        <v>451.03640390884516</v>
      </c>
      <c r="R62" s="393">
        <v>1244.76328463138</v>
      </c>
    </row>
    <row r="63">
      <c r="A63" s="37" t="s">
        <v>44</v>
      </c>
      <c r="B63" s="37" t="s">
        <v>339</v>
      </c>
      <c r="C63" s="37" t="s">
        <v>51</v>
      </c>
      <c r="D63" s="38">
        <v>1.0</v>
      </c>
      <c r="E63" s="38">
        <v>19.0</v>
      </c>
      <c r="F63" s="38">
        <v>795386.0</v>
      </c>
      <c r="G63" s="38">
        <v>12239.0</v>
      </c>
      <c r="H63" s="393">
        <v>0.2924</v>
      </c>
      <c r="I63" s="393">
        <v>0.3842</v>
      </c>
      <c r="J63" s="393">
        <v>0.0</v>
      </c>
      <c r="K63" s="38">
        <v>2.0</v>
      </c>
      <c r="L63" s="38">
        <v>3.0</v>
      </c>
      <c r="M63" s="38">
        <v>4.0</v>
      </c>
      <c r="N63" s="38">
        <v>1006.3</v>
      </c>
      <c r="O63" s="38">
        <v>0.0</v>
      </c>
      <c r="P63" s="393">
        <v>139.4828262659215</v>
      </c>
      <c r="Q63" s="393">
        <v>368.384602536472</v>
      </c>
      <c r="R63" s="393">
        <v>985.8320704141628</v>
      </c>
    </row>
    <row r="64">
      <c r="A64" s="37" t="s">
        <v>44</v>
      </c>
      <c r="B64" s="37" t="s">
        <v>137</v>
      </c>
      <c r="C64" s="37" t="s">
        <v>52</v>
      </c>
      <c r="D64" s="38">
        <v>2.0</v>
      </c>
      <c r="E64" s="38">
        <v>19.0</v>
      </c>
      <c r="F64" s="38">
        <v>682350.0</v>
      </c>
      <c r="G64" s="38">
        <v>14733.0</v>
      </c>
      <c r="H64" s="393">
        <v>0.4102</v>
      </c>
      <c r="I64" s="393">
        <v>0.464</v>
      </c>
      <c r="J64" s="393">
        <v>0.0</v>
      </c>
      <c r="K64" s="38">
        <v>1.0</v>
      </c>
      <c r="L64" s="38">
        <v>2.0</v>
      </c>
      <c r="M64" s="38">
        <v>3.0</v>
      </c>
      <c r="N64" s="38">
        <v>2636.2</v>
      </c>
      <c r="O64" s="38">
        <v>0.0</v>
      </c>
      <c r="P64" s="393">
        <v>424.8555743149403</v>
      </c>
      <c r="Q64" s="393">
        <v>1243.1915039218095</v>
      </c>
      <c r="R64" s="393">
        <v>3494.9370107226123</v>
      </c>
    </row>
    <row r="65">
      <c r="A65" s="37" t="s">
        <v>44</v>
      </c>
      <c r="B65" s="37" t="s">
        <v>339</v>
      </c>
      <c r="C65" s="37" t="s">
        <v>52</v>
      </c>
      <c r="D65" s="38">
        <v>2.0</v>
      </c>
      <c r="E65" s="38">
        <v>19.0</v>
      </c>
      <c r="F65" s="38">
        <v>398976.0</v>
      </c>
      <c r="G65" s="38">
        <v>9243.0</v>
      </c>
      <c r="H65" s="393">
        <v>0.4402</v>
      </c>
      <c r="I65" s="393">
        <v>0.5092</v>
      </c>
      <c r="J65" s="393">
        <v>0.0</v>
      </c>
      <c r="K65" s="38">
        <v>1.0</v>
      </c>
      <c r="L65" s="38">
        <v>2.0</v>
      </c>
      <c r="M65" s="38">
        <v>3.0</v>
      </c>
      <c r="N65" s="38">
        <v>2778.0</v>
      </c>
      <c r="O65" s="38">
        <v>0.0</v>
      </c>
      <c r="P65" s="393">
        <v>344.4121480540949</v>
      </c>
      <c r="Q65" s="393">
        <v>1062.3886698100875</v>
      </c>
      <c r="R65" s="393">
        <v>3566.053844763842</v>
      </c>
    </row>
    <row r="66">
      <c r="A66" s="37" t="s">
        <v>44</v>
      </c>
      <c r="B66" s="37" t="s">
        <v>137</v>
      </c>
      <c r="C66" s="37" t="s">
        <v>53</v>
      </c>
      <c r="D66" s="38">
        <v>3.0</v>
      </c>
      <c r="E66" s="38">
        <v>19.0</v>
      </c>
      <c r="F66" s="38">
        <v>391002.0</v>
      </c>
      <c r="G66" s="38">
        <v>10198.0</v>
      </c>
      <c r="H66" s="393">
        <v>0.4955</v>
      </c>
      <c r="I66" s="393">
        <v>0.5323</v>
      </c>
      <c r="J66" s="393">
        <v>0.0</v>
      </c>
      <c r="K66" s="38">
        <v>1.0</v>
      </c>
      <c r="L66" s="38">
        <v>2.0</v>
      </c>
      <c r="M66" s="38">
        <v>3.0</v>
      </c>
      <c r="N66" s="38">
        <v>4537.8</v>
      </c>
      <c r="O66" s="38">
        <v>0.0</v>
      </c>
      <c r="P66" s="393">
        <v>875.5147108934964</v>
      </c>
      <c r="Q66" s="393">
        <v>2708.3310153861257</v>
      </c>
      <c r="R66" s="393">
        <v>6587.41225685445</v>
      </c>
    </row>
    <row r="67">
      <c r="A67" s="37" t="s">
        <v>44</v>
      </c>
      <c r="B67" s="37" t="s">
        <v>339</v>
      </c>
      <c r="C67" s="37" t="s">
        <v>53</v>
      </c>
      <c r="D67" s="38">
        <v>3.0</v>
      </c>
      <c r="E67" s="38">
        <v>19.0</v>
      </c>
      <c r="F67" s="38">
        <v>213556.0</v>
      </c>
      <c r="G67" s="38">
        <v>5820.0</v>
      </c>
      <c r="H67" s="393">
        <v>0.5178</v>
      </c>
      <c r="I67" s="393">
        <v>0.5658</v>
      </c>
      <c r="J67" s="393">
        <v>0.0</v>
      </c>
      <c r="K67" s="38">
        <v>1.0</v>
      </c>
      <c r="L67" s="38">
        <v>2.0</v>
      </c>
      <c r="M67" s="38">
        <v>3.0</v>
      </c>
      <c r="N67" s="38">
        <v>5015.2</v>
      </c>
      <c r="O67" s="38">
        <v>0.0</v>
      </c>
      <c r="P67" s="393">
        <v>694.700688626435</v>
      </c>
      <c r="Q67" s="393">
        <v>2573.3954193668756</v>
      </c>
      <c r="R67" s="393">
        <v>7375.622781858146</v>
      </c>
    </row>
    <row r="68">
      <c r="A68" s="37" t="s">
        <v>44</v>
      </c>
      <c r="B68" s="37" t="s">
        <v>137</v>
      </c>
      <c r="C68" s="37" t="s">
        <v>54</v>
      </c>
      <c r="D68" s="38">
        <v>4.0</v>
      </c>
      <c r="E68" s="38">
        <v>19.0</v>
      </c>
      <c r="F68" s="38">
        <v>166426.0</v>
      </c>
      <c r="G68" s="38">
        <v>5217.0</v>
      </c>
      <c r="H68" s="393">
        <v>0.5956</v>
      </c>
      <c r="I68" s="393">
        <v>0.6191</v>
      </c>
      <c r="J68" s="393">
        <v>0.0</v>
      </c>
      <c r="K68" s="38">
        <v>1.0</v>
      </c>
      <c r="L68" s="38">
        <v>1.0</v>
      </c>
      <c r="M68" s="38">
        <v>2.0</v>
      </c>
      <c r="N68" s="38">
        <v>6905.2</v>
      </c>
      <c r="O68" s="38">
        <v>0.0</v>
      </c>
      <c r="P68" s="393">
        <v>1737.2875875442323</v>
      </c>
      <c r="Q68" s="393">
        <v>5041.711409245507</v>
      </c>
      <c r="R68" s="393">
        <v>10496.738282466695</v>
      </c>
    </row>
    <row r="69">
      <c r="A69" s="37" t="s">
        <v>44</v>
      </c>
      <c r="B69" s="37" t="s">
        <v>339</v>
      </c>
      <c r="C69" s="37" t="s">
        <v>54</v>
      </c>
      <c r="D69" s="38">
        <v>4.0</v>
      </c>
      <c r="E69" s="38">
        <v>19.0</v>
      </c>
      <c r="F69" s="38">
        <v>89966.0</v>
      </c>
      <c r="G69" s="38">
        <v>2891.0</v>
      </c>
      <c r="H69" s="393">
        <v>0.6105</v>
      </c>
      <c r="I69" s="393">
        <v>0.6414</v>
      </c>
      <c r="J69" s="393">
        <v>0.0</v>
      </c>
      <c r="K69" s="38">
        <v>1.0</v>
      </c>
      <c r="L69" s="38">
        <v>1.0</v>
      </c>
      <c r="M69" s="38">
        <v>2.0</v>
      </c>
      <c r="N69" s="38">
        <v>7691.2</v>
      </c>
      <c r="O69" s="38">
        <v>0.0</v>
      </c>
      <c r="P69" s="393">
        <v>1472.3271057270572</v>
      </c>
      <c r="Q69" s="393">
        <v>5227.716389520694</v>
      </c>
      <c r="R69" s="393">
        <v>11942.334851167634</v>
      </c>
    </row>
    <row r="70">
      <c r="A70" s="37" t="s">
        <v>44</v>
      </c>
      <c r="B70" s="37" t="s">
        <v>137</v>
      </c>
      <c r="C70" s="37" t="s">
        <v>55</v>
      </c>
      <c r="D70" s="38">
        <v>5.0</v>
      </c>
      <c r="E70" s="38">
        <v>19.0</v>
      </c>
      <c r="F70" s="38">
        <v>21379.0</v>
      </c>
      <c r="G70" s="38">
        <v>750.0</v>
      </c>
      <c r="H70" s="393">
        <v>0.6665</v>
      </c>
      <c r="I70" s="393">
        <v>0.6774</v>
      </c>
      <c r="J70" s="393">
        <v>0.0</v>
      </c>
      <c r="K70" s="38">
        <v>1.0</v>
      </c>
      <c r="L70" s="38">
        <v>1.0</v>
      </c>
      <c r="M70" s="38">
        <v>2.0</v>
      </c>
      <c r="N70" s="38">
        <v>8887.8</v>
      </c>
      <c r="O70" s="38">
        <v>0.0</v>
      </c>
      <c r="P70" s="393">
        <v>2914.667907273427</v>
      </c>
      <c r="Q70" s="393">
        <v>6969.002298146169</v>
      </c>
      <c r="R70" s="393">
        <v>13167.34600228492</v>
      </c>
    </row>
    <row r="71">
      <c r="A71" s="37" t="s">
        <v>44</v>
      </c>
      <c r="B71" s="37" t="s">
        <v>339</v>
      </c>
      <c r="C71" s="37" t="s">
        <v>55</v>
      </c>
      <c r="D71" s="38">
        <v>5.0</v>
      </c>
      <c r="E71" s="38">
        <v>19.0</v>
      </c>
      <c r="F71" s="38">
        <v>11373.0</v>
      </c>
      <c r="G71" s="38">
        <v>406.0</v>
      </c>
      <c r="H71" s="393">
        <v>0.6777</v>
      </c>
      <c r="I71" s="393">
        <v>0.6937</v>
      </c>
      <c r="J71" s="393">
        <v>0.0</v>
      </c>
      <c r="K71" s="38">
        <v>1.0</v>
      </c>
      <c r="L71" s="38">
        <v>1.0</v>
      </c>
      <c r="M71" s="38">
        <v>2.0</v>
      </c>
      <c r="N71" s="38">
        <v>10094.0</v>
      </c>
      <c r="O71" s="38">
        <v>0.0</v>
      </c>
      <c r="P71" s="393">
        <v>3092.5298512448476</v>
      </c>
      <c r="Q71" s="393">
        <v>8097.115144703328</v>
      </c>
      <c r="R71" s="393">
        <v>15268.452791549069</v>
      </c>
    </row>
    <row r="72">
      <c r="A72" s="37" t="s">
        <v>39</v>
      </c>
      <c r="B72" s="37" t="s">
        <v>137</v>
      </c>
      <c r="C72" s="37" t="s">
        <v>51</v>
      </c>
      <c r="D72" s="38">
        <v>1.0</v>
      </c>
      <c r="E72" s="38">
        <v>4.0</v>
      </c>
      <c r="F72" s="38">
        <v>287298.0</v>
      </c>
      <c r="G72" s="38">
        <v>52679.0</v>
      </c>
      <c r="H72" s="393">
        <v>0.7334</v>
      </c>
      <c r="I72" s="393">
        <v>0.9203</v>
      </c>
      <c r="J72" s="393">
        <v>0.0</v>
      </c>
      <c r="K72" s="37" t="s">
        <v>364</v>
      </c>
      <c r="L72" s="37" t="s">
        <v>364</v>
      </c>
      <c r="M72" s="37" t="s">
        <v>364</v>
      </c>
      <c r="N72" s="38">
        <v>19.0</v>
      </c>
      <c r="O72" s="37" t="s">
        <v>364</v>
      </c>
      <c r="P72" s="393">
        <v>6.130881090771609</v>
      </c>
      <c r="Q72" s="393">
        <v>13.176357970484315</v>
      </c>
      <c r="R72" s="393">
        <v>24.692558727859776</v>
      </c>
    </row>
    <row r="73">
      <c r="A73" s="37" t="s">
        <v>39</v>
      </c>
      <c r="B73" s="37" t="s">
        <v>339</v>
      </c>
      <c r="C73" s="37" t="s">
        <v>51</v>
      </c>
      <c r="D73" s="38">
        <v>1.0</v>
      </c>
      <c r="E73" s="38">
        <v>4.0</v>
      </c>
      <c r="F73" s="38">
        <v>211777.0</v>
      </c>
      <c r="G73" s="38">
        <v>43098.0</v>
      </c>
      <c r="H73" s="393">
        <v>0.814</v>
      </c>
      <c r="I73" s="393">
        <v>0.9405</v>
      </c>
      <c r="J73" s="393">
        <v>0.0</v>
      </c>
      <c r="K73" s="37" t="s">
        <v>364</v>
      </c>
      <c r="L73" s="37" t="s">
        <v>364</v>
      </c>
      <c r="M73" s="37" t="s">
        <v>364</v>
      </c>
      <c r="N73" s="38">
        <v>18.1</v>
      </c>
      <c r="O73" s="37" t="s">
        <v>364</v>
      </c>
      <c r="P73" s="393">
        <v>6.091014645471022</v>
      </c>
      <c r="Q73" s="393">
        <v>12.896180799478522</v>
      </c>
      <c r="R73" s="393">
        <v>23.77695782641097</v>
      </c>
    </row>
    <row r="74">
      <c r="A74" s="37" t="s">
        <v>39</v>
      </c>
      <c r="B74" s="37" t="s">
        <v>137</v>
      </c>
      <c r="C74" s="37" t="s">
        <v>52</v>
      </c>
      <c r="D74" s="38">
        <v>2.0</v>
      </c>
      <c r="E74" s="38">
        <v>4.0</v>
      </c>
      <c r="F74" s="38">
        <v>177672.0</v>
      </c>
      <c r="G74" s="38">
        <v>39848.0</v>
      </c>
      <c r="H74" s="393">
        <v>0.8971</v>
      </c>
      <c r="I74" s="393">
        <v>0.9391</v>
      </c>
      <c r="J74" s="393">
        <v>0.0</v>
      </c>
      <c r="K74" s="37" t="s">
        <v>364</v>
      </c>
      <c r="L74" s="37" t="s">
        <v>364</v>
      </c>
      <c r="M74" s="37" t="s">
        <v>364</v>
      </c>
      <c r="N74" s="38">
        <v>48.5</v>
      </c>
      <c r="O74" s="37" t="s">
        <v>364</v>
      </c>
      <c r="P74" s="393">
        <v>21.18809066273551</v>
      </c>
      <c r="Q74" s="393">
        <v>39.18330127234012</v>
      </c>
      <c r="R74" s="393">
        <v>62.47178368664116</v>
      </c>
    </row>
    <row r="75">
      <c r="A75" s="37" t="s">
        <v>39</v>
      </c>
      <c r="B75" s="37" t="s">
        <v>339</v>
      </c>
      <c r="C75" s="37" t="s">
        <v>52</v>
      </c>
      <c r="D75" s="38">
        <v>2.0</v>
      </c>
      <c r="E75" s="38">
        <v>4.0</v>
      </c>
      <c r="F75" s="38">
        <v>102076.0</v>
      </c>
      <c r="G75" s="38">
        <v>23316.0</v>
      </c>
      <c r="H75" s="393">
        <v>0.9137</v>
      </c>
      <c r="I75" s="393">
        <v>0.9458</v>
      </c>
      <c r="J75" s="393">
        <v>0.0</v>
      </c>
      <c r="K75" s="37" t="s">
        <v>364</v>
      </c>
      <c r="L75" s="37" t="s">
        <v>364</v>
      </c>
      <c r="M75" s="37" t="s">
        <v>364</v>
      </c>
      <c r="N75" s="38">
        <v>46.9</v>
      </c>
      <c r="O75" s="37" t="s">
        <v>364</v>
      </c>
      <c r="P75" s="393">
        <v>20.34976486112945</v>
      </c>
      <c r="Q75" s="393">
        <v>38.71855371463902</v>
      </c>
      <c r="R75" s="393">
        <v>62.53450993147968</v>
      </c>
    </row>
    <row r="76">
      <c r="A76" s="37" t="s">
        <v>39</v>
      </c>
      <c r="B76" s="37" t="s">
        <v>137</v>
      </c>
      <c r="C76" s="37" t="s">
        <v>53</v>
      </c>
      <c r="D76" s="38">
        <v>3.0</v>
      </c>
      <c r="E76" s="38">
        <v>4.0</v>
      </c>
      <c r="F76" s="38">
        <v>102248.0</v>
      </c>
      <c r="G76" s="38">
        <v>23372.0</v>
      </c>
      <c r="H76" s="393">
        <v>0.9143</v>
      </c>
      <c r="I76" s="393">
        <v>0.9383</v>
      </c>
      <c r="J76" s="393">
        <v>0.0</v>
      </c>
      <c r="K76" s="37" t="s">
        <v>364</v>
      </c>
      <c r="L76" s="37" t="s">
        <v>364</v>
      </c>
      <c r="M76" s="37" t="s">
        <v>364</v>
      </c>
      <c r="N76" s="38">
        <v>86.2</v>
      </c>
      <c r="O76" s="37" t="s">
        <v>364</v>
      </c>
      <c r="P76" s="393">
        <v>42.575962696358374</v>
      </c>
      <c r="Q76" s="393">
        <v>80.27959608348513</v>
      </c>
      <c r="R76" s="393">
        <v>124.26463646057552</v>
      </c>
    </row>
    <row r="77">
      <c r="A77" s="37" t="s">
        <v>39</v>
      </c>
      <c r="B77" s="37" t="s">
        <v>339</v>
      </c>
      <c r="C77" s="37" t="s">
        <v>53</v>
      </c>
      <c r="D77" s="38">
        <v>3.0</v>
      </c>
      <c r="E77" s="38">
        <v>4.0</v>
      </c>
      <c r="F77" s="38">
        <v>56009.0</v>
      </c>
      <c r="G77" s="38">
        <v>12842.0</v>
      </c>
      <c r="H77" s="393">
        <v>0.9171</v>
      </c>
      <c r="I77" s="393">
        <v>0.9365</v>
      </c>
      <c r="J77" s="393">
        <v>0.0</v>
      </c>
      <c r="K77" s="37" t="s">
        <v>364</v>
      </c>
      <c r="L77" s="37" t="s">
        <v>364</v>
      </c>
      <c r="M77" s="37" t="s">
        <v>364</v>
      </c>
      <c r="N77" s="38">
        <v>80.7</v>
      </c>
      <c r="O77" s="37" t="s">
        <v>364</v>
      </c>
      <c r="P77" s="393">
        <v>39.008071228363804</v>
      </c>
      <c r="Q77" s="393">
        <v>72.36132477721321</v>
      </c>
      <c r="R77" s="393">
        <v>117.24540207601561</v>
      </c>
    </row>
    <row r="78">
      <c r="A78" s="37" t="s">
        <v>39</v>
      </c>
      <c r="B78" s="37" t="s">
        <v>137</v>
      </c>
      <c r="C78" s="37" t="s">
        <v>54</v>
      </c>
      <c r="D78" s="38">
        <v>4.0</v>
      </c>
      <c r="E78" s="38">
        <v>4.0</v>
      </c>
      <c r="F78" s="38">
        <v>42673.0</v>
      </c>
      <c r="G78" s="38">
        <v>10009.0</v>
      </c>
      <c r="H78" s="393">
        <v>0.9382</v>
      </c>
      <c r="I78" s="393">
        <v>0.948</v>
      </c>
      <c r="J78" s="393">
        <v>0.0</v>
      </c>
      <c r="K78" s="37" t="s">
        <v>364</v>
      </c>
      <c r="L78" s="37" t="s">
        <v>364</v>
      </c>
      <c r="M78" s="37" t="s">
        <v>364</v>
      </c>
      <c r="N78" s="38">
        <v>140.6</v>
      </c>
      <c r="O78" s="37" t="s">
        <v>364</v>
      </c>
      <c r="P78" s="393">
        <v>94.33666100918461</v>
      </c>
      <c r="Q78" s="393">
        <v>147.37093639253902</v>
      </c>
      <c r="R78" s="393">
        <v>167.12859330150954</v>
      </c>
    </row>
    <row r="79">
      <c r="A79" s="37" t="s">
        <v>39</v>
      </c>
      <c r="B79" s="37" t="s">
        <v>339</v>
      </c>
      <c r="C79" s="37" t="s">
        <v>54</v>
      </c>
      <c r="D79" s="38">
        <v>4.0</v>
      </c>
      <c r="E79" s="38">
        <v>4.0</v>
      </c>
      <c r="F79" s="38">
        <v>23619.0</v>
      </c>
      <c r="G79" s="38">
        <v>5469.0</v>
      </c>
      <c r="H79" s="393">
        <v>0.9262</v>
      </c>
      <c r="I79" s="393">
        <v>0.9349</v>
      </c>
      <c r="J79" s="393">
        <v>0.0</v>
      </c>
      <c r="K79" s="37" t="s">
        <v>364</v>
      </c>
      <c r="L79" s="37" t="s">
        <v>364</v>
      </c>
      <c r="M79" s="37" t="s">
        <v>364</v>
      </c>
      <c r="N79" s="38">
        <v>127.0</v>
      </c>
      <c r="O79" s="37" t="s">
        <v>364</v>
      </c>
      <c r="P79" s="393">
        <v>81.82020730015084</v>
      </c>
      <c r="Q79" s="393">
        <v>142.67508276267188</v>
      </c>
      <c r="R79" s="393">
        <v>159.74504135820936</v>
      </c>
    </row>
    <row r="80">
      <c r="A80" s="37" t="s">
        <v>39</v>
      </c>
      <c r="B80" s="37" t="s">
        <v>137</v>
      </c>
      <c r="C80" s="37" t="s">
        <v>55</v>
      </c>
      <c r="D80" s="38">
        <v>5.0</v>
      </c>
      <c r="E80" s="38">
        <v>4.0</v>
      </c>
      <c r="F80" s="38">
        <v>5368.0</v>
      </c>
      <c r="G80" s="38">
        <v>1252.0</v>
      </c>
      <c r="H80" s="393">
        <v>0.9326</v>
      </c>
      <c r="I80" s="393">
        <v>0.9376</v>
      </c>
      <c r="J80" s="393">
        <v>0.0</v>
      </c>
      <c r="K80" s="37" t="s">
        <v>364</v>
      </c>
      <c r="L80" s="37" t="s">
        <v>364</v>
      </c>
      <c r="M80" s="37" t="s">
        <v>364</v>
      </c>
      <c r="N80" s="38">
        <v>193.9</v>
      </c>
      <c r="O80" s="37" t="s">
        <v>364</v>
      </c>
      <c r="P80" s="393">
        <v>148.94342587051673</v>
      </c>
      <c r="Q80" s="393">
        <v>163.8407018930983</v>
      </c>
      <c r="R80" s="393">
        <v>205.6415818816181</v>
      </c>
    </row>
    <row r="81">
      <c r="A81" s="37" t="s">
        <v>39</v>
      </c>
      <c r="B81" s="37" t="s">
        <v>339</v>
      </c>
      <c r="C81" s="37" t="s">
        <v>55</v>
      </c>
      <c r="D81" s="38">
        <v>5.0</v>
      </c>
      <c r="E81" s="38">
        <v>4.0</v>
      </c>
      <c r="F81" s="38">
        <v>2983.0</v>
      </c>
      <c r="G81" s="38">
        <v>684.0</v>
      </c>
      <c r="H81" s="393">
        <v>0.9165</v>
      </c>
      <c r="I81" s="393">
        <v>0.9216</v>
      </c>
      <c r="J81" s="393">
        <v>0.0</v>
      </c>
      <c r="K81" s="37" t="s">
        <v>364</v>
      </c>
      <c r="L81" s="37" t="s">
        <v>364</v>
      </c>
      <c r="M81" s="37" t="s">
        <v>364</v>
      </c>
      <c r="N81" s="38">
        <v>169.1</v>
      </c>
      <c r="O81" s="37" t="s">
        <v>364</v>
      </c>
      <c r="P81" s="393">
        <v>147.25517672818265</v>
      </c>
      <c r="Q81" s="393">
        <v>159.6508647852406</v>
      </c>
      <c r="R81" s="393">
        <v>178.2962671131685</v>
      </c>
    </row>
    <row r="82">
      <c r="A82" s="37" t="s">
        <v>368</v>
      </c>
      <c r="B82" s="37" t="s">
        <v>137</v>
      </c>
      <c r="C82" s="37" t="s">
        <v>51</v>
      </c>
      <c r="D82" s="38">
        <v>1.0</v>
      </c>
      <c r="E82" s="38">
        <v>2.0</v>
      </c>
      <c r="F82" s="38">
        <v>154945.0</v>
      </c>
      <c r="G82" s="38">
        <v>61073.0</v>
      </c>
      <c r="H82" s="393">
        <v>0.7883</v>
      </c>
      <c r="I82" s="393">
        <v>0.934</v>
      </c>
      <c r="J82" s="393">
        <v>0.6957</v>
      </c>
      <c r="K82" s="37" t="s">
        <v>364</v>
      </c>
      <c r="L82" s="37" t="s">
        <v>364</v>
      </c>
      <c r="M82" s="37" t="s">
        <v>364</v>
      </c>
      <c r="N82" s="38">
        <v>119.5</v>
      </c>
      <c r="O82" s="37" t="s">
        <v>364</v>
      </c>
      <c r="P82" s="393">
        <v>36.62814573034466</v>
      </c>
      <c r="Q82" s="393">
        <v>85.0563505611654</v>
      </c>
      <c r="R82" s="393">
        <v>167.5362636621204</v>
      </c>
    </row>
    <row r="83">
      <c r="A83" s="37" t="s">
        <v>368</v>
      </c>
      <c r="B83" s="37" t="s">
        <v>339</v>
      </c>
      <c r="C83" s="37" t="s">
        <v>51</v>
      </c>
      <c r="D83" s="38">
        <v>1.0</v>
      </c>
      <c r="E83" s="38">
        <v>2.0</v>
      </c>
      <c r="F83" s="38">
        <v>111466.0</v>
      </c>
      <c r="G83" s="38">
        <v>47914.0</v>
      </c>
      <c r="H83" s="393">
        <v>0.8597</v>
      </c>
      <c r="I83" s="393">
        <v>0.955</v>
      </c>
      <c r="J83" s="393">
        <v>0.7171</v>
      </c>
      <c r="K83" s="37" t="s">
        <v>364</v>
      </c>
      <c r="L83" s="37" t="s">
        <v>364</v>
      </c>
      <c r="M83" s="37" t="s">
        <v>364</v>
      </c>
      <c r="N83" s="38">
        <v>111.3</v>
      </c>
      <c r="O83" s="37" t="s">
        <v>364</v>
      </c>
      <c r="P83" s="393">
        <v>34.78669461230031</v>
      </c>
      <c r="Q83" s="393">
        <v>79.02134695395469</v>
      </c>
      <c r="R83" s="393">
        <v>154.591021583911</v>
      </c>
    </row>
    <row r="84">
      <c r="A84" s="37" t="s">
        <v>368</v>
      </c>
      <c r="B84" s="37" t="s">
        <v>137</v>
      </c>
      <c r="C84" s="37" t="s">
        <v>52</v>
      </c>
      <c r="D84" s="38">
        <v>2.0</v>
      </c>
      <c r="E84" s="38">
        <v>2.0</v>
      </c>
      <c r="F84" s="38">
        <v>91635.0</v>
      </c>
      <c r="G84" s="38">
        <v>41926.0</v>
      </c>
      <c r="H84" s="393">
        <v>0.9151</v>
      </c>
      <c r="I84" s="393">
        <v>0.953</v>
      </c>
      <c r="J84" s="393">
        <v>0.8548</v>
      </c>
      <c r="K84" s="37" t="s">
        <v>364</v>
      </c>
      <c r="L84" s="37" t="s">
        <v>364</v>
      </c>
      <c r="M84" s="37" t="s">
        <v>364</v>
      </c>
      <c r="N84" s="38">
        <v>369.4</v>
      </c>
      <c r="O84" s="37" t="s">
        <v>364</v>
      </c>
      <c r="P84" s="393">
        <v>170.61954792897757</v>
      </c>
      <c r="Q84" s="393">
        <v>316.78694034066234</v>
      </c>
      <c r="R84" s="393">
        <v>487.02757516155316</v>
      </c>
    </row>
    <row r="85">
      <c r="A85" s="37" t="s">
        <v>368</v>
      </c>
      <c r="B85" s="37" t="s">
        <v>339</v>
      </c>
      <c r="C85" s="37" t="s">
        <v>52</v>
      </c>
      <c r="D85" s="38">
        <v>2.0</v>
      </c>
      <c r="E85" s="38">
        <v>2.0</v>
      </c>
      <c r="F85" s="38">
        <v>52676.0</v>
      </c>
      <c r="G85" s="38">
        <v>24626.0</v>
      </c>
      <c r="H85" s="393">
        <v>0.935</v>
      </c>
      <c r="I85" s="393">
        <v>0.9599</v>
      </c>
      <c r="J85" s="393">
        <v>0.861</v>
      </c>
      <c r="K85" s="37" t="s">
        <v>364</v>
      </c>
      <c r="L85" s="37" t="s">
        <v>364</v>
      </c>
      <c r="M85" s="37" t="s">
        <v>364</v>
      </c>
      <c r="N85" s="38">
        <v>347.8</v>
      </c>
      <c r="O85" s="37" t="s">
        <v>364</v>
      </c>
      <c r="P85" s="393">
        <v>162.09609343745552</v>
      </c>
      <c r="Q85" s="393">
        <v>302.3840849957664</v>
      </c>
      <c r="R85" s="393">
        <v>458.601479491221</v>
      </c>
    </row>
    <row r="86">
      <c r="A86" s="37" t="s">
        <v>368</v>
      </c>
      <c r="B86" s="37" t="s">
        <v>137</v>
      </c>
      <c r="C86" s="37" t="s">
        <v>53</v>
      </c>
      <c r="D86" s="38">
        <v>3.0</v>
      </c>
      <c r="E86" s="38">
        <v>2.0</v>
      </c>
      <c r="F86" s="38">
        <v>53810.0</v>
      </c>
      <c r="G86" s="38">
        <v>24892.0</v>
      </c>
      <c r="H86" s="393">
        <v>0.9252</v>
      </c>
      <c r="I86" s="393">
        <v>0.9514</v>
      </c>
      <c r="J86" s="393">
        <v>0.8424</v>
      </c>
      <c r="K86" s="37" t="s">
        <v>364</v>
      </c>
      <c r="L86" s="37" t="s">
        <v>364</v>
      </c>
      <c r="M86" s="37" t="s">
        <v>364</v>
      </c>
      <c r="N86" s="38">
        <v>737.7</v>
      </c>
      <c r="O86" s="37" t="s">
        <v>364</v>
      </c>
      <c r="P86" s="393">
        <v>385.1237740134317</v>
      </c>
      <c r="Q86" s="393">
        <v>682.8387878756186</v>
      </c>
      <c r="R86" s="393">
        <v>1023.1258513576884</v>
      </c>
    </row>
    <row r="87">
      <c r="A87" s="37" t="s">
        <v>368</v>
      </c>
      <c r="B87" s="37" t="s">
        <v>339</v>
      </c>
      <c r="C87" s="37" t="s">
        <v>53</v>
      </c>
      <c r="D87" s="38">
        <v>3.0</v>
      </c>
      <c r="E87" s="38">
        <v>2.0</v>
      </c>
      <c r="F87" s="38">
        <v>29575.0</v>
      </c>
      <c r="G87" s="38">
        <v>13859.0</v>
      </c>
      <c r="H87" s="393">
        <v>0.9372</v>
      </c>
      <c r="I87" s="393">
        <v>0.9533</v>
      </c>
      <c r="J87" s="393">
        <v>0.8378</v>
      </c>
      <c r="K87" s="37" t="s">
        <v>364</v>
      </c>
      <c r="L87" s="37" t="s">
        <v>364</v>
      </c>
      <c r="M87" s="37" t="s">
        <v>364</v>
      </c>
      <c r="N87" s="38">
        <v>677.9</v>
      </c>
      <c r="O87" s="37" t="s">
        <v>364</v>
      </c>
      <c r="P87" s="393">
        <v>322.74721226313716</v>
      </c>
      <c r="Q87" s="393">
        <v>612.8262648221346</v>
      </c>
      <c r="R87" s="393">
        <v>940.648327032494</v>
      </c>
    </row>
    <row r="88">
      <c r="A88" s="37" t="s">
        <v>368</v>
      </c>
      <c r="B88" s="37" t="s">
        <v>137</v>
      </c>
      <c r="C88" s="37" t="s">
        <v>54</v>
      </c>
      <c r="D88" s="38">
        <v>4.0</v>
      </c>
      <c r="E88" s="38">
        <v>2.0</v>
      </c>
      <c r="F88" s="38">
        <v>21839.0</v>
      </c>
      <c r="G88" s="38">
        <v>10371.0</v>
      </c>
      <c r="H88" s="393">
        <v>0.9498</v>
      </c>
      <c r="I88" s="393">
        <v>0.9611</v>
      </c>
      <c r="J88" s="393">
        <v>0.7074</v>
      </c>
      <c r="K88" s="37" t="s">
        <v>364</v>
      </c>
      <c r="L88" s="37" t="s">
        <v>364</v>
      </c>
      <c r="M88" s="37" t="s">
        <v>364</v>
      </c>
      <c r="N88" s="38">
        <v>1236.7</v>
      </c>
      <c r="O88" s="37" t="s">
        <v>364</v>
      </c>
      <c r="P88" s="393">
        <v>748.4723733382912</v>
      </c>
      <c r="Q88" s="393">
        <v>1335.0889937080492</v>
      </c>
      <c r="R88" s="393">
        <v>1819.644973161683</v>
      </c>
    </row>
    <row r="89">
      <c r="A89" s="37" t="s">
        <v>368</v>
      </c>
      <c r="B89" s="37" t="s">
        <v>339</v>
      </c>
      <c r="C89" s="37" t="s">
        <v>54</v>
      </c>
      <c r="D89" s="38">
        <v>4.0</v>
      </c>
      <c r="E89" s="38">
        <v>2.0</v>
      </c>
      <c r="F89" s="38">
        <v>12265.0</v>
      </c>
      <c r="G89" s="38">
        <v>5815.0</v>
      </c>
      <c r="H89" s="393">
        <v>0.9481</v>
      </c>
      <c r="I89" s="393">
        <v>0.9551</v>
      </c>
      <c r="J89" s="393">
        <v>0.7077</v>
      </c>
      <c r="K89" s="37" t="s">
        <v>364</v>
      </c>
      <c r="L89" s="37" t="s">
        <v>364</v>
      </c>
      <c r="M89" s="37" t="s">
        <v>364</v>
      </c>
      <c r="N89" s="38">
        <v>1114.7</v>
      </c>
      <c r="O89" s="37" t="s">
        <v>364</v>
      </c>
      <c r="P89" s="393">
        <v>603.8522621734612</v>
      </c>
      <c r="Q89" s="393">
        <v>1131.4287573871054</v>
      </c>
      <c r="R89" s="393">
        <v>1660.8759841269837</v>
      </c>
    </row>
    <row r="90">
      <c r="A90" s="37" t="s">
        <v>368</v>
      </c>
      <c r="B90" s="37" t="s">
        <v>137</v>
      </c>
      <c r="C90" s="37" t="s">
        <v>55</v>
      </c>
      <c r="D90" s="38">
        <v>5.0</v>
      </c>
      <c r="E90" s="38">
        <v>2.0</v>
      </c>
      <c r="F90" s="38">
        <v>2779.0</v>
      </c>
      <c r="G90" s="38">
        <v>1303.0</v>
      </c>
      <c r="H90" s="393">
        <v>0.9374</v>
      </c>
      <c r="I90" s="393">
        <v>0.9449</v>
      </c>
      <c r="J90" s="393">
        <v>0.4514</v>
      </c>
      <c r="K90" s="37" t="s">
        <v>364</v>
      </c>
      <c r="L90" s="37" t="s">
        <v>364</v>
      </c>
      <c r="M90" s="37" t="s">
        <v>364</v>
      </c>
      <c r="N90" s="38">
        <v>1556.2</v>
      </c>
      <c r="O90" s="37" t="s">
        <v>364</v>
      </c>
      <c r="P90" s="393">
        <v>1189.5117708801918</v>
      </c>
      <c r="Q90" s="393">
        <v>1910.2700892857144</v>
      </c>
      <c r="R90" s="393">
        <v>1932.0</v>
      </c>
    </row>
    <row r="91">
      <c r="A91" s="37" t="s">
        <v>368</v>
      </c>
      <c r="B91" s="37" t="s">
        <v>339</v>
      </c>
      <c r="C91" s="37" t="s">
        <v>55</v>
      </c>
      <c r="D91" s="38">
        <v>5.0</v>
      </c>
      <c r="E91" s="38">
        <v>2.0</v>
      </c>
      <c r="F91" s="38">
        <v>1491.0</v>
      </c>
      <c r="G91" s="38">
        <v>701.0</v>
      </c>
      <c r="H91" s="393">
        <v>0.9403</v>
      </c>
      <c r="I91" s="393">
        <v>0.939</v>
      </c>
      <c r="J91" s="393">
        <v>0.4971</v>
      </c>
      <c r="K91" s="37" t="s">
        <v>364</v>
      </c>
      <c r="L91" s="37" t="s">
        <v>364</v>
      </c>
      <c r="M91" s="37" t="s">
        <v>364</v>
      </c>
      <c r="N91" s="38">
        <v>1512.2</v>
      </c>
      <c r="O91" s="37" t="s">
        <v>364</v>
      </c>
      <c r="P91" s="393">
        <v>1132.310606060606</v>
      </c>
      <c r="Q91" s="393">
        <v>1796.6672131147538</v>
      </c>
      <c r="R91" s="393">
        <v>1932.0</v>
      </c>
    </row>
    <row r="92">
      <c r="A92" s="37" t="s">
        <v>38</v>
      </c>
      <c r="B92" s="37" t="s">
        <v>137</v>
      </c>
      <c r="C92" s="37" t="s">
        <v>51</v>
      </c>
      <c r="D92" s="38">
        <v>1.0</v>
      </c>
      <c r="E92" s="38">
        <v>55.0</v>
      </c>
      <c r="F92" s="38">
        <v>4976778.0</v>
      </c>
      <c r="G92" s="38">
        <v>996.0</v>
      </c>
      <c r="H92" s="393">
        <v>0.011</v>
      </c>
      <c r="I92" s="393">
        <v>0.0349</v>
      </c>
      <c r="J92" s="393">
        <v>0.0</v>
      </c>
      <c r="K92" s="38">
        <v>26.0</v>
      </c>
      <c r="L92" s="38">
        <v>39.0</v>
      </c>
      <c r="M92" s="38">
        <v>49.0</v>
      </c>
      <c r="N92" s="38">
        <v>5885.7</v>
      </c>
      <c r="O92" s="38">
        <v>0.0</v>
      </c>
      <c r="P92" s="393">
        <v>100.50222479862578</v>
      </c>
      <c r="Q92" s="393">
        <v>638.7399100187797</v>
      </c>
      <c r="R92" s="393">
        <v>4998.8512180999915</v>
      </c>
    </row>
    <row r="93">
      <c r="A93" s="37" t="s">
        <v>38</v>
      </c>
      <c r="B93" s="37" t="s">
        <v>339</v>
      </c>
      <c r="C93" s="37" t="s">
        <v>51</v>
      </c>
      <c r="D93" s="38">
        <v>1.0</v>
      </c>
      <c r="E93" s="38">
        <v>55.0</v>
      </c>
      <c r="F93" s="38">
        <v>3483521.0</v>
      </c>
      <c r="G93" s="38">
        <v>810.0</v>
      </c>
      <c r="H93" s="393">
        <v>0.0128</v>
      </c>
      <c r="I93" s="393">
        <v>0.0355</v>
      </c>
      <c r="J93" s="393">
        <v>0.0</v>
      </c>
      <c r="K93" s="38">
        <v>27.0</v>
      </c>
      <c r="L93" s="38">
        <v>40.0</v>
      </c>
      <c r="M93" s="38">
        <v>49.0</v>
      </c>
      <c r="N93" s="38">
        <v>4973.5</v>
      </c>
      <c r="O93" s="38">
        <v>0.0</v>
      </c>
      <c r="P93" s="393">
        <v>99.6506014440078</v>
      </c>
      <c r="Q93" s="393">
        <v>506.74987249323704</v>
      </c>
      <c r="R93" s="393">
        <v>4049.761748351519</v>
      </c>
    </row>
    <row r="94">
      <c r="A94" s="37" t="s">
        <v>38</v>
      </c>
      <c r="B94" s="37" t="s">
        <v>137</v>
      </c>
      <c r="C94" s="37" t="s">
        <v>52</v>
      </c>
      <c r="D94" s="38">
        <v>2.0</v>
      </c>
      <c r="E94" s="38">
        <v>55.0</v>
      </c>
      <c r="F94" s="38">
        <v>2877943.0</v>
      </c>
      <c r="G94" s="38">
        <v>1016.0</v>
      </c>
      <c r="H94" s="393">
        <v>0.0194</v>
      </c>
      <c r="I94" s="393">
        <v>0.0361</v>
      </c>
      <c r="J94" s="393">
        <v>0.0</v>
      </c>
      <c r="K94" s="38">
        <v>15.0</v>
      </c>
      <c r="L94" s="38">
        <v>27.0</v>
      </c>
      <c r="M94" s="38">
        <v>40.0</v>
      </c>
      <c r="N94" s="38">
        <v>21271.7</v>
      </c>
      <c r="O94" s="38">
        <v>0.0</v>
      </c>
      <c r="P94" s="393">
        <v>1021.1828152580466</v>
      </c>
      <c r="Q94" s="393">
        <v>7264.394263094498</v>
      </c>
      <c r="R94" s="393">
        <v>24071.62545880025</v>
      </c>
    </row>
    <row r="95">
      <c r="A95" s="37" t="s">
        <v>38</v>
      </c>
      <c r="B95" s="37" t="s">
        <v>339</v>
      </c>
      <c r="C95" s="37" t="s">
        <v>52</v>
      </c>
      <c r="D95" s="38">
        <v>2.0</v>
      </c>
      <c r="E95" s="38">
        <v>55.0</v>
      </c>
      <c r="F95" s="38">
        <v>1628972.0</v>
      </c>
      <c r="G95" s="38">
        <v>637.0</v>
      </c>
      <c r="H95" s="393">
        <v>0.0215</v>
      </c>
      <c r="I95" s="393">
        <v>0.0364</v>
      </c>
      <c r="J95" s="393">
        <v>0.0</v>
      </c>
      <c r="K95" s="38">
        <v>16.0</v>
      </c>
      <c r="L95" s="38">
        <v>27.0</v>
      </c>
      <c r="M95" s="38">
        <v>39.0</v>
      </c>
      <c r="N95" s="38">
        <v>18848.2</v>
      </c>
      <c r="O95" s="38">
        <v>0.0</v>
      </c>
      <c r="P95" s="393">
        <v>1118.681712107444</v>
      </c>
      <c r="Q95" s="393">
        <v>6976.7386534928455</v>
      </c>
      <c r="R95" s="393">
        <v>21839.124508142253</v>
      </c>
    </row>
    <row r="96">
      <c r="A96" s="37" t="s">
        <v>38</v>
      </c>
      <c r="B96" s="37" t="s">
        <v>137</v>
      </c>
      <c r="C96" s="37" t="s">
        <v>53</v>
      </c>
      <c r="D96" s="38">
        <v>3.0</v>
      </c>
      <c r="E96" s="38">
        <v>55.0</v>
      </c>
      <c r="F96" s="38">
        <v>1688893.0</v>
      </c>
      <c r="G96" s="38">
        <v>718.0</v>
      </c>
      <c r="H96" s="393">
        <v>0.0234</v>
      </c>
      <c r="I96" s="393">
        <v>0.0369</v>
      </c>
      <c r="J96" s="393">
        <v>0.0</v>
      </c>
      <c r="K96" s="38">
        <v>7.0</v>
      </c>
      <c r="L96" s="38">
        <v>16.0</v>
      </c>
      <c r="M96" s="38">
        <v>28.0</v>
      </c>
      <c r="N96" s="38">
        <v>54680.1</v>
      </c>
      <c r="O96" s="38">
        <v>0.0</v>
      </c>
      <c r="P96" s="393">
        <v>6671.38405421276</v>
      </c>
      <c r="Q96" s="393">
        <v>25474.521743898786</v>
      </c>
      <c r="R96" s="393">
        <v>70159.2724626356</v>
      </c>
    </row>
    <row r="97">
      <c r="A97" s="37" t="s">
        <v>38</v>
      </c>
      <c r="B97" s="37" t="s">
        <v>339</v>
      </c>
      <c r="C97" s="37" t="s">
        <v>53</v>
      </c>
      <c r="D97" s="38">
        <v>3.0</v>
      </c>
      <c r="E97" s="38">
        <v>55.0</v>
      </c>
      <c r="F97" s="38">
        <v>930764.0</v>
      </c>
      <c r="G97" s="38">
        <v>433.0</v>
      </c>
      <c r="H97" s="393">
        <v>0.0256</v>
      </c>
      <c r="I97" s="393">
        <v>0.0366</v>
      </c>
      <c r="J97" s="393">
        <v>0.0</v>
      </c>
      <c r="K97" s="38">
        <v>8.0</v>
      </c>
      <c r="L97" s="38">
        <v>16.0</v>
      </c>
      <c r="M97" s="38">
        <v>28.0</v>
      </c>
      <c r="N97" s="38">
        <v>47368.5</v>
      </c>
      <c r="O97" s="38">
        <v>0.0</v>
      </c>
      <c r="P97" s="393">
        <v>6791.338927142893</v>
      </c>
      <c r="Q97" s="393">
        <v>21132.643921476047</v>
      </c>
      <c r="R97" s="393">
        <v>59037.63241862878</v>
      </c>
    </row>
    <row r="98">
      <c r="A98" s="37" t="s">
        <v>38</v>
      </c>
      <c r="B98" s="37" t="s">
        <v>137</v>
      </c>
      <c r="C98" s="37" t="s">
        <v>54</v>
      </c>
      <c r="D98" s="38">
        <v>4.0</v>
      </c>
      <c r="E98" s="38">
        <v>55.0</v>
      </c>
      <c r="F98" s="38">
        <v>702191.0</v>
      </c>
      <c r="G98" s="38">
        <v>376.0</v>
      </c>
      <c r="H98" s="393">
        <v>0.0295</v>
      </c>
      <c r="I98" s="393">
        <v>0.0397</v>
      </c>
      <c r="J98" s="393">
        <v>0.0</v>
      </c>
      <c r="K98" s="38">
        <v>2.0</v>
      </c>
      <c r="L98" s="38">
        <v>6.0</v>
      </c>
      <c r="M98" s="38">
        <v>15.0</v>
      </c>
      <c r="N98" s="38">
        <v>131026.8</v>
      </c>
      <c r="O98" s="38">
        <v>0.0</v>
      </c>
      <c r="P98" s="393">
        <v>23913.562684645436</v>
      </c>
      <c r="Q98" s="393">
        <v>77238.42677498184</v>
      </c>
      <c r="R98" s="393">
        <v>191941.37954626215</v>
      </c>
    </row>
    <row r="99">
      <c r="A99" s="37" t="s">
        <v>38</v>
      </c>
      <c r="B99" s="37" t="s">
        <v>339</v>
      </c>
      <c r="C99" s="37" t="s">
        <v>54</v>
      </c>
      <c r="D99" s="38">
        <v>4.0</v>
      </c>
      <c r="E99" s="38">
        <v>55.0</v>
      </c>
      <c r="F99" s="38">
        <v>401960.0</v>
      </c>
      <c r="G99" s="38">
        <v>221.0</v>
      </c>
      <c r="H99" s="393">
        <v>0.0302</v>
      </c>
      <c r="I99" s="393">
        <v>0.0377</v>
      </c>
      <c r="J99" s="393">
        <v>0.0</v>
      </c>
      <c r="K99" s="38">
        <v>3.0</v>
      </c>
      <c r="L99" s="38">
        <v>7.0</v>
      </c>
      <c r="M99" s="38">
        <v>15.0</v>
      </c>
      <c r="N99" s="38">
        <v>116941.9</v>
      </c>
      <c r="O99" s="38">
        <v>0.0</v>
      </c>
      <c r="P99" s="393">
        <v>22920.56287287097</v>
      </c>
      <c r="Q99" s="393">
        <v>66840.95249002692</v>
      </c>
      <c r="R99" s="393">
        <v>164243.9975191377</v>
      </c>
    </row>
    <row r="100">
      <c r="A100" s="37" t="s">
        <v>38</v>
      </c>
      <c r="B100" s="37" t="s">
        <v>137</v>
      </c>
      <c r="C100" s="37" t="s">
        <v>55</v>
      </c>
      <c r="D100" s="38">
        <v>5.0</v>
      </c>
      <c r="E100" s="38">
        <v>55.0</v>
      </c>
      <c r="F100" s="38">
        <v>91267.0</v>
      </c>
      <c r="G100" s="38">
        <v>54.0</v>
      </c>
      <c r="H100" s="393">
        <v>0.0324</v>
      </c>
      <c r="I100" s="393">
        <v>0.0398</v>
      </c>
      <c r="J100" s="393">
        <v>0.0</v>
      </c>
      <c r="K100" s="38">
        <v>1.0</v>
      </c>
      <c r="L100" s="38">
        <v>2.0</v>
      </c>
      <c r="M100" s="38">
        <v>5.0</v>
      </c>
      <c r="N100" s="38">
        <v>287858.1</v>
      </c>
      <c r="O100" s="38">
        <v>0.0</v>
      </c>
      <c r="P100" s="393">
        <v>64513.12813340506</v>
      </c>
      <c r="Q100" s="393">
        <v>178792.01562087343</v>
      </c>
      <c r="R100" s="393">
        <v>444081.8946217867</v>
      </c>
    </row>
    <row r="101">
      <c r="A101" s="37" t="s">
        <v>38</v>
      </c>
      <c r="B101" s="37" t="s">
        <v>339</v>
      </c>
      <c r="C101" s="37" t="s">
        <v>55</v>
      </c>
      <c r="D101" s="38">
        <v>5.0</v>
      </c>
      <c r="E101" s="38">
        <v>55.0</v>
      </c>
      <c r="F101" s="38">
        <v>51276.0</v>
      </c>
      <c r="G101" s="38">
        <v>32.0</v>
      </c>
      <c r="H101" s="393">
        <v>0.0346</v>
      </c>
      <c r="I101" s="393">
        <v>0.0389</v>
      </c>
      <c r="J101" s="393">
        <v>0.0</v>
      </c>
      <c r="K101" s="38">
        <v>1.0</v>
      </c>
      <c r="L101" s="38">
        <v>2.0</v>
      </c>
      <c r="M101" s="38">
        <v>6.0</v>
      </c>
      <c r="N101" s="38">
        <v>258687.0</v>
      </c>
      <c r="O101" s="38">
        <v>0.0</v>
      </c>
      <c r="P101" s="393">
        <v>73537.08096261846</v>
      </c>
      <c r="Q101" s="393">
        <v>170984.79122960375</v>
      </c>
      <c r="R101" s="393">
        <v>368723.0645363408</v>
      </c>
    </row>
    <row r="102">
      <c r="A102" s="37" t="s">
        <v>45</v>
      </c>
      <c r="B102" s="37" t="s">
        <v>137</v>
      </c>
      <c r="C102" s="37" t="s">
        <v>51</v>
      </c>
      <c r="D102" s="38">
        <v>1.0</v>
      </c>
      <c r="E102" s="38">
        <v>4.0</v>
      </c>
      <c r="F102" s="38">
        <v>220918.0</v>
      </c>
      <c r="G102" s="38">
        <v>33746.0</v>
      </c>
      <c r="H102" s="393">
        <v>0.611</v>
      </c>
      <c r="I102" s="393">
        <v>0.7839</v>
      </c>
      <c r="J102" s="393">
        <v>0.0</v>
      </c>
      <c r="K102" s="38">
        <v>6.0</v>
      </c>
      <c r="L102" s="38">
        <v>10.0</v>
      </c>
      <c r="M102" s="38">
        <v>14.0</v>
      </c>
      <c r="N102" s="38">
        <v>6.5</v>
      </c>
      <c r="O102" s="38">
        <v>0.0</v>
      </c>
      <c r="P102" s="393">
        <v>2.078801445804985</v>
      </c>
      <c r="Q102" s="393">
        <v>4.393690789564152</v>
      </c>
      <c r="R102" s="393">
        <v>8.29842960703747</v>
      </c>
    </row>
    <row r="103">
      <c r="A103" s="37" t="s">
        <v>45</v>
      </c>
      <c r="B103" s="37" t="s">
        <v>339</v>
      </c>
      <c r="C103" s="37" t="s">
        <v>51</v>
      </c>
      <c r="D103" s="38">
        <v>1.0</v>
      </c>
      <c r="E103" s="38">
        <v>4.0</v>
      </c>
      <c r="F103" s="38">
        <v>170435.0</v>
      </c>
      <c r="G103" s="38">
        <v>28190.0</v>
      </c>
      <c r="H103" s="393">
        <v>0.6616</v>
      </c>
      <c r="I103" s="393">
        <v>0.8163</v>
      </c>
      <c r="J103" s="393">
        <v>0.0</v>
      </c>
      <c r="K103" s="38">
        <v>6.0</v>
      </c>
      <c r="L103" s="38">
        <v>11.0</v>
      </c>
      <c r="M103" s="38">
        <v>15.0</v>
      </c>
      <c r="N103" s="38">
        <v>6.1</v>
      </c>
      <c r="O103" s="38">
        <v>0.0</v>
      </c>
      <c r="P103" s="393">
        <v>2.02093193645896</v>
      </c>
      <c r="Q103" s="393">
        <v>4.192425460487764</v>
      </c>
      <c r="R103" s="393">
        <v>7.66514251211881</v>
      </c>
    </row>
    <row r="104">
      <c r="A104" s="37" t="s">
        <v>45</v>
      </c>
      <c r="B104" s="37" t="s">
        <v>137</v>
      </c>
      <c r="C104" s="37" t="s">
        <v>52</v>
      </c>
      <c r="D104" s="38">
        <v>2.0</v>
      </c>
      <c r="E104" s="38">
        <v>4.0</v>
      </c>
      <c r="F104" s="38">
        <v>146684.0</v>
      </c>
      <c r="G104" s="38">
        <v>28309.0</v>
      </c>
      <c r="H104" s="393">
        <v>0.772</v>
      </c>
      <c r="I104" s="393">
        <v>0.8335</v>
      </c>
      <c r="J104" s="393">
        <v>0.0</v>
      </c>
      <c r="K104" s="38">
        <v>3.0</v>
      </c>
      <c r="L104" s="38">
        <v>6.0</v>
      </c>
      <c r="M104" s="38">
        <v>10.0</v>
      </c>
      <c r="N104" s="38">
        <v>15.5</v>
      </c>
      <c r="O104" s="38">
        <v>0.0</v>
      </c>
      <c r="P104" s="393">
        <v>6.647909885861424</v>
      </c>
      <c r="Q104" s="393">
        <v>12.514555879015761</v>
      </c>
      <c r="R104" s="393">
        <v>19.830882745859242</v>
      </c>
    </row>
    <row r="105">
      <c r="A105" s="37" t="s">
        <v>45</v>
      </c>
      <c r="B105" s="37" t="s">
        <v>339</v>
      </c>
      <c r="C105" s="37" t="s">
        <v>52</v>
      </c>
      <c r="D105" s="38">
        <v>2.0</v>
      </c>
      <c r="E105" s="38">
        <v>4.0</v>
      </c>
      <c r="F105" s="38">
        <v>85279.0</v>
      </c>
      <c r="G105" s="38">
        <v>16630.0</v>
      </c>
      <c r="H105" s="393">
        <v>0.78</v>
      </c>
      <c r="I105" s="393">
        <v>0.8447</v>
      </c>
      <c r="J105" s="393">
        <v>0.0</v>
      </c>
      <c r="K105" s="38">
        <v>3.0</v>
      </c>
      <c r="L105" s="38">
        <v>6.0</v>
      </c>
      <c r="M105" s="38">
        <v>11.0</v>
      </c>
      <c r="N105" s="38">
        <v>14.9</v>
      </c>
      <c r="O105" s="38">
        <v>0.0</v>
      </c>
      <c r="P105" s="393">
        <v>5.692263573871241</v>
      </c>
      <c r="Q105" s="393">
        <v>11.500675882472963</v>
      </c>
      <c r="R105" s="393">
        <v>19.444688346285858</v>
      </c>
    </row>
    <row r="106">
      <c r="A106" s="37" t="s">
        <v>45</v>
      </c>
      <c r="B106" s="37" t="s">
        <v>137</v>
      </c>
      <c r="C106" s="37" t="s">
        <v>53</v>
      </c>
      <c r="D106" s="38">
        <v>3.0</v>
      </c>
      <c r="E106" s="38">
        <v>4.0</v>
      </c>
      <c r="F106" s="38">
        <v>85466.0</v>
      </c>
      <c r="G106" s="38">
        <v>17354.0</v>
      </c>
      <c r="H106" s="393">
        <v>0.8122</v>
      </c>
      <c r="I106" s="393">
        <v>0.8465</v>
      </c>
      <c r="J106" s="393">
        <v>0.0</v>
      </c>
      <c r="K106" s="38">
        <v>2.0</v>
      </c>
      <c r="L106" s="38">
        <v>3.0</v>
      </c>
      <c r="M106" s="38">
        <v>6.0</v>
      </c>
      <c r="N106" s="38">
        <v>28.5</v>
      </c>
      <c r="O106" s="38">
        <v>0.0</v>
      </c>
      <c r="P106" s="393">
        <v>13.131654441713817</v>
      </c>
      <c r="Q106" s="393">
        <v>24.217756178225763</v>
      </c>
      <c r="R106" s="393">
        <v>37.556534811101685</v>
      </c>
    </row>
    <row r="107">
      <c r="A107" s="37" t="s">
        <v>45</v>
      </c>
      <c r="B107" s="37" t="s">
        <v>339</v>
      </c>
      <c r="C107" s="37" t="s">
        <v>53</v>
      </c>
      <c r="D107" s="38">
        <v>3.0</v>
      </c>
      <c r="E107" s="38">
        <v>4.0</v>
      </c>
      <c r="F107" s="38">
        <v>46431.0</v>
      </c>
      <c r="G107" s="38">
        <v>9311.0</v>
      </c>
      <c r="H107" s="393">
        <v>0.8021</v>
      </c>
      <c r="I107" s="393">
        <v>0.8414</v>
      </c>
      <c r="J107" s="393">
        <v>0.0</v>
      </c>
      <c r="K107" s="38">
        <v>2.0</v>
      </c>
      <c r="L107" s="38">
        <v>4.0</v>
      </c>
      <c r="M107" s="38">
        <v>7.0</v>
      </c>
      <c r="N107" s="38">
        <v>27.4</v>
      </c>
      <c r="O107" s="38">
        <v>0.0</v>
      </c>
      <c r="P107" s="393">
        <v>11.63692319080922</v>
      </c>
      <c r="Q107" s="393">
        <v>22.804680853719276</v>
      </c>
      <c r="R107" s="393">
        <v>36.3730659421628</v>
      </c>
    </row>
    <row r="108">
      <c r="A108" s="37" t="s">
        <v>45</v>
      </c>
      <c r="B108" s="37" t="s">
        <v>137</v>
      </c>
      <c r="C108" s="37" t="s">
        <v>54</v>
      </c>
      <c r="D108" s="38">
        <v>4.0</v>
      </c>
      <c r="E108" s="38">
        <v>4.0</v>
      </c>
      <c r="F108" s="38">
        <v>36750.0</v>
      </c>
      <c r="G108" s="38">
        <v>7944.0</v>
      </c>
      <c r="H108" s="393">
        <v>0.8647</v>
      </c>
      <c r="I108" s="393">
        <v>0.8809</v>
      </c>
      <c r="J108" s="393">
        <v>0.0</v>
      </c>
      <c r="K108" s="38">
        <v>1.0</v>
      </c>
      <c r="L108" s="38">
        <v>2.0</v>
      </c>
      <c r="M108" s="38">
        <v>4.0</v>
      </c>
      <c r="N108" s="38">
        <v>53.6</v>
      </c>
      <c r="O108" s="38">
        <v>0.0</v>
      </c>
      <c r="P108" s="393">
        <v>27.258631178435085</v>
      </c>
      <c r="Q108" s="393">
        <v>47.33558185283426</v>
      </c>
      <c r="R108" s="393">
        <v>71.9963813122262</v>
      </c>
    </row>
    <row r="109">
      <c r="A109" s="37" t="s">
        <v>45</v>
      </c>
      <c r="B109" s="37" t="s">
        <v>339</v>
      </c>
      <c r="C109" s="37" t="s">
        <v>54</v>
      </c>
      <c r="D109" s="38">
        <v>4.0</v>
      </c>
      <c r="E109" s="38">
        <v>4.0</v>
      </c>
      <c r="F109" s="38">
        <v>19772.0</v>
      </c>
      <c r="G109" s="38">
        <v>4151.0</v>
      </c>
      <c r="H109" s="393">
        <v>0.8398</v>
      </c>
      <c r="I109" s="393">
        <v>0.8609</v>
      </c>
      <c r="J109" s="393">
        <v>0.0</v>
      </c>
      <c r="K109" s="38">
        <v>1.0</v>
      </c>
      <c r="L109" s="38">
        <v>2.0</v>
      </c>
      <c r="M109" s="38">
        <v>4.0</v>
      </c>
      <c r="N109" s="38">
        <v>52.3</v>
      </c>
      <c r="O109" s="38">
        <v>0.0</v>
      </c>
      <c r="P109" s="393">
        <v>24.436443763250104</v>
      </c>
      <c r="Q109" s="393">
        <v>45.747380742892354</v>
      </c>
      <c r="R109" s="393">
        <v>71.20142008391541</v>
      </c>
    </row>
    <row r="110">
      <c r="A110" s="37" t="s">
        <v>45</v>
      </c>
      <c r="B110" s="37" t="s">
        <v>137</v>
      </c>
      <c r="C110" s="37" t="s">
        <v>55</v>
      </c>
      <c r="D110" s="38">
        <v>5.0</v>
      </c>
      <c r="E110" s="38">
        <v>4.0</v>
      </c>
      <c r="F110" s="38">
        <v>4554.0</v>
      </c>
      <c r="G110" s="38">
        <v>1010.0</v>
      </c>
      <c r="H110" s="393">
        <v>0.8869</v>
      </c>
      <c r="I110" s="393">
        <v>0.8933</v>
      </c>
      <c r="J110" s="393">
        <v>0.0</v>
      </c>
      <c r="K110" s="38">
        <v>1.0</v>
      </c>
      <c r="L110" s="38">
        <v>1.0</v>
      </c>
      <c r="M110" s="38">
        <v>2.0</v>
      </c>
      <c r="N110" s="38">
        <v>116.9</v>
      </c>
      <c r="O110" s="38">
        <v>0.0</v>
      </c>
      <c r="P110" s="393">
        <v>69.92921294391884</v>
      </c>
      <c r="Q110" s="393">
        <v>109.09499755580902</v>
      </c>
      <c r="R110" s="393">
        <v>154.80694209933867</v>
      </c>
    </row>
    <row r="111">
      <c r="A111" s="37" t="s">
        <v>45</v>
      </c>
      <c r="B111" s="37" t="s">
        <v>339</v>
      </c>
      <c r="C111" s="37" t="s">
        <v>55</v>
      </c>
      <c r="D111" s="38">
        <v>5.0</v>
      </c>
      <c r="E111" s="38">
        <v>4.0</v>
      </c>
      <c r="F111" s="38">
        <v>2415.0</v>
      </c>
      <c r="G111" s="38">
        <v>516.0</v>
      </c>
      <c r="H111" s="393">
        <v>0.8542</v>
      </c>
      <c r="I111" s="393">
        <v>0.865</v>
      </c>
      <c r="J111" s="393">
        <v>0.0</v>
      </c>
      <c r="K111" s="38">
        <v>1.0</v>
      </c>
      <c r="L111" s="38">
        <v>1.0</v>
      </c>
      <c r="M111" s="38">
        <v>2.0</v>
      </c>
      <c r="N111" s="38">
        <v>117.8</v>
      </c>
      <c r="O111" s="38">
        <v>0.0</v>
      </c>
      <c r="P111" s="393">
        <v>61.7627158434498</v>
      </c>
      <c r="Q111" s="393">
        <v>109.60531758811952</v>
      </c>
      <c r="R111" s="393">
        <v>157.50761217948718</v>
      </c>
    </row>
    <row r="112">
      <c r="A112" s="37" t="s">
        <v>30</v>
      </c>
      <c r="B112" s="37" t="s">
        <v>137</v>
      </c>
      <c r="C112" s="37" t="s">
        <v>51</v>
      </c>
      <c r="D112" s="38">
        <v>1.0</v>
      </c>
      <c r="E112" s="38">
        <v>1.0</v>
      </c>
      <c r="F112" s="38">
        <v>75467.0</v>
      </c>
      <c r="G112" s="38">
        <v>52839.0</v>
      </c>
      <c r="H112" s="393">
        <v>0.7002</v>
      </c>
      <c r="I112" s="393">
        <v>0.9359</v>
      </c>
      <c r="J112" s="393">
        <v>0.1722</v>
      </c>
      <c r="K112" s="37" t="s">
        <v>364</v>
      </c>
      <c r="L112" s="37" t="s">
        <v>364</v>
      </c>
      <c r="M112" s="37" t="s">
        <v>364</v>
      </c>
      <c r="N112" s="38">
        <v>173.8</v>
      </c>
      <c r="O112" s="37" t="s">
        <v>364</v>
      </c>
      <c r="P112" s="393">
        <v>19.835340119086922</v>
      </c>
      <c r="Q112" s="393">
        <v>63.80795429240796</v>
      </c>
      <c r="R112" s="393">
        <v>200.96655775073202</v>
      </c>
    </row>
    <row r="113">
      <c r="A113" s="37" t="s">
        <v>30</v>
      </c>
      <c r="B113" s="37" t="s">
        <v>339</v>
      </c>
      <c r="C113" s="37" t="s">
        <v>51</v>
      </c>
      <c r="D113" s="38">
        <v>1.0</v>
      </c>
      <c r="E113" s="38">
        <v>1.0</v>
      </c>
      <c r="F113" s="38">
        <v>55339.0</v>
      </c>
      <c r="G113" s="38">
        <v>41480.0</v>
      </c>
      <c r="H113" s="393">
        <v>0.7496</v>
      </c>
      <c r="I113" s="393">
        <v>0.9558</v>
      </c>
      <c r="J113" s="393">
        <v>0.1884</v>
      </c>
      <c r="K113" s="37" t="s">
        <v>364</v>
      </c>
      <c r="L113" s="37" t="s">
        <v>364</v>
      </c>
      <c r="M113" s="37" t="s">
        <v>364</v>
      </c>
      <c r="N113" s="38">
        <v>117.5</v>
      </c>
      <c r="O113" s="37" t="s">
        <v>364</v>
      </c>
      <c r="P113" s="393">
        <v>14.33771696708446</v>
      </c>
      <c r="Q113" s="393">
        <v>44.35515339550243</v>
      </c>
      <c r="R113" s="393">
        <v>118.48643206609712</v>
      </c>
    </row>
    <row r="114">
      <c r="A114" s="37" t="s">
        <v>30</v>
      </c>
      <c r="B114" s="37" t="s">
        <v>137</v>
      </c>
      <c r="C114" s="37" t="s">
        <v>52</v>
      </c>
      <c r="D114" s="38">
        <v>2.0</v>
      </c>
      <c r="E114" s="38">
        <v>1.0</v>
      </c>
      <c r="F114" s="38">
        <v>47996.0</v>
      </c>
      <c r="G114" s="38">
        <v>42906.0</v>
      </c>
      <c r="H114" s="393">
        <v>0.8939</v>
      </c>
      <c r="I114" s="393">
        <v>0.9525</v>
      </c>
      <c r="J114" s="393">
        <v>0.4083</v>
      </c>
      <c r="K114" s="37" t="s">
        <v>364</v>
      </c>
      <c r="L114" s="37" t="s">
        <v>364</v>
      </c>
      <c r="M114" s="37" t="s">
        <v>364</v>
      </c>
      <c r="N114" s="38">
        <v>485.8</v>
      </c>
      <c r="O114" s="37" t="s">
        <v>364</v>
      </c>
      <c r="P114" s="393">
        <v>64.74542420901118</v>
      </c>
      <c r="Q114" s="393">
        <v>206.15452219406228</v>
      </c>
      <c r="R114" s="393">
        <v>610.5560822917804</v>
      </c>
    </row>
    <row r="115">
      <c r="A115" s="37" t="s">
        <v>30</v>
      </c>
      <c r="B115" s="37" t="s">
        <v>339</v>
      </c>
      <c r="C115" s="37" t="s">
        <v>52</v>
      </c>
      <c r="D115" s="38">
        <v>2.0</v>
      </c>
      <c r="E115" s="38">
        <v>1.0</v>
      </c>
      <c r="F115" s="38">
        <v>27380.0</v>
      </c>
      <c r="G115" s="38">
        <v>24981.0</v>
      </c>
      <c r="H115" s="393">
        <v>0.9124</v>
      </c>
      <c r="I115" s="393">
        <v>0.958</v>
      </c>
      <c r="J115" s="393">
        <v>0.4792</v>
      </c>
      <c r="K115" s="37" t="s">
        <v>364</v>
      </c>
      <c r="L115" s="37" t="s">
        <v>364</v>
      </c>
      <c r="M115" s="37" t="s">
        <v>364</v>
      </c>
      <c r="N115" s="38">
        <v>326.8</v>
      </c>
      <c r="O115" s="37" t="s">
        <v>364</v>
      </c>
      <c r="P115" s="393">
        <v>43.33332694952684</v>
      </c>
      <c r="Q115" s="393">
        <v>115.87222246704309</v>
      </c>
      <c r="R115" s="393">
        <v>379.0636424858069</v>
      </c>
    </row>
    <row r="116">
      <c r="A116" s="37" t="s">
        <v>30</v>
      </c>
      <c r="B116" s="37" t="s">
        <v>137</v>
      </c>
      <c r="C116" s="37" t="s">
        <v>53</v>
      </c>
      <c r="D116" s="38">
        <v>3.0</v>
      </c>
      <c r="E116" s="38">
        <v>1.0</v>
      </c>
      <c r="F116" s="38">
        <v>27734.0</v>
      </c>
      <c r="G116" s="38">
        <v>25460.0</v>
      </c>
      <c r="H116" s="393">
        <v>0.918</v>
      </c>
      <c r="I116" s="393">
        <v>0.9539</v>
      </c>
      <c r="J116" s="393">
        <v>0.5487</v>
      </c>
      <c r="K116" s="37" t="s">
        <v>364</v>
      </c>
      <c r="L116" s="37" t="s">
        <v>364</v>
      </c>
      <c r="M116" s="37" t="s">
        <v>364</v>
      </c>
      <c r="N116" s="38">
        <v>1022.8</v>
      </c>
      <c r="O116" s="37" t="s">
        <v>364</v>
      </c>
      <c r="P116" s="393">
        <v>120.80507310889233</v>
      </c>
      <c r="Q116" s="393">
        <v>417.95976156450837</v>
      </c>
      <c r="R116" s="393">
        <v>1286.3297667783593</v>
      </c>
    </row>
    <row r="117">
      <c r="A117" s="37" t="s">
        <v>30</v>
      </c>
      <c r="B117" s="37" t="s">
        <v>339</v>
      </c>
      <c r="C117" s="37" t="s">
        <v>53</v>
      </c>
      <c r="D117" s="38">
        <v>3.0</v>
      </c>
      <c r="E117" s="38">
        <v>1.0</v>
      </c>
      <c r="F117" s="38">
        <v>15139.0</v>
      </c>
      <c r="G117" s="38">
        <v>14014.0</v>
      </c>
      <c r="H117" s="393">
        <v>0.9257</v>
      </c>
      <c r="I117" s="393">
        <v>0.9503</v>
      </c>
      <c r="J117" s="393">
        <v>0.6463</v>
      </c>
      <c r="K117" s="37" t="s">
        <v>364</v>
      </c>
      <c r="L117" s="37" t="s">
        <v>364</v>
      </c>
      <c r="M117" s="37" t="s">
        <v>364</v>
      </c>
      <c r="N117" s="38">
        <v>615.2</v>
      </c>
      <c r="O117" s="37" t="s">
        <v>364</v>
      </c>
      <c r="P117" s="393">
        <v>78.73548109812917</v>
      </c>
      <c r="Q117" s="393">
        <v>231.7749431780996</v>
      </c>
      <c r="R117" s="393">
        <v>719.4505487431276</v>
      </c>
    </row>
    <row r="118">
      <c r="A118" s="37" t="s">
        <v>30</v>
      </c>
      <c r="B118" s="37" t="s">
        <v>137</v>
      </c>
      <c r="C118" s="37" t="s">
        <v>54</v>
      </c>
      <c r="D118" s="38">
        <v>4.0</v>
      </c>
      <c r="E118" s="38">
        <v>1.0</v>
      </c>
      <c r="F118" s="38">
        <v>11310.0</v>
      </c>
      <c r="G118" s="38">
        <v>10691.0</v>
      </c>
      <c r="H118" s="393">
        <v>0.9453</v>
      </c>
      <c r="I118" s="393">
        <v>0.9615</v>
      </c>
      <c r="J118" s="393">
        <v>0.6669</v>
      </c>
      <c r="K118" s="37" t="s">
        <v>364</v>
      </c>
      <c r="L118" s="37" t="s">
        <v>364</v>
      </c>
      <c r="M118" s="37" t="s">
        <v>364</v>
      </c>
      <c r="N118" s="38">
        <v>1873.4</v>
      </c>
      <c r="O118" s="37" t="s">
        <v>364</v>
      </c>
      <c r="P118" s="393">
        <v>231.55406599731094</v>
      </c>
      <c r="Q118" s="393">
        <v>705.7120157120506</v>
      </c>
      <c r="R118" s="393">
        <v>2277.0701120302774</v>
      </c>
    </row>
    <row r="119">
      <c r="A119" s="37" t="s">
        <v>30</v>
      </c>
      <c r="B119" s="37" t="s">
        <v>339</v>
      </c>
      <c r="C119" s="37" t="s">
        <v>54</v>
      </c>
      <c r="D119" s="38">
        <v>4.0</v>
      </c>
      <c r="E119" s="38">
        <v>1.0</v>
      </c>
      <c r="F119" s="38">
        <v>6441.0</v>
      </c>
      <c r="G119" s="38">
        <v>6044.0</v>
      </c>
      <c r="H119" s="393">
        <v>0.9384</v>
      </c>
      <c r="I119" s="393">
        <v>0.9499</v>
      </c>
      <c r="J119" s="393">
        <v>0.7455</v>
      </c>
      <c r="K119" s="37" t="s">
        <v>364</v>
      </c>
      <c r="L119" s="37" t="s">
        <v>364</v>
      </c>
      <c r="M119" s="37" t="s">
        <v>364</v>
      </c>
      <c r="N119" s="38">
        <v>1097.5</v>
      </c>
      <c r="O119" s="37" t="s">
        <v>364</v>
      </c>
      <c r="P119" s="393">
        <v>138.6334612452989</v>
      </c>
      <c r="Q119" s="393">
        <v>399.11182795698915</v>
      </c>
      <c r="R119" s="393">
        <v>1161.2399812794772</v>
      </c>
    </row>
    <row r="120">
      <c r="A120" s="37" t="s">
        <v>30</v>
      </c>
      <c r="B120" s="37" t="s">
        <v>137</v>
      </c>
      <c r="C120" s="37" t="s">
        <v>55</v>
      </c>
      <c r="D120" s="38">
        <v>5.0</v>
      </c>
      <c r="E120" s="38">
        <v>1.0</v>
      </c>
      <c r="F120" s="38">
        <v>1341.0</v>
      </c>
      <c r="G120" s="38">
        <v>1255.0</v>
      </c>
      <c r="H120" s="393">
        <v>0.9359</v>
      </c>
      <c r="I120" s="393">
        <v>0.9396</v>
      </c>
      <c r="J120" s="393">
        <v>0.6637</v>
      </c>
      <c r="K120" s="37" t="s">
        <v>364</v>
      </c>
      <c r="L120" s="37" t="s">
        <v>364</v>
      </c>
      <c r="M120" s="37" t="s">
        <v>364</v>
      </c>
      <c r="N120" s="38">
        <v>3610.3</v>
      </c>
      <c r="O120" s="37" t="s">
        <v>364</v>
      </c>
      <c r="P120" s="393">
        <v>449.8721242595398</v>
      </c>
      <c r="Q120" s="393">
        <v>1283.2707777216651</v>
      </c>
      <c r="R120" s="393">
        <v>4587.380619660319</v>
      </c>
    </row>
    <row r="121">
      <c r="A121" s="37" t="s">
        <v>30</v>
      </c>
      <c r="B121" s="37" t="s">
        <v>339</v>
      </c>
      <c r="C121" s="37" t="s">
        <v>55</v>
      </c>
      <c r="D121" s="38">
        <v>5.0</v>
      </c>
      <c r="E121" s="38">
        <v>1.0</v>
      </c>
      <c r="F121" s="38">
        <v>781.0</v>
      </c>
      <c r="G121" s="38">
        <v>718.0</v>
      </c>
      <c r="H121" s="393">
        <v>0.9193</v>
      </c>
      <c r="I121" s="393">
        <v>0.9245</v>
      </c>
      <c r="J121" s="393">
        <v>0.7563</v>
      </c>
      <c r="K121" s="37" t="s">
        <v>364</v>
      </c>
      <c r="L121" s="37" t="s">
        <v>364</v>
      </c>
      <c r="M121" s="37" t="s">
        <v>364</v>
      </c>
      <c r="N121" s="38">
        <v>2234.8</v>
      </c>
      <c r="O121" s="37" t="s">
        <v>364</v>
      </c>
      <c r="P121" s="393">
        <v>238.07619047619048</v>
      </c>
      <c r="Q121" s="393">
        <v>722.4387318029115</v>
      </c>
      <c r="R121" s="393">
        <v>2186.419761452968</v>
      </c>
    </row>
    <row r="122">
      <c r="A122" s="37" t="s">
        <v>6</v>
      </c>
      <c r="B122" s="37" t="s">
        <v>137</v>
      </c>
      <c r="C122" s="37" t="s">
        <v>51</v>
      </c>
      <c r="D122" s="38">
        <v>1.0</v>
      </c>
      <c r="E122" s="38">
        <v>5.0</v>
      </c>
      <c r="F122" s="38">
        <v>258934.0</v>
      </c>
      <c r="G122" s="38">
        <v>26509.0</v>
      </c>
      <c r="H122" s="393">
        <v>0.5119</v>
      </c>
      <c r="I122" s="393">
        <v>0.6479</v>
      </c>
      <c r="J122" s="393">
        <v>0.0</v>
      </c>
      <c r="K122" s="38">
        <v>5.0</v>
      </c>
      <c r="L122" s="38">
        <v>9.0</v>
      </c>
      <c r="M122" s="38">
        <v>14.0</v>
      </c>
      <c r="N122" s="38">
        <v>74.9</v>
      </c>
      <c r="O122" s="38">
        <v>0.0</v>
      </c>
      <c r="P122" s="393">
        <v>22.787432741494136</v>
      </c>
      <c r="Q122" s="393">
        <v>52.78445277986764</v>
      </c>
      <c r="R122" s="393">
        <v>104.55048535868099</v>
      </c>
    </row>
    <row r="123">
      <c r="A123" s="37" t="s">
        <v>6</v>
      </c>
      <c r="B123" s="37" t="s">
        <v>339</v>
      </c>
      <c r="C123" s="37" t="s">
        <v>51</v>
      </c>
      <c r="D123" s="38">
        <v>1.0</v>
      </c>
      <c r="E123" s="38">
        <v>5.0</v>
      </c>
      <c r="F123" s="38">
        <v>201547.0</v>
      </c>
      <c r="G123" s="38">
        <v>22354.0</v>
      </c>
      <c r="H123" s="393">
        <v>0.5546</v>
      </c>
      <c r="I123" s="393">
        <v>0.6732</v>
      </c>
      <c r="J123" s="393">
        <v>0.0</v>
      </c>
      <c r="K123" s="38">
        <v>6.0</v>
      </c>
      <c r="L123" s="38">
        <v>11.0</v>
      </c>
      <c r="M123" s="38">
        <v>15.0</v>
      </c>
      <c r="N123" s="38">
        <v>68.2</v>
      </c>
      <c r="O123" s="38">
        <v>0.0</v>
      </c>
      <c r="P123" s="393">
        <v>21.05070780087423</v>
      </c>
      <c r="Q123" s="393">
        <v>47.310855396304724</v>
      </c>
      <c r="R123" s="393">
        <v>93.01485131235242</v>
      </c>
    </row>
    <row r="124">
      <c r="A124" s="37" t="s">
        <v>6</v>
      </c>
      <c r="B124" s="37" t="s">
        <v>137</v>
      </c>
      <c r="C124" s="37" t="s">
        <v>52</v>
      </c>
      <c r="D124" s="38">
        <v>2.0</v>
      </c>
      <c r="E124" s="38">
        <v>5.0</v>
      </c>
      <c r="F124" s="38">
        <v>174680.0</v>
      </c>
      <c r="G124" s="38">
        <v>22373.0</v>
      </c>
      <c r="H124" s="393">
        <v>0.6404</v>
      </c>
      <c r="I124" s="393">
        <v>0.6915</v>
      </c>
      <c r="J124" s="393">
        <v>0.0</v>
      </c>
      <c r="K124" s="38">
        <v>3.0</v>
      </c>
      <c r="L124" s="38">
        <v>6.0</v>
      </c>
      <c r="M124" s="38">
        <v>10.0</v>
      </c>
      <c r="N124" s="38">
        <v>191.2</v>
      </c>
      <c r="O124" s="38">
        <v>0.0</v>
      </c>
      <c r="P124" s="393">
        <v>75.88476955577521</v>
      </c>
      <c r="Q124" s="393">
        <v>150.4391136656558</v>
      </c>
      <c r="R124" s="393">
        <v>264.5611298189116</v>
      </c>
    </row>
    <row r="125">
      <c r="A125" s="37" t="s">
        <v>6</v>
      </c>
      <c r="B125" s="37" t="s">
        <v>339</v>
      </c>
      <c r="C125" s="37" t="s">
        <v>52</v>
      </c>
      <c r="D125" s="38">
        <v>2.0</v>
      </c>
      <c r="E125" s="38">
        <v>5.0</v>
      </c>
      <c r="F125" s="38">
        <v>101993.0</v>
      </c>
      <c r="G125" s="38">
        <v>13244.0</v>
      </c>
      <c r="H125" s="393">
        <v>0.6492</v>
      </c>
      <c r="I125" s="393">
        <v>0.7006</v>
      </c>
      <c r="J125" s="393">
        <v>0.0</v>
      </c>
      <c r="K125" s="38">
        <v>3.0</v>
      </c>
      <c r="L125" s="38">
        <v>7.0</v>
      </c>
      <c r="M125" s="38">
        <v>11.0</v>
      </c>
      <c r="N125" s="38">
        <v>174.5</v>
      </c>
      <c r="O125" s="38">
        <v>0.0</v>
      </c>
      <c r="P125" s="393">
        <v>63.28390417616263</v>
      </c>
      <c r="Q125" s="393">
        <v>138.4552442065642</v>
      </c>
      <c r="R125" s="393">
        <v>241.89938663807388</v>
      </c>
    </row>
    <row r="126">
      <c r="A126" s="37" t="s">
        <v>6</v>
      </c>
      <c r="B126" s="37" t="s">
        <v>137</v>
      </c>
      <c r="C126" s="37" t="s">
        <v>53</v>
      </c>
      <c r="D126" s="38">
        <v>3.0</v>
      </c>
      <c r="E126" s="38">
        <v>5.0</v>
      </c>
      <c r="F126" s="38">
        <v>102234.0</v>
      </c>
      <c r="G126" s="38">
        <v>14137.0</v>
      </c>
      <c r="H126" s="393">
        <v>0.6914</v>
      </c>
      <c r="I126" s="393">
        <v>0.719</v>
      </c>
      <c r="J126" s="393">
        <v>0.0</v>
      </c>
      <c r="K126" s="38">
        <v>2.0</v>
      </c>
      <c r="L126" s="38">
        <v>3.0</v>
      </c>
      <c r="M126" s="38">
        <v>6.0</v>
      </c>
      <c r="N126" s="38">
        <v>374.1</v>
      </c>
      <c r="O126" s="38">
        <v>0.0</v>
      </c>
      <c r="P126" s="393">
        <v>165.6772173262339</v>
      </c>
      <c r="Q126" s="393">
        <v>325.1491623828686</v>
      </c>
      <c r="R126" s="393">
        <v>514.2670522661526</v>
      </c>
    </row>
    <row r="127">
      <c r="A127" s="37" t="s">
        <v>6</v>
      </c>
      <c r="B127" s="37" t="s">
        <v>339</v>
      </c>
      <c r="C127" s="37" t="s">
        <v>53</v>
      </c>
      <c r="D127" s="38">
        <v>3.0</v>
      </c>
      <c r="E127" s="38">
        <v>5.0</v>
      </c>
      <c r="F127" s="38">
        <v>55183.0</v>
      </c>
      <c r="G127" s="38">
        <v>7555.0</v>
      </c>
      <c r="H127" s="393">
        <v>0.6845</v>
      </c>
      <c r="I127" s="393">
        <v>0.7149</v>
      </c>
      <c r="J127" s="393">
        <v>0.0</v>
      </c>
      <c r="K127" s="38">
        <v>2.0</v>
      </c>
      <c r="L127" s="38">
        <v>4.0</v>
      </c>
      <c r="M127" s="38">
        <v>7.0</v>
      </c>
      <c r="N127" s="38">
        <v>340.1</v>
      </c>
      <c r="O127" s="38">
        <v>0.0</v>
      </c>
      <c r="P127" s="393">
        <v>133.16531633144783</v>
      </c>
      <c r="Q127" s="393">
        <v>282.69310954926743</v>
      </c>
      <c r="R127" s="393">
        <v>465.08511009756074</v>
      </c>
    </row>
    <row r="128">
      <c r="A128" s="37" t="s">
        <v>6</v>
      </c>
      <c r="B128" s="37" t="s">
        <v>137</v>
      </c>
      <c r="C128" s="37" t="s">
        <v>54</v>
      </c>
      <c r="D128" s="38">
        <v>4.0</v>
      </c>
      <c r="E128" s="38">
        <v>5.0</v>
      </c>
      <c r="F128" s="38">
        <v>43067.0</v>
      </c>
      <c r="G128" s="38">
        <v>6298.0</v>
      </c>
      <c r="H128" s="393">
        <v>0.7312</v>
      </c>
      <c r="I128" s="393">
        <v>0.7442</v>
      </c>
      <c r="J128" s="393">
        <v>0.0</v>
      </c>
      <c r="K128" s="38">
        <v>1.0</v>
      </c>
      <c r="L128" s="38">
        <v>2.0</v>
      </c>
      <c r="M128" s="38">
        <v>4.0</v>
      </c>
      <c r="N128" s="38">
        <v>710.5</v>
      </c>
      <c r="O128" s="38">
        <v>0.0</v>
      </c>
      <c r="P128" s="393">
        <v>336.39255702524815</v>
      </c>
      <c r="Q128" s="393">
        <v>620.2521140268735</v>
      </c>
      <c r="R128" s="393">
        <v>961.1948567306509</v>
      </c>
    </row>
    <row r="129">
      <c r="A129" s="37" t="s">
        <v>6</v>
      </c>
      <c r="B129" s="37" t="s">
        <v>339</v>
      </c>
      <c r="C129" s="37" t="s">
        <v>54</v>
      </c>
      <c r="D129" s="38">
        <v>4.0</v>
      </c>
      <c r="E129" s="38">
        <v>5.0</v>
      </c>
      <c r="F129" s="38">
        <v>23179.0</v>
      </c>
      <c r="G129" s="38">
        <v>3289.0</v>
      </c>
      <c r="H129" s="393">
        <v>0.7094</v>
      </c>
      <c r="I129" s="393">
        <v>0.7254</v>
      </c>
      <c r="J129" s="393">
        <v>0.0</v>
      </c>
      <c r="K129" s="38">
        <v>1.0</v>
      </c>
      <c r="L129" s="38">
        <v>2.0</v>
      </c>
      <c r="M129" s="38">
        <v>4.0</v>
      </c>
      <c r="N129" s="38">
        <v>655.5</v>
      </c>
      <c r="O129" s="38">
        <v>0.0</v>
      </c>
      <c r="P129" s="393">
        <v>278.21021566616633</v>
      </c>
      <c r="Q129" s="393">
        <v>544.3854820041352</v>
      </c>
      <c r="R129" s="393">
        <v>906.5894820298311</v>
      </c>
    </row>
    <row r="130">
      <c r="A130" s="37" t="s">
        <v>6</v>
      </c>
      <c r="B130" s="37" t="s">
        <v>137</v>
      </c>
      <c r="C130" s="37" t="s">
        <v>55</v>
      </c>
      <c r="D130" s="38">
        <v>5.0</v>
      </c>
      <c r="E130" s="38">
        <v>5.0</v>
      </c>
      <c r="F130" s="38">
        <v>5286.0</v>
      </c>
      <c r="G130" s="38">
        <v>798.0</v>
      </c>
      <c r="H130" s="393">
        <v>0.7546</v>
      </c>
      <c r="I130" s="393">
        <v>0.7603</v>
      </c>
      <c r="J130" s="393">
        <v>0.0</v>
      </c>
      <c r="K130" s="38">
        <v>1.0</v>
      </c>
      <c r="L130" s="38">
        <v>1.0</v>
      </c>
      <c r="M130" s="38">
        <v>2.0</v>
      </c>
      <c r="N130" s="38">
        <v>1435.1</v>
      </c>
      <c r="O130" s="38">
        <v>0.0</v>
      </c>
      <c r="P130" s="393">
        <v>733.8913885180241</v>
      </c>
      <c r="Q130" s="393">
        <v>1318.1142224702442</v>
      </c>
      <c r="R130" s="393">
        <v>1953.7814207650274</v>
      </c>
    </row>
    <row r="131">
      <c r="A131" s="37" t="s">
        <v>6</v>
      </c>
      <c r="B131" s="37" t="s">
        <v>339</v>
      </c>
      <c r="C131" s="37" t="s">
        <v>55</v>
      </c>
      <c r="D131" s="38">
        <v>5.0</v>
      </c>
      <c r="E131" s="38">
        <v>5.0</v>
      </c>
      <c r="F131" s="38">
        <v>2817.0</v>
      </c>
      <c r="G131" s="38">
        <v>410.0</v>
      </c>
      <c r="H131" s="393">
        <v>0.727</v>
      </c>
      <c r="I131" s="393">
        <v>0.7355</v>
      </c>
      <c r="J131" s="393">
        <v>0.0</v>
      </c>
      <c r="K131" s="38">
        <v>1.0</v>
      </c>
      <c r="L131" s="38">
        <v>1.0</v>
      </c>
      <c r="M131" s="38">
        <v>2.0</v>
      </c>
      <c r="N131" s="38">
        <v>1401.9</v>
      </c>
      <c r="O131" s="38">
        <v>0.0</v>
      </c>
      <c r="P131" s="393">
        <v>638.6488297944929</v>
      </c>
      <c r="Q131" s="393">
        <v>1286.1702215684475</v>
      </c>
      <c r="R131" s="393">
        <v>1967.0652972027972</v>
      </c>
    </row>
    <row r="132">
      <c r="A132" s="37" t="s">
        <v>108</v>
      </c>
      <c r="B132" s="37" t="s">
        <v>137</v>
      </c>
      <c r="C132" s="37" t="s">
        <v>51</v>
      </c>
      <c r="D132" s="38">
        <v>1.0</v>
      </c>
      <c r="E132" s="38">
        <v>6.0</v>
      </c>
      <c r="F132" s="38">
        <v>409186.0</v>
      </c>
      <c r="G132" s="38">
        <v>9838.0</v>
      </c>
      <c r="H132" s="393">
        <v>0.1443</v>
      </c>
      <c r="I132" s="393">
        <v>0.4625</v>
      </c>
      <c r="J132" s="393">
        <v>0.2932</v>
      </c>
      <c r="K132" s="38">
        <v>2.0</v>
      </c>
      <c r="L132" s="38">
        <v>4.0</v>
      </c>
      <c r="M132" s="38">
        <v>5.0</v>
      </c>
      <c r="N132" s="38">
        <v>1.0</v>
      </c>
      <c r="O132" s="37" t="s">
        <v>364</v>
      </c>
      <c r="P132" s="393">
        <v>0.0</v>
      </c>
      <c r="Q132" s="393">
        <v>0.0</v>
      </c>
      <c r="R132" s="393">
        <v>0.5322217536457012</v>
      </c>
    </row>
    <row r="133">
      <c r="A133" s="37" t="s">
        <v>108</v>
      </c>
      <c r="B133" s="37" t="s">
        <v>339</v>
      </c>
      <c r="C133" s="37" t="s">
        <v>51</v>
      </c>
      <c r="D133" s="38">
        <v>1.0</v>
      </c>
      <c r="E133" s="38">
        <v>6.0</v>
      </c>
      <c r="F133" s="38">
        <v>297720.0</v>
      </c>
      <c r="G133" s="38">
        <v>8102.0</v>
      </c>
      <c r="H133" s="393">
        <v>0.1633</v>
      </c>
      <c r="I133" s="393">
        <v>0.4447</v>
      </c>
      <c r="J133" s="393">
        <v>0.3113</v>
      </c>
      <c r="K133" s="38">
        <v>2.0</v>
      </c>
      <c r="L133" s="38">
        <v>4.0</v>
      </c>
      <c r="M133" s="38">
        <v>5.0</v>
      </c>
      <c r="N133" s="38">
        <v>0.7</v>
      </c>
      <c r="O133" s="37" t="s">
        <v>364</v>
      </c>
      <c r="P133" s="393">
        <v>0.0</v>
      </c>
      <c r="Q133" s="393">
        <v>0.0</v>
      </c>
      <c r="R133" s="393">
        <v>0.0</v>
      </c>
    </row>
    <row r="134">
      <c r="A134" s="37" t="s">
        <v>108</v>
      </c>
      <c r="B134" s="37" t="s">
        <v>137</v>
      </c>
      <c r="C134" s="37" t="s">
        <v>52</v>
      </c>
      <c r="D134" s="38">
        <v>2.0</v>
      </c>
      <c r="E134" s="38">
        <v>6.0</v>
      </c>
      <c r="F134" s="38">
        <v>244714.0</v>
      </c>
      <c r="G134" s="38">
        <v>9337.0</v>
      </c>
      <c r="H134" s="393">
        <v>0.2289</v>
      </c>
      <c r="I134" s="393">
        <v>0.4354</v>
      </c>
      <c r="J134" s="393">
        <v>0.2912</v>
      </c>
      <c r="K134" s="38">
        <v>2.0</v>
      </c>
      <c r="L134" s="38">
        <v>3.0</v>
      </c>
      <c r="M134" s="38">
        <v>5.0</v>
      </c>
      <c r="N134" s="38">
        <v>1.4</v>
      </c>
      <c r="O134" s="37" t="s">
        <v>364</v>
      </c>
      <c r="P134" s="393">
        <v>0.0</v>
      </c>
      <c r="Q134" s="393">
        <v>0.0</v>
      </c>
      <c r="R134" s="393">
        <v>0.5612986275737043</v>
      </c>
    </row>
    <row r="135">
      <c r="A135" s="37" t="s">
        <v>108</v>
      </c>
      <c r="B135" s="37" t="s">
        <v>339</v>
      </c>
      <c r="C135" s="37" t="s">
        <v>52</v>
      </c>
      <c r="D135" s="38">
        <v>2.0</v>
      </c>
      <c r="E135" s="38">
        <v>6.0</v>
      </c>
      <c r="F135" s="38">
        <v>139613.0</v>
      </c>
      <c r="G135" s="38">
        <v>5688.0</v>
      </c>
      <c r="H135" s="393">
        <v>0.2445</v>
      </c>
      <c r="I135" s="393">
        <v>0.4365</v>
      </c>
      <c r="J135" s="393">
        <v>0.2794</v>
      </c>
      <c r="K135" s="38">
        <v>2.0</v>
      </c>
      <c r="L135" s="38">
        <v>4.0</v>
      </c>
      <c r="M135" s="38">
        <v>5.0</v>
      </c>
      <c r="N135" s="38">
        <v>1.1</v>
      </c>
      <c r="O135" s="37" t="s">
        <v>364</v>
      </c>
      <c r="P135" s="393">
        <v>0.0</v>
      </c>
      <c r="Q135" s="393">
        <v>0.0</v>
      </c>
      <c r="R135" s="393">
        <v>0.09761104889884281</v>
      </c>
    </row>
    <row r="136">
      <c r="A136" s="37" t="s">
        <v>108</v>
      </c>
      <c r="B136" s="37" t="s">
        <v>137</v>
      </c>
      <c r="C136" s="37" t="s">
        <v>53</v>
      </c>
      <c r="D136" s="38">
        <v>3.0</v>
      </c>
      <c r="E136" s="38">
        <v>6.0</v>
      </c>
      <c r="F136" s="38">
        <v>142328.0</v>
      </c>
      <c r="G136" s="38">
        <v>6643.0</v>
      </c>
      <c r="H136" s="393">
        <v>0.2801</v>
      </c>
      <c r="I136" s="393">
        <v>0.4383</v>
      </c>
      <c r="J136" s="393">
        <v>0.278</v>
      </c>
      <c r="K136" s="38">
        <v>2.0</v>
      </c>
      <c r="L136" s="38">
        <v>4.0</v>
      </c>
      <c r="M136" s="38">
        <v>5.0</v>
      </c>
      <c r="N136" s="38">
        <v>1.9</v>
      </c>
      <c r="O136" s="37" t="s">
        <v>364</v>
      </c>
      <c r="P136" s="393">
        <v>0.0</v>
      </c>
      <c r="Q136" s="393">
        <v>0.0</v>
      </c>
      <c r="R136" s="393">
        <v>1.2734476870054547</v>
      </c>
    </row>
    <row r="137">
      <c r="A137" s="37" t="s">
        <v>108</v>
      </c>
      <c r="B137" s="37" t="s">
        <v>339</v>
      </c>
      <c r="C137" s="37" t="s">
        <v>53</v>
      </c>
      <c r="D137" s="38">
        <v>3.0</v>
      </c>
      <c r="E137" s="38">
        <v>6.0</v>
      </c>
      <c r="F137" s="38">
        <v>77966.0</v>
      </c>
      <c r="G137" s="38">
        <v>3876.0</v>
      </c>
      <c r="H137" s="393">
        <v>0.2983</v>
      </c>
      <c r="I137" s="393">
        <v>0.4483</v>
      </c>
      <c r="J137" s="393">
        <v>0.2623</v>
      </c>
      <c r="K137" s="38">
        <v>2.0</v>
      </c>
      <c r="L137" s="38">
        <v>4.0</v>
      </c>
      <c r="M137" s="38">
        <v>5.0</v>
      </c>
      <c r="N137" s="38">
        <v>1.5</v>
      </c>
      <c r="O137" s="37" t="s">
        <v>364</v>
      </c>
      <c r="P137" s="393">
        <v>0.0</v>
      </c>
      <c r="Q137" s="393">
        <v>0.0</v>
      </c>
      <c r="R137" s="393">
        <v>0.23328122526997577</v>
      </c>
    </row>
    <row r="138">
      <c r="A138" s="37" t="s">
        <v>108</v>
      </c>
      <c r="B138" s="37" t="s">
        <v>137</v>
      </c>
      <c r="C138" s="37" t="s">
        <v>54</v>
      </c>
      <c r="D138" s="38">
        <v>4.0</v>
      </c>
      <c r="E138" s="38">
        <v>6.0</v>
      </c>
      <c r="F138" s="38">
        <v>60319.0</v>
      </c>
      <c r="G138" s="38">
        <v>2985.0</v>
      </c>
      <c r="H138" s="393">
        <v>0.297</v>
      </c>
      <c r="I138" s="393">
        <v>0.3967</v>
      </c>
      <c r="J138" s="393">
        <v>0.273</v>
      </c>
      <c r="K138" s="38">
        <v>2.0</v>
      </c>
      <c r="L138" s="38">
        <v>4.0</v>
      </c>
      <c r="M138" s="38">
        <v>5.0</v>
      </c>
      <c r="N138" s="38">
        <v>2.3</v>
      </c>
      <c r="O138" s="37" t="s">
        <v>364</v>
      </c>
      <c r="P138" s="393">
        <v>0.0</v>
      </c>
      <c r="Q138" s="393">
        <v>0.0</v>
      </c>
      <c r="R138" s="393">
        <v>2.2522379567122996</v>
      </c>
    </row>
    <row r="139">
      <c r="A139" s="37" t="s">
        <v>108</v>
      </c>
      <c r="B139" s="37" t="s">
        <v>339</v>
      </c>
      <c r="C139" s="37" t="s">
        <v>54</v>
      </c>
      <c r="D139" s="38">
        <v>4.0</v>
      </c>
      <c r="E139" s="38">
        <v>6.0</v>
      </c>
      <c r="F139" s="38">
        <v>33587.0</v>
      </c>
      <c r="G139" s="38">
        <v>1874.0</v>
      </c>
      <c r="H139" s="393">
        <v>0.3347</v>
      </c>
      <c r="I139" s="393">
        <v>0.4405</v>
      </c>
      <c r="J139" s="393">
        <v>0.2558</v>
      </c>
      <c r="K139" s="38">
        <v>2.0</v>
      </c>
      <c r="L139" s="38">
        <v>4.0</v>
      </c>
      <c r="M139" s="38">
        <v>5.0</v>
      </c>
      <c r="N139" s="38">
        <v>1.8</v>
      </c>
      <c r="O139" s="37" t="s">
        <v>364</v>
      </c>
      <c r="P139" s="393">
        <v>0.0</v>
      </c>
      <c r="Q139" s="393">
        <v>0.0</v>
      </c>
      <c r="R139" s="393">
        <v>0.8180800435952054</v>
      </c>
    </row>
    <row r="140">
      <c r="A140" s="37" t="s">
        <v>108</v>
      </c>
      <c r="B140" s="37" t="s">
        <v>137</v>
      </c>
      <c r="C140" s="37" t="s">
        <v>55</v>
      </c>
      <c r="D140" s="38">
        <v>5.0</v>
      </c>
      <c r="E140" s="38">
        <v>6.0</v>
      </c>
      <c r="F140" s="38">
        <v>7755.0</v>
      </c>
      <c r="G140" s="38">
        <v>289.0</v>
      </c>
      <c r="H140" s="393">
        <v>0.2233</v>
      </c>
      <c r="I140" s="393">
        <v>0.2673</v>
      </c>
      <c r="J140" s="393">
        <v>0.239</v>
      </c>
      <c r="K140" s="38">
        <v>2.0</v>
      </c>
      <c r="L140" s="38">
        <v>3.0</v>
      </c>
      <c r="M140" s="38">
        <v>5.0</v>
      </c>
      <c r="N140" s="38">
        <v>3.1</v>
      </c>
      <c r="O140" s="37" t="s">
        <v>364</v>
      </c>
      <c r="P140" s="393">
        <v>0.0</v>
      </c>
      <c r="Q140" s="393">
        <v>0.0</v>
      </c>
      <c r="R140" s="393">
        <v>3.4513729977116707</v>
      </c>
    </row>
    <row r="141">
      <c r="A141" s="37" t="s">
        <v>108</v>
      </c>
      <c r="B141" s="37" t="s">
        <v>339</v>
      </c>
      <c r="C141" s="37" t="s">
        <v>55</v>
      </c>
      <c r="D141" s="38">
        <v>5.0</v>
      </c>
      <c r="E141" s="38">
        <v>6.0</v>
      </c>
      <c r="F141" s="38">
        <v>4254.0</v>
      </c>
      <c r="G141" s="38">
        <v>190.0</v>
      </c>
      <c r="H141" s="393">
        <v>0.2677</v>
      </c>
      <c r="I141" s="393">
        <v>0.33</v>
      </c>
      <c r="J141" s="393">
        <v>0.2344</v>
      </c>
      <c r="K141" s="38">
        <v>2.0</v>
      </c>
      <c r="L141" s="38">
        <v>4.0</v>
      </c>
      <c r="M141" s="38">
        <v>5.0</v>
      </c>
      <c r="N141" s="38">
        <v>2.0</v>
      </c>
      <c r="O141" s="37" t="s">
        <v>364</v>
      </c>
      <c r="P141" s="393">
        <v>0.0</v>
      </c>
      <c r="Q141" s="393">
        <v>0.0</v>
      </c>
      <c r="R141" s="393">
        <v>0.8095238095238095</v>
      </c>
    </row>
    <row r="142">
      <c r="A142" s="37" t="s">
        <v>34</v>
      </c>
      <c r="B142" s="37" t="s">
        <v>137</v>
      </c>
      <c r="C142" s="37" t="s">
        <v>51</v>
      </c>
      <c r="D142" s="38">
        <v>1.0</v>
      </c>
      <c r="E142" s="38">
        <v>3.0</v>
      </c>
      <c r="F142" s="38">
        <v>124959.0</v>
      </c>
      <c r="G142" s="38">
        <v>0.0</v>
      </c>
      <c r="H142" s="393">
        <v>0.0</v>
      </c>
      <c r="I142" s="393">
        <v>0.0</v>
      </c>
      <c r="J142" s="393" t="s">
        <v>364</v>
      </c>
      <c r="K142" s="37" t="s">
        <v>364</v>
      </c>
      <c r="L142" s="37" t="s">
        <v>364</v>
      </c>
      <c r="M142" s="37" t="s">
        <v>364</v>
      </c>
      <c r="N142" s="37" t="s">
        <v>364</v>
      </c>
      <c r="O142" s="37" t="s">
        <v>364</v>
      </c>
      <c r="P142" s="393" t="s">
        <v>364</v>
      </c>
      <c r="Q142" s="393" t="s">
        <v>364</v>
      </c>
      <c r="R142" s="393" t="s">
        <v>364</v>
      </c>
    </row>
    <row r="143">
      <c r="A143" s="37" t="s">
        <v>34</v>
      </c>
      <c r="B143" s="37" t="s">
        <v>339</v>
      </c>
      <c r="C143" s="37" t="s">
        <v>51</v>
      </c>
      <c r="D143" s="38">
        <v>1.0</v>
      </c>
      <c r="E143" s="38">
        <v>3.0</v>
      </c>
      <c r="F143" s="38">
        <v>98313.0</v>
      </c>
      <c r="G143" s="38">
        <v>0.0</v>
      </c>
      <c r="H143" s="393">
        <v>0.0</v>
      </c>
      <c r="I143" s="393">
        <v>0.0</v>
      </c>
      <c r="J143" s="393" t="s">
        <v>364</v>
      </c>
      <c r="K143" s="37" t="s">
        <v>364</v>
      </c>
      <c r="L143" s="37" t="s">
        <v>364</v>
      </c>
      <c r="M143" s="37" t="s">
        <v>364</v>
      </c>
      <c r="N143" s="37" t="s">
        <v>364</v>
      </c>
      <c r="O143" s="37" t="s">
        <v>364</v>
      </c>
      <c r="P143" s="393" t="s">
        <v>364</v>
      </c>
      <c r="Q143" s="393" t="s">
        <v>364</v>
      </c>
      <c r="R143" s="393" t="s">
        <v>364</v>
      </c>
    </row>
    <row r="144">
      <c r="A144" s="37" t="s">
        <v>34</v>
      </c>
      <c r="B144" s="37" t="s">
        <v>137</v>
      </c>
      <c r="C144" s="37" t="s">
        <v>52</v>
      </c>
      <c r="D144" s="38">
        <v>2.0</v>
      </c>
      <c r="E144" s="38">
        <v>3.0</v>
      </c>
      <c r="F144" s="38">
        <v>82659.0</v>
      </c>
      <c r="G144" s="38">
        <v>0.0</v>
      </c>
      <c r="H144" s="393">
        <v>0.0</v>
      </c>
      <c r="I144" s="393">
        <v>0.0</v>
      </c>
      <c r="J144" s="393" t="s">
        <v>364</v>
      </c>
      <c r="K144" s="37" t="s">
        <v>364</v>
      </c>
      <c r="L144" s="37" t="s">
        <v>364</v>
      </c>
      <c r="M144" s="37" t="s">
        <v>364</v>
      </c>
      <c r="N144" s="37" t="s">
        <v>364</v>
      </c>
      <c r="O144" s="37" t="s">
        <v>364</v>
      </c>
      <c r="P144" s="393" t="s">
        <v>364</v>
      </c>
      <c r="Q144" s="393" t="s">
        <v>364</v>
      </c>
      <c r="R144" s="393" t="s">
        <v>364</v>
      </c>
    </row>
    <row r="145">
      <c r="A145" s="37" t="s">
        <v>34</v>
      </c>
      <c r="B145" s="37" t="s">
        <v>339</v>
      </c>
      <c r="C145" s="37" t="s">
        <v>52</v>
      </c>
      <c r="D145" s="38">
        <v>2.0</v>
      </c>
      <c r="E145" s="38">
        <v>3.0</v>
      </c>
      <c r="F145" s="38">
        <v>48027.0</v>
      </c>
      <c r="G145" s="38">
        <v>0.0</v>
      </c>
      <c r="H145" s="393">
        <v>0.0</v>
      </c>
      <c r="I145" s="393">
        <v>0.0</v>
      </c>
      <c r="J145" s="393" t="s">
        <v>364</v>
      </c>
      <c r="K145" s="37" t="s">
        <v>364</v>
      </c>
      <c r="L145" s="37" t="s">
        <v>364</v>
      </c>
      <c r="M145" s="37" t="s">
        <v>364</v>
      </c>
      <c r="N145" s="37" t="s">
        <v>364</v>
      </c>
      <c r="O145" s="37" t="s">
        <v>364</v>
      </c>
      <c r="P145" s="393" t="s">
        <v>364</v>
      </c>
      <c r="Q145" s="393" t="s">
        <v>364</v>
      </c>
      <c r="R145" s="393" t="s">
        <v>364</v>
      </c>
    </row>
    <row r="146">
      <c r="A146" s="37" t="s">
        <v>34</v>
      </c>
      <c r="B146" s="37" t="s">
        <v>137</v>
      </c>
      <c r="C146" s="37" t="s">
        <v>53</v>
      </c>
      <c r="D146" s="38">
        <v>3.0</v>
      </c>
      <c r="E146" s="38">
        <v>3.0</v>
      </c>
      <c r="F146" s="38">
        <v>46602.0</v>
      </c>
      <c r="G146" s="38">
        <v>0.0</v>
      </c>
      <c r="H146" s="393">
        <v>0.0</v>
      </c>
      <c r="I146" s="393">
        <v>0.0</v>
      </c>
      <c r="J146" s="393" t="s">
        <v>364</v>
      </c>
      <c r="K146" s="37" t="s">
        <v>364</v>
      </c>
      <c r="L146" s="37" t="s">
        <v>364</v>
      </c>
      <c r="M146" s="37" t="s">
        <v>364</v>
      </c>
      <c r="N146" s="37" t="s">
        <v>364</v>
      </c>
      <c r="O146" s="37" t="s">
        <v>364</v>
      </c>
      <c r="P146" s="393" t="s">
        <v>364</v>
      </c>
      <c r="Q146" s="393" t="s">
        <v>364</v>
      </c>
      <c r="R146" s="393" t="s">
        <v>364</v>
      </c>
    </row>
    <row r="147">
      <c r="A147" s="37" t="s">
        <v>34</v>
      </c>
      <c r="B147" s="37" t="s">
        <v>339</v>
      </c>
      <c r="C147" s="37" t="s">
        <v>53</v>
      </c>
      <c r="D147" s="38">
        <v>3.0</v>
      </c>
      <c r="E147" s="38">
        <v>3.0</v>
      </c>
      <c r="F147" s="38">
        <v>24072.0</v>
      </c>
      <c r="G147" s="38">
        <v>0.0</v>
      </c>
      <c r="H147" s="393">
        <v>0.0</v>
      </c>
      <c r="I147" s="393">
        <v>0.0</v>
      </c>
      <c r="J147" s="393" t="s">
        <v>364</v>
      </c>
      <c r="K147" s="37" t="s">
        <v>364</v>
      </c>
      <c r="L147" s="37" t="s">
        <v>364</v>
      </c>
      <c r="M147" s="37" t="s">
        <v>364</v>
      </c>
      <c r="N147" s="37" t="s">
        <v>364</v>
      </c>
      <c r="O147" s="37" t="s">
        <v>364</v>
      </c>
      <c r="P147" s="393" t="s">
        <v>364</v>
      </c>
      <c r="Q147" s="393" t="s">
        <v>364</v>
      </c>
      <c r="R147" s="393" t="s">
        <v>364</v>
      </c>
    </row>
    <row r="148">
      <c r="A148" s="37" t="s">
        <v>34</v>
      </c>
      <c r="B148" s="37" t="s">
        <v>137</v>
      </c>
      <c r="C148" s="37" t="s">
        <v>54</v>
      </c>
      <c r="D148" s="38">
        <v>4.0</v>
      </c>
      <c r="E148" s="38">
        <v>3.0</v>
      </c>
      <c r="F148" s="38">
        <v>18930.0</v>
      </c>
      <c r="G148" s="38">
        <v>0.0</v>
      </c>
      <c r="H148" s="393">
        <v>0.0</v>
      </c>
      <c r="I148" s="393">
        <v>0.0</v>
      </c>
      <c r="J148" s="393" t="s">
        <v>364</v>
      </c>
      <c r="K148" s="37" t="s">
        <v>364</v>
      </c>
      <c r="L148" s="37" t="s">
        <v>364</v>
      </c>
      <c r="M148" s="37" t="s">
        <v>364</v>
      </c>
      <c r="N148" s="37" t="s">
        <v>364</v>
      </c>
      <c r="O148" s="37" t="s">
        <v>364</v>
      </c>
      <c r="P148" s="393" t="s">
        <v>364</v>
      </c>
      <c r="Q148" s="393" t="s">
        <v>364</v>
      </c>
      <c r="R148" s="393" t="s">
        <v>364</v>
      </c>
    </row>
    <row r="149">
      <c r="A149" s="37" t="s">
        <v>34</v>
      </c>
      <c r="B149" s="37" t="s">
        <v>339</v>
      </c>
      <c r="C149" s="37" t="s">
        <v>54</v>
      </c>
      <c r="D149" s="38">
        <v>4.0</v>
      </c>
      <c r="E149" s="38">
        <v>3.0</v>
      </c>
      <c r="F149" s="38">
        <v>9228.0</v>
      </c>
      <c r="G149" s="38">
        <v>0.0</v>
      </c>
      <c r="H149" s="393">
        <v>0.0</v>
      </c>
      <c r="I149" s="393">
        <v>0.0</v>
      </c>
      <c r="J149" s="393" t="s">
        <v>364</v>
      </c>
      <c r="K149" s="37" t="s">
        <v>364</v>
      </c>
      <c r="L149" s="37" t="s">
        <v>364</v>
      </c>
      <c r="M149" s="37" t="s">
        <v>364</v>
      </c>
      <c r="N149" s="37" t="s">
        <v>364</v>
      </c>
      <c r="O149" s="37" t="s">
        <v>364</v>
      </c>
      <c r="P149" s="393" t="s">
        <v>364</v>
      </c>
      <c r="Q149" s="393" t="s">
        <v>364</v>
      </c>
      <c r="R149" s="393" t="s">
        <v>364</v>
      </c>
    </row>
    <row r="150">
      <c r="A150" s="37" t="s">
        <v>34</v>
      </c>
      <c r="B150" s="37" t="s">
        <v>137</v>
      </c>
      <c r="C150" s="37" t="s">
        <v>55</v>
      </c>
      <c r="D150" s="38">
        <v>5.0</v>
      </c>
      <c r="E150" s="38">
        <v>3.0</v>
      </c>
      <c r="F150" s="38">
        <v>2340.0</v>
      </c>
      <c r="G150" s="38">
        <v>0.0</v>
      </c>
      <c r="H150" s="393">
        <v>0.0</v>
      </c>
      <c r="I150" s="393">
        <v>0.0</v>
      </c>
      <c r="J150" s="393" t="s">
        <v>364</v>
      </c>
      <c r="K150" s="37" t="s">
        <v>364</v>
      </c>
      <c r="L150" s="37" t="s">
        <v>364</v>
      </c>
      <c r="M150" s="37" t="s">
        <v>364</v>
      </c>
      <c r="N150" s="37" t="s">
        <v>364</v>
      </c>
      <c r="O150" s="37" t="s">
        <v>364</v>
      </c>
      <c r="P150" s="393" t="s">
        <v>364</v>
      </c>
      <c r="Q150" s="393" t="s">
        <v>364</v>
      </c>
      <c r="R150" s="393" t="s">
        <v>364</v>
      </c>
    </row>
    <row r="151">
      <c r="A151" s="37" t="s">
        <v>34</v>
      </c>
      <c r="B151" s="37" t="s">
        <v>339</v>
      </c>
      <c r="C151" s="37" t="s">
        <v>55</v>
      </c>
      <c r="D151" s="38">
        <v>5.0</v>
      </c>
      <c r="E151" s="38">
        <v>3.0</v>
      </c>
      <c r="F151" s="38">
        <v>1149.0</v>
      </c>
      <c r="G151" s="38">
        <v>0.0</v>
      </c>
      <c r="H151" s="393">
        <v>0.0</v>
      </c>
      <c r="I151" s="393">
        <v>0.0</v>
      </c>
      <c r="J151" s="393" t="s">
        <v>364</v>
      </c>
      <c r="K151" s="37" t="s">
        <v>364</v>
      </c>
      <c r="L151" s="37" t="s">
        <v>364</v>
      </c>
      <c r="M151" s="37" t="s">
        <v>364</v>
      </c>
      <c r="N151" s="37" t="s">
        <v>364</v>
      </c>
      <c r="O151" s="37" t="s">
        <v>364</v>
      </c>
      <c r="P151" s="393" t="s">
        <v>364</v>
      </c>
      <c r="Q151" s="393" t="s">
        <v>364</v>
      </c>
      <c r="R151" s="393" t="s">
        <v>364</v>
      </c>
    </row>
    <row r="152">
      <c r="A152" s="37" t="s">
        <v>27</v>
      </c>
      <c r="B152" s="37" t="s">
        <v>137</v>
      </c>
      <c r="C152" s="37" t="s">
        <v>51</v>
      </c>
      <c r="D152" s="38">
        <v>1.0</v>
      </c>
      <c r="E152" s="38">
        <v>7.0</v>
      </c>
      <c r="F152" s="38">
        <v>289593.0</v>
      </c>
      <c r="G152" s="38">
        <v>3916.0</v>
      </c>
      <c r="H152" s="393">
        <v>0.0947</v>
      </c>
      <c r="I152" s="393">
        <v>0.1195</v>
      </c>
      <c r="J152" s="393">
        <v>0.0</v>
      </c>
      <c r="K152" s="38">
        <v>5.0</v>
      </c>
      <c r="L152" s="38">
        <v>9.0</v>
      </c>
      <c r="M152" s="38">
        <v>12.0</v>
      </c>
      <c r="N152" s="38">
        <v>173.7</v>
      </c>
      <c r="O152" s="38">
        <v>0.0</v>
      </c>
      <c r="P152" s="393">
        <v>4.288815434088123</v>
      </c>
      <c r="Q152" s="393">
        <v>16.960177999096484</v>
      </c>
      <c r="R152" s="393">
        <v>140.06114522711763</v>
      </c>
    </row>
    <row r="153">
      <c r="A153" s="37" t="s">
        <v>27</v>
      </c>
      <c r="B153" s="37" t="s">
        <v>339</v>
      </c>
      <c r="C153" s="37" t="s">
        <v>51</v>
      </c>
      <c r="D153" s="38">
        <v>1.0</v>
      </c>
      <c r="E153" s="38">
        <v>7.0</v>
      </c>
      <c r="F153" s="38">
        <v>226996.0</v>
      </c>
      <c r="G153" s="38">
        <v>3303.0</v>
      </c>
      <c r="H153" s="393">
        <v>0.1018</v>
      </c>
      <c r="I153" s="393">
        <v>0.1251</v>
      </c>
      <c r="J153" s="393">
        <v>0.0</v>
      </c>
      <c r="K153" s="38">
        <v>6.0</v>
      </c>
      <c r="L153" s="38">
        <v>10.0</v>
      </c>
      <c r="M153" s="38">
        <v>13.0</v>
      </c>
      <c r="N153" s="38">
        <v>149.6</v>
      </c>
      <c r="O153" s="38">
        <v>0.0</v>
      </c>
      <c r="P153" s="393">
        <v>2.6425375309812056</v>
      </c>
      <c r="Q153" s="393">
        <v>11.23148991394351</v>
      </c>
      <c r="R153" s="393">
        <v>105.09527652142654</v>
      </c>
    </row>
    <row r="154">
      <c r="A154" s="37" t="s">
        <v>27</v>
      </c>
      <c r="B154" s="37" t="s">
        <v>137</v>
      </c>
      <c r="C154" s="37" t="s">
        <v>52</v>
      </c>
      <c r="D154" s="38">
        <v>2.0</v>
      </c>
      <c r="E154" s="38">
        <v>7.0</v>
      </c>
      <c r="F154" s="38">
        <v>208715.0</v>
      </c>
      <c r="G154" s="38">
        <v>3249.0</v>
      </c>
      <c r="H154" s="393">
        <v>0.109</v>
      </c>
      <c r="I154" s="393">
        <v>0.1189</v>
      </c>
      <c r="J154" s="393">
        <v>0.0</v>
      </c>
      <c r="K154" s="38">
        <v>3.0</v>
      </c>
      <c r="L154" s="38">
        <v>6.0</v>
      </c>
      <c r="M154" s="38">
        <v>9.0</v>
      </c>
      <c r="N154" s="38">
        <v>746.2</v>
      </c>
      <c r="O154" s="38">
        <v>0.0</v>
      </c>
      <c r="P154" s="393">
        <v>32.170172609154605</v>
      </c>
      <c r="Q154" s="393">
        <v>388.52992696667263</v>
      </c>
      <c r="R154" s="393">
        <v>1036.3182731179631</v>
      </c>
    </row>
    <row r="155">
      <c r="A155" s="37" t="s">
        <v>27</v>
      </c>
      <c r="B155" s="37" t="s">
        <v>339</v>
      </c>
      <c r="C155" s="37" t="s">
        <v>52</v>
      </c>
      <c r="D155" s="38">
        <v>2.0</v>
      </c>
      <c r="E155" s="38">
        <v>7.0</v>
      </c>
      <c r="F155" s="38">
        <v>121903.0</v>
      </c>
      <c r="G155" s="38">
        <v>2040.0</v>
      </c>
      <c r="H155" s="393">
        <v>0.1171</v>
      </c>
      <c r="I155" s="393">
        <v>0.1285</v>
      </c>
      <c r="J155" s="393">
        <v>0.0</v>
      </c>
      <c r="K155" s="38">
        <v>3.0</v>
      </c>
      <c r="L155" s="38">
        <v>7.0</v>
      </c>
      <c r="M155" s="38">
        <v>11.0</v>
      </c>
      <c r="N155" s="38">
        <v>685.7</v>
      </c>
      <c r="O155" s="38">
        <v>0.0</v>
      </c>
      <c r="P155" s="393">
        <v>18.434300802932697</v>
      </c>
      <c r="Q155" s="393">
        <v>262.20880942352795</v>
      </c>
      <c r="R155" s="393">
        <v>951.588701972687</v>
      </c>
    </row>
    <row r="156">
      <c r="A156" s="37" t="s">
        <v>27</v>
      </c>
      <c r="B156" s="37" t="s">
        <v>137</v>
      </c>
      <c r="C156" s="37" t="s">
        <v>53</v>
      </c>
      <c r="D156" s="38">
        <v>3.0</v>
      </c>
      <c r="E156" s="38">
        <v>7.0</v>
      </c>
      <c r="F156" s="38">
        <v>117155.0</v>
      </c>
      <c r="G156" s="38">
        <v>1849.0</v>
      </c>
      <c r="H156" s="393">
        <v>0.1105</v>
      </c>
      <c r="I156" s="393">
        <v>0.1161</v>
      </c>
      <c r="J156" s="393">
        <v>0.0</v>
      </c>
      <c r="K156" s="38">
        <v>2.0</v>
      </c>
      <c r="L156" s="38">
        <v>4.0</v>
      </c>
      <c r="M156" s="38">
        <v>7.0</v>
      </c>
      <c r="N156" s="38">
        <v>1606.9</v>
      </c>
      <c r="O156" s="38">
        <v>0.0</v>
      </c>
      <c r="P156" s="393">
        <v>359.2410811805724</v>
      </c>
      <c r="Q156" s="393">
        <v>1208.2873979936276</v>
      </c>
      <c r="R156" s="393">
        <v>2385.087875480573</v>
      </c>
    </row>
    <row r="157">
      <c r="A157" s="37" t="s">
        <v>27</v>
      </c>
      <c r="B157" s="37" t="s">
        <v>339</v>
      </c>
      <c r="C157" s="37" t="s">
        <v>53</v>
      </c>
      <c r="D157" s="38">
        <v>3.0</v>
      </c>
      <c r="E157" s="38">
        <v>7.0</v>
      </c>
      <c r="F157" s="38">
        <v>63875.0</v>
      </c>
      <c r="G157" s="38">
        <v>1099.0</v>
      </c>
      <c r="H157" s="393">
        <v>0.1205</v>
      </c>
      <c r="I157" s="393">
        <v>0.127</v>
      </c>
      <c r="J157" s="393">
        <v>0.0</v>
      </c>
      <c r="K157" s="38">
        <v>2.0</v>
      </c>
      <c r="L157" s="38">
        <v>4.0</v>
      </c>
      <c r="M157" s="38">
        <v>8.0</v>
      </c>
      <c r="N157" s="38">
        <v>1578.0</v>
      </c>
      <c r="O157" s="38">
        <v>0.0</v>
      </c>
      <c r="P157" s="393">
        <v>211.36796462872394</v>
      </c>
      <c r="Q157" s="393">
        <v>1031.5806956967704</v>
      </c>
      <c r="R157" s="393">
        <v>2321.652145971858</v>
      </c>
    </row>
    <row r="158">
      <c r="A158" s="37" t="s">
        <v>27</v>
      </c>
      <c r="B158" s="37" t="s">
        <v>137</v>
      </c>
      <c r="C158" s="37" t="s">
        <v>54</v>
      </c>
      <c r="D158" s="38">
        <v>4.0</v>
      </c>
      <c r="E158" s="38">
        <v>7.0</v>
      </c>
      <c r="F158" s="38">
        <v>50572.0</v>
      </c>
      <c r="G158" s="38">
        <v>829.0</v>
      </c>
      <c r="H158" s="393">
        <v>0.1147</v>
      </c>
      <c r="I158" s="393">
        <v>0.1177</v>
      </c>
      <c r="J158" s="393">
        <v>0.0</v>
      </c>
      <c r="K158" s="38">
        <v>1.0</v>
      </c>
      <c r="L158" s="38">
        <v>2.0</v>
      </c>
      <c r="M158" s="38">
        <v>4.0</v>
      </c>
      <c r="N158" s="38">
        <v>3826.7</v>
      </c>
      <c r="O158" s="38">
        <v>0.0</v>
      </c>
      <c r="P158" s="393">
        <v>1435.2539692513928</v>
      </c>
      <c r="Q158" s="393">
        <v>3222.325224148627</v>
      </c>
      <c r="R158" s="393">
        <v>5440.503124089238</v>
      </c>
    </row>
    <row r="159">
      <c r="A159" s="37" t="s">
        <v>27</v>
      </c>
      <c r="B159" s="37" t="s">
        <v>339</v>
      </c>
      <c r="C159" s="37" t="s">
        <v>54</v>
      </c>
      <c r="D159" s="38">
        <v>4.0</v>
      </c>
      <c r="E159" s="38">
        <v>7.0</v>
      </c>
      <c r="F159" s="38">
        <v>26696.0</v>
      </c>
      <c r="G159" s="38">
        <v>486.0</v>
      </c>
      <c r="H159" s="393">
        <v>0.1275</v>
      </c>
      <c r="I159" s="393">
        <v>0.1302</v>
      </c>
      <c r="J159" s="393">
        <v>0.0</v>
      </c>
      <c r="K159" s="38">
        <v>1.0</v>
      </c>
      <c r="L159" s="38">
        <v>2.0</v>
      </c>
      <c r="M159" s="38">
        <v>4.0</v>
      </c>
      <c r="N159" s="38">
        <v>3827.9</v>
      </c>
      <c r="O159" s="38">
        <v>0.0</v>
      </c>
      <c r="P159" s="393">
        <v>1186.5544521681563</v>
      </c>
      <c r="Q159" s="393">
        <v>3148.6960014779593</v>
      </c>
      <c r="R159" s="393">
        <v>5442.352984957421</v>
      </c>
    </row>
    <row r="160">
      <c r="A160" s="37" t="s">
        <v>27</v>
      </c>
      <c r="B160" s="37" t="s">
        <v>137</v>
      </c>
      <c r="C160" s="37" t="s">
        <v>55</v>
      </c>
      <c r="D160" s="38">
        <v>5.0</v>
      </c>
      <c r="E160" s="38">
        <v>7.0</v>
      </c>
      <c r="F160" s="38">
        <v>6489.0</v>
      </c>
      <c r="G160" s="38">
        <v>125.0</v>
      </c>
      <c r="H160" s="393">
        <v>0.1353</v>
      </c>
      <c r="I160" s="393">
        <v>0.1381</v>
      </c>
      <c r="J160" s="393">
        <v>0.0</v>
      </c>
      <c r="K160" s="38">
        <v>1.0</v>
      </c>
      <c r="L160" s="38">
        <v>1.0</v>
      </c>
      <c r="M160" s="38">
        <v>2.0</v>
      </c>
      <c r="N160" s="38">
        <v>9903.8</v>
      </c>
      <c r="O160" s="38">
        <v>1.0</v>
      </c>
      <c r="P160" s="393">
        <v>5229.47386994449</v>
      </c>
      <c r="Q160" s="393">
        <v>8806.962893356644</v>
      </c>
      <c r="R160" s="393">
        <v>13410.365032354406</v>
      </c>
    </row>
    <row r="161">
      <c r="A161" s="37" t="s">
        <v>27</v>
      </c>
      <c r="B161" s="37" t="s">
        <v>339</v>
      </c>
      <c r="C161" s="37" t="s">
        <v>55</v>
      </c>
      <c r="D161" s="38">
        <v>5.0</v>
      </c>
      <c r="E161" s="38">
        <v>7.0</v>
      </c>
      <c r="F161" s="38">
        <v>3349.0</v>
      </c>
      <c r="G161" s="38">
        <v>70.0</v>
      </c>
      <c r="H161" s="393">
        <v>0.1466</v>
      </c>
      <c r="I161" s="393">
        <v>0.149</v>
      </c>
      <c r="J161" s="393">
        <v>0.0</v>
      </c>
      <c r="K161" s="38">
        <v>1.0</v>
      </c>
      <c r="L161" s="38">
        <v>1.0</v>
      </c>
      <c r="M161" s="38">
        <v>2.0</v>
      </c>
      <c r="N161" s="38">
        <v>9900.7</v>
      </c>
      <c r="O161" s="38">
        <v>0.0</v>
      </c>
      <c r="P161" s="393">
        <v>4283.2411605415855</v>
      </c>
      <c r="Q161" s="393">
        <v>8748.342560553632</v>
      </c>
      <c r="R161" s="393">
        <v>13871.029399585923</v>
      </c>
    </row>
    <row r="162">
      <c r="H162" s="394"/>
      <c r="I162" s="394"/>
      <c r="J162" s="394"/>
      <c r="P162" s="394"/>
      <c r="Q162" s="394"/>
      <c r="R162" s="394"/>
    </row>
    <row r="163">
      <c r="H163" s="394"/>
      <c r="I163" s="394"/>
      <c r="J163" s="394"/>
      <c r="P163" s="394"/>
      <c r="Q163" s="394"/>
      <c r="R163" s="394"/>
    </row>
    <row r="164">
      <c r="H164" s="394"/>
      <c r="I164" s="394"/>
      <c r="J164" s="394"/>
      <c r="P164" s="394"/>
      <c r="Q164" s="394"/>
      <c r="R164" s="394"/>
    </row>
    <row r="165">
      <c r="H165" s="394"/>
      <c r="I165" s="394"/>
      <c r="J165" s="394"/>
      <c r="P165" s="394"/>
      <c r="Q165" s="394"/>
      <c r="R165" s="394"/>
    </row>
    <row r="166">
      <c r="H166" s="394"/>
      <c r="I166" s="394"/>
      <c r="J166" s="394"/>
      <c r="P166" s="394"/>
      <c r="Q166" s="394"/>
      <c r="R166" s="394"/>
    </row>
    <row r="167">
      <c r="H167" s="394"/>
      <c r="I167" s="394"/>
      <c r="J167" s="394"/>
      <c r="P167" s="394"/>
      <c r="Q167" s="394"/>
      <c r="R167" s="394"/>
    </row>
    <row r="168">
      <c r="H168" s="394"/>
      <c r="I168" s="394"/>
      <c r="J168" s="394"/>
      <c r="P168" s="394"/>
      <c r="Q168" s="394"/>
      <c r="R168" s="394"/>
    </row>
    <row r="169">
      <c r="H169" s="394"/>
      <c r="I169" s="394"/>
      <c r="J169" s="394"/>
      <c r="P169" s="394"/>
      <c r="Q169" s="394"/>
      <c r="R169" s="394"/>
    </row>
    <row r="170">
      <c r="H170" s="394"/>
      <c r="I170" s="394"/>
      <c r="J170" s="394"/>
      <c r="P170" s="394"/>
      <c r="Q170" s="394"/>
      <c r="R170" s="394"/>
    </row>
    <row r="171">
      <c r="H171" s="394"/>
      <c r="I171" s="394"/>
      <c r="J171" s="394"/>
      <c r="P171" s="394"/>
      <c r="Q171" s="394"/>
      <c r="R171" s="394"/>
    </row>
    <row r="172">
      <c r="H172" s="394"/>
      <c r="I172" s="394"/>
      <c r="J172" s="394"/>
      <c r="P172" s="394"/>
      <c r="Q172" s="394"/>
      <c r="R172" s="394"/>
    </row>
    <row r="173">
      <c r="H173" s="394"/>
      <c r="I173" s="394"/>
      <c r="J173" s="394"/>
      <c r="P173" s="394"/>
      <c r="Q173" s="394"/>
      <c r="R173" s="394"/>
    </row>
    <row r="174">
      <c r="H174" s="394"/>
      <c r="I174" s="394"/>
      <c r="J174" s="394"/>
      <c r="P174" s="394"/>
      <c r="Q174" s="394"/>
      <c r="R174" s="394"/>
    </row>
    <row r="175">
      <c r="H175" s="394"/>
      <c r="I175" s="394"/>
      <c r="J175" s="394"/>
      <c r="P175" s="394"/>
      <c r="Q175" s="394"/>
      <c r="R175" s="394"/>
    </row>
    <row r="176">
      <c r="H176" s="394"/>
      <c r="I176" s="394"/>
      <c r="J176" s="394"/>
      <c r="P176" s="394"/>
      <c r="Q176" s="394"/>
      <c r="R176" s="394"/>
    </row>
    <row r="177">
      <c r="H177" s="394"/>
      <c r="I177" s="394"/>
      <c r="J177" s="394"/>
      <c r="P177" s="394"/>
      <c r="Q177" s="394"/>
      <c r="R177" s="394"/>
    </row>
    <row r="178">
      <c r="H178" s="394"/>
      <c r="I178" s="394"/>
      <c r="J178" s="394"/>
      <c r="P178" s="394"/>
      <c r="Q178" s="394"/>
      <c r="R178" s="394"/>
    </row>
    <row r="179">
      <c r="H179" s="394"/>
      <c r="I179" s="394"/>
      <c r="J179" s="394"/>
      <c r="P179" s="394"/>
      <c r="Q179" s="394"/>
      <c r="R179" s="394"/>
    </row>
    <row r="180">
      <c r="H180" s="394"/>
      <c r="I180" s="394"/>
      <c r="J180" s="394"/>
      <c r="P180" s="394"/>
      <c r="Q180" s="394"/>
      <c r="R180" s="394"/>
    </row>
    <row r="181">
      <c r="H181" s="394"/>
      <c r="I181" s="394"/>
      <c r="J181" s="394"/>
      <c r="P181" s="394"/>
      <c r="Q181" s="394"/>
      <c r="R181" s="394"/>
    </row>
    <row r="182">
      <c r="H182" s="394"/>
      <c r="I182" s="394"/>
      <c r="J182" s="394"/>
      <c r="P182" s="394"/>
      <c r="Q182" s="394"/>
      <c r="R182" s="394"/>
    </row>
    <row r="183">
      <c r="H183" s="394"/>
      <c r="I183" s="394"/>
      <c r="J183" s="394"/>
      <c r="P183" s="394"/>
      <c r="Q183" s="394"/>
      <c r="R183" s="394"/>
    </row>
    <row r="184">
      <c r="H184" s="394"/>
      <c r="I184" s="394"/>
      <c r="J184" s="394"/>
      <c r="P184" s="394"/>
      <c r="Q184" s="394"/>
      <c r="R184" s="394"/>
    </row>
    <row r="185">
      <c r="H185" s="394"/>
      <c r="I185" s="394"/>
      <c r="J185" s="394"/>
      <c r="P185" s="394"/>
      <c r="Q185" s="394"/>
      <c r="R185" s="394"/>
    </row>
    <row r="186">
      <c r="H186" s="394"/>
      <c r="I186" s="394"/>
      <c r="J186" s="394"/>
      <c r="P186" s="394"/>
      <c r="Q186" s="394"/>
      <c r="R186" s="394"/>
    </row>
    <row r="187">
      <c r="H187" s="394"/>
      <c r="I187" s="394"/>
      <c r="J187" s="394"/>
      <c r="P187" s="394"/>
      <c r="Q187" s="394"/>
      <c r="R187" s="394"/>
    </row>
    <row r="188">
      <c r="H188" s="394"/>
      <c r="I188" s="394"/>
      <c r="J188" s="394"/>
      <c r="P188" s="394"/>
      <c r="Q188" s="394"/>
      <c r="R188" s="394"/>
    </row>
    <row r="189">
      <c r="H189" s="394"/>
      <c r="I189" s="394"/>
      <c r="J189" s="394"/>
      <c r="P189" s="394"/>
      <c r="Q189" s="394"/>
      <c r="R189" s="394"/>
    </row>
    <row r="190">
      <c r="H190" s="394"/>
      <c r="I190" s="394"/>
      <c r="J190" s="394"/>
      <c r="P190" s="394"/>
      <c r="Q190" s="394"/>
      <c r="R190" s="394"/>
    </row>
    <row r="191">
      <c r="H191" s="394"/>
      <c r="I191" s="394"/>
      <c r="J191" s="394"/>
      <c r="P191" s="394"/>
      <c r="Q191" s="394"/>
      <c r="R191" s="394"/>
    </row>
    <row r="192">
      <c r="H192" s="394"/>
      <c r="I192" s="394"/>
      <c r="J192" s="394"/>
      <c r="P192" s="394"/>
      <c r="Q192" s="394"/>
      <c r="R192" s="394"/>
    </row>
    <row r="193">
      <c r="H193" s="394"/>
      <c r="I193" s="394"/>
      <c r="J193" s="394"/>
      <c r="P193" s="394"/>
      <c r="Q193" s="394"/>
      <c r="R193" s="394"/>
    </row>
    <row r="194">
      <c r="H194" s="394"/>
      <c r="I194" s="394"/>
      <c r="J194" s="394"/>
      <c r="P194" s="394"/>
      <c r="Q194" s="394"/>
      <c r="R194" s="394"/>
    </row>
    <row r="195">
      <c r="H195" s="394"/>
      <c r="I195" s="394"/>
      <c r="J195" s="394"/>
      <c r="P195" s="394"/>
      <c r="Q195" s="394"/>
      <c r="R195" s="394"/>
    </row>
    <row r="196">
      <c r="H196" s="394"/>
      <c r="I196" s="394"/>
      <c r="J196" s="394"/>
      <c r="P196" s="394"/>
      <c r="Q196" s="394"/>
      <c r="R196" s="394"/>
    </row>
    <row r="197">
      <c r="H197" s="394"/>
      <c r="I197" s="394"/>
      <c r="J197" s="394"/>
      <c r="P197" s="394"/>
      <c r="Q197" s="394"/>
      <c r="R197" s="394"/>
    </row>
    <row r="198">
      <c r="H198" s="394"/>
      <c r="I198" s="394"/>
      <c r="J198" s="394"/>
      <c r="P198" s="394"/>
      <c r="Q198" s="394"/>
      <c r="R198" s="394"/>
    </row>
    <row r="199">
      <c r="H199" s="394"/>
      <c r="I199" s="394"/>
      <c r="J199" s="394"/>
      <c r="P199" s="394"/>
      <c r="Q199" s="394"/>
      <c r="R199" s="394"/>
    </row>
    <row r="200">
      <c r="H200" s="394"/>
      <c r="I200" s="394"/>
      <c r="J200" s="394"/>
      <c r="P200" s="394"/>
      <c r="Q200" s="394"/>
      <c r="R200" s="394"/>
    </row>
    <row r="201">
      <c r="H201" s="394"/>
      <c r="I201" s="394"/>
      <c r="J201" s="394"/>
      <c r="P201" s="394"/>
      <c r="Q201" s="394"/>
      <c r="R201" s="394"/>
    </row>
    <row r="202">
      <c r="H202" s="394"/>
      <c r="I202" s="394"/>
      <c r="J202" s="394"/>
      <c r="P202" s="394"/>
      <c r="Q202" s="394"/>
      <c r="R202" s="394"/>
    </row>
    <row r="203">
      <c r="H203" s="394"/>
      <c r="I203" s="394"/>
      <c r="J203" s="394"/>
      <c r="P203" s="394"/>
      <c r="Q203" s="394"/>
      <c r="R203" s="394"/>
    </row>
    <row r="204">
      <c r="H204" s="394"/>
      <c r="I204" s="394"/>
      <c r="J204" s="394"/>
      <c r="P204" s="394"/>
      <c r="Q204" s="394"/>
      <c r="R204" s="394"/>
    </row>
    <row r="205">
      <c r="H205" s="394"/>
      <c r="I205" s="394"/>
      <c r="J205" s="394"/>
      <c r="P205" s="394"/>
      <c r="Q205" s="394"/>
      <c r="R205" s="394"/>
    </row>
    <row r="206">
      <c r="H206" s="394"/>
      <c r="I206" s="394"/>
      <c r="J206" s="394"/>
      <c r="P206" s="394"/>
      <c r="Q206" s="394"/>
      <c r="R206" s="394"/>
    </row>
    <row r="207">
      <c r="H207" s="394"/>
      <c r="I207" s="394"/>
      <c r="J207" s="394"/>
      <c r="P207" s="394"/>
      <c r="Q207" s="394"/>
      <c r="R207" s="394"/>
    </row>
    <row r="208">
      <c r="H208" s="394"/>
      <c r="I208" s="394"/>
      <c r="J208" s="394"/>
      <c r="P208" s="394"/>
      <c r="Q208" s="394"/>
      <c r="R208" s="394"/>
    </row>
    <row r="209">
      <c r="H209" s="394"/>
      <c r="I209" s="394"/>
      <c r="J209" s="394"/>
      <c r="P209" s="394"/>
      <c r="Q209" s="394"/>
      <c r="R209" s="394"/>
    </row>
    <row r="210">
      <c r="H210" s="394"/>
      <c r="I210" s="394"/>
      <c r="J210" s="394"/>
      <c r="P210" s="394"/>
      <c r="Q210" s="394"/>
      <c r="R210" s="394"/>
    </row>
    <row r="211">
      <c r="H211" s="394"/>
      <c r="I211" s="394"/>
      <c r="J211" s="394"/>
      <c r="P211" s="394"/>
      <c r="Q211" s="394"/>
      <c r="R211" s="394"/>
    </row>
    <row r="212">
      <c r="H212" s="394"/>
      <c r="I212" s="394"/>
      <c r="J212" s="394"/>
      <c r="P212" s="394"/>
      <c r="Q212" s="394"/>
      <c r="R212" s="394"/>
    </row>
    <row r="213">
      <c r="H213" s="394"/>
      <c r="I213" s="394"/>
      <c r="J213" s="394"/>
      <c r="P213" s="394"/>
      <c r="Q213" s="394"/>
      <c r="R213" s="394"/>
    </row>
    <row r="214">
      <c r="H214" s="394"/>
      <c r="I214" s="394"/>
      <c r="J214" s="394"/>
      <c r="P214" s="394"/>
      <c r="Q214" s="394"/>
      <c r="R214" s="394"/>
    </row>
    <row r="215">
      <c r="H215" s="394"/>
      <c r="I215" s="394"/>
      <c r="J215" s="394"/>
      <c r="P215" s="394"/>
      <c r="Q215" s="394"/>
      <c r="R215" s="394"/>
    </row>
    <row r="216">
      <c r="H216" s="394"/>
      <c r="I216" s="394"/>
      <c r="J216" s="394"/>
      <c r="P216" s="394"/>
      <c r="Q216" s="394"/>
      <c r="R216" s="394"/>
    </row>
    <row r="217">
      <c r="H217" s="394"/>
      <c r="I217" s="394"/>
      <c r="J217" s="394"/>
      <c r="P217" s="394"/>
      <c r="Q217" s="394"/>
      <c r="R217" s="394"/>
    </row>
    <row r="218">
      <c r="H218" s="394"/>
      <c r="I218" s="394"/>
      <c r="J218" s="394"/>
      <c r="P218" s="394"/>
      <c r="Q218" s="394"/>
      <c r="R218" s="394"/>
    </row>
    <row r="219">
      <c r="H219" s="394"/>
      <c r="I219" s="394"/>
      <c r="J219" s="394"/>
      <c r="P219" s="394"/>
      <c r="Q219" s="394"/>
      <c r="R219" s="394"/>
    </row>
    <row r="220">
      <c r="H220" s="394"/>
      <c r="I220" s="394"/>
      <c r="J220" s="394"/>
      <c r="P220" s="394"/>
      <c r="Q220" s="394"/>
      <c r="R220" s="394"/>
    </row>
    <row r="221">
      <c r="H221" s="394"/>
      <c r="I221" s="394"/>
      <c r="J221" s="394"/>
      <c r="P221" s="394"/>
      <c r="Q221" s="394"/>
      <c r="R221" s="394"/>
    </row>
    <row r="222">
      <c r="H222" s="394"/>
      <c r="I222" s="394"/>
      <c r="J222" s="394"/>
      <c r="P222" s="394"/>
      <c r="Q222" s="394"/>
      <c r="R222" s="394"/>
    </row>
    <row r="223">
      <c r="H223" s="394"/>
      <c r="I223" s="394"/>
      <c r="J223" s="394"/>
      <c r="P223" s="394"/>
      <c r="Q223" s="394"/>
      <c r="R223" s="394"/>
    </row>
    <row r="224">
      <c r="H224" s="394"/>
      <c r="I224" s="394"/>
      <c r="J224" s="394"/>
      <c r="P224" s="394"/>
      <c r="Q224" s="394"/>
      <c r="R224" s="394"/>
    </row>
    <row r="225">
      <c r="H225" s="394"/>
      <c r="I225" s="394"/>
      <c r="J225" s="394"/>
      <c r="P225" s="394"/>
      <c r="Q225" s="394"/>
      <c r="R225" s="394"/>
    </row>
    <row r="226">
      <c r="H226" s="394"/>
      <c r="I226" s="394"/>
      <c r="J226" s="394"/>
      <c r="P226" s="394"/>
      <c r="Q226" s="394"/>
      <c r="R226" s="394"/>
    </row>
    <row r="227">
      <c r="H227" s="394"/>
      <c r="I227" s="394"/>
      <c r="J227" s="394"/>
      <c r="P227" s="394"/>
      <c r="Q227" s="394"/>
      <c r="R227" s="394"/>
    </row>
    <row r="228">
      <c r="H228" s="394"/>
      <c r="I228" s="394"/>
      <c r="J228" s="394"/>
      <c r="P228" s="394"/>
      <c r="Q228" s="394"/>
      <c r="R228" s="394"/>
    </row>
    <row r="229">
      <c r="H229" s="394"/>
      <c r="I229" s="394"/>
      <c r="J229" s="394"/>
      <c r="P229" s="394"/>
      <c r="Q229" s="394"/>
      <c r="R229" s="394"/>
    </row>
    <row r="230">
      <c r="H230" s="394"/>
      <c r="I230" s="394"/>
      <c r="J230" s="394"/>
      <c r="P230" s="394"/>
      <c r="Q230" s="394"/>
      <c r="R230" s="394"/>
    </row>
    <row r="231">
      <c r="H231" s="394"/>
      <c r="I231" s="394"/>
      <c r="J231" s="394"/>
      <c r="P231" s="394"/>
      <c r="Q231" s="394"/>
      <c r="R231" s="394"/>
    </row>
    <row r="232">
      <c r="H232" s="394"/>
      <c r="I232" s="394"/>
      <c r="J232" s="394"/>
      <c r="P232" s="394"/>
      <c r="Q232" s="394"/>
      <c r="R232" s="394"/>
    </row>
    <row r="233">
      <c r="H233" s="394"/>
      <c r="I233" s="394"/>
      <c r="J233" s="394"/>
      <c r="P233" s="394"/>
      <c r="Q233" s="394"/>
      <c r="R233" s="394"/>
    </row>
    <row r="234">
      <c r="H234" s="394"/>
      <c r="I234" s="394"/>
      <c r="J234" s="394"/>
      <c r="P234" s="394"/>
      <c r="Q234" s="394"/>
      <c r="R234" s="394"/>
    </row>
    <row r="235">
      <c r="H235" s="394"/>
      <c r="I235" s="394"/>
      <c r="J235" s="394"/>
      <c r="P235" s="394"/>
      <c r="Q235" s="394"/>
      <c r="R235" s="394"/>
    </row>
    <row r="236">
      <c r="H236" s="394"/>
      <c r="I236" s="394"/>
      <c r="J236" s="394"/>
      <c r="P236" s="394"/>
      <c r="Q236" s="394"/>
      <c r="R236" s="394"/>
    </row>
    <row r="237">
      <c r="H237" s="394"/>
      <c r="I237" s="394"/>
      <c r="J237" s="394"/>
      <c r="P237" s="394"/>
      <c r="Q237" s="394"/>
      <c r="R237" s="394"/>
    </row>
    <row r="238">
      <c r="H238" s="394"/>
      <c r="I238" s="394"/>
      <c r="J238" s="394"/>
      <c r="P238" s="394"/>
      <c r="Q238" s="394"/>
      <c r="R238" s="394"/>
    </row>
    <row r="239">
      <c r="H239" s="394"/>
      <c r="I239" s="394"/>
      <c r="J239" s="394"/>
      <c r="P239" s="394"/>
      <c r="Q239" s="394"/>
      <c r="R239" s="394"/>
    </row>
    <row r="240">
      <c r="H240" s="394"/>
      <c r="I240" s="394"/>
      <c r="J240" s="394"/>
      <c r="P240" s="394"/>
      <c r="Q240" s="394"/>
      <c r="R240" s="394"/>
    </row>
    <row r="241">
      <c r="H241" s="394"/>
      <c r="I241" s="394"/>
      <c r="J241" s="394"/>
      <c r="P241" s="394"/>
      <c r="Q241" s="394"/>
      <c r="R241" s="394"/>
    </row>
    <row r="242">
      <c r="H242" s="394"/>
      <c r="I242" s="394"/>
      <c r="J242" s="394"/>
      <c r="P242" s="394"/>
      <c r="Q242" s="394"/>
      <c r="R242" s="394"/>
    </row>
    <row r="243">
      <c r="H243" s="394"/>
      <c r="I243" s="394"/>
      <c r="J243" s="394"/>
      <c r="P243" s="394"/>
      <c r="Q243" s="394"/>
      <c r="R243" s="394"/>
    </row>
    <row r="244">
      <c r="H244" s="394"/>
      <c r="I244" s="394"/>
      <c r="J244" s="394"/>
      <c r="P244" s="394"/>
      <c r="Q244" s="394"/>
      <c r="R244" s="394"/>
    </row>
    <row r="245">
      <c r="H245" s="394"/>
      <c r="I245" s="394"/>
      <c r="J245" s="394"/>
      <c r="P245" s="394"/>
      <c r="Q245" s="394"/>
      <c r="R245" s="394"/>
    </row>
    <row r="246">
      <c r="H246" s="394"/>
      <c r="I246" s="394"/>
      <c r="J246" s="394"/>
      <c r="P246" s="394"/>
      <c r="Q246" s="394"/>
      <c r="R246" s="394"/>
    </row>
    <row r="247">
      <c r="H247" s="394"/>
      <c r="I247" s="394"/>
      <c r="J247" s="394"/>
      <c r="P247" s="394"/>
      <c r="Q247" s="394"/>
      <c r="R247" s="394"/>
    </row>
    <row r="248">
      <c r="H248" s="394"/>
      <c r="I248" s="394"/>
      <c r="J248" s="394"/>
      <c r="P248" s="394"/>
      <c r="Q248" s="394"/>
      <c r="R248" s="394"/>
    </row>
    <row r="249">
      <c r="H249" s="394"/>
      <c r="I249" s="394"/>
      <c r="J249" s="394"/>
      <c r="P249" s="394"/>
      <c r="Q249" s="394"/>
      <c r="R249" s="394"/>
    </row>
    <row r="250">
      <c r="H250" s="394"/>
      <c r="I250" s="394"/>
      <c r="J250" s="394"/>
      <c r="P250" s="394"/>
      <c r="Q250" s="394"/>
      <c r="R250" s="394"/>
    </row>
    <row r="251">
      <c r="H251" s="394"/>
      <c r="I251" s="394"/>
      <c r="J251" s="394"/>
      <c r="P251" s="394"/>
      <c r="Q251" s="394"/>
      <c r="R251" s="394"/>
    </row>
    <row r="252">
      <c r="H252" s="394"/>
      <c r="I252" s="394"/>
      <c r="J252" s="394"/>
      <c r="P252" s="394"/>
      <c r="Q252" s="394"/>
      <c r="R252" s="394"/>
    </row>
    <row r="253">
      <c r="H253" s="394"/>
      <c r="I253" s="394"/>
      <c r="J253" s="394"/>
      <c r="P253" s="394"/>
      <c r="Q253" s="394"/>
      <c r="R253" s="394"/>
    </row>
    <row r="254">
      <c r="H254" s="394"/>
      <c r="I254" s="394"/>
      <c r="J254" s="394"/>
      <c r="P254" s="394"/>
      <c r="Q254" s="394"/>
      <c r="R254" s="394"/>
    </row>
    <row r="255">
      <c r="H255" s="394"/>
      <c r="I255" s="394"/>
      <c r="J255" s="394"/>
      <c r="P255" s="394"/>
      <c r="Q255" s="394"/>
      <c r="R255" s="394"/>
    </row>
    <row r="256">
      <c r="H256" s="394"/>
      <c r="I256" s="394"/>
      <c r="J256" s="394"/>
      <c r="P256" s="394"/>
      <c r="Q256" s="394"/>
      <c r="R256" s="394"/>
    </row>
    <row r="257">
      <c r="H257" s="394"/>
      <c r="I257" s="394"/>
      <c r="J257" s="394"/>
      <c r="P257" s="394"/>
      <c r="Q257" s="394"/>
      <c r="R257" s="394"/>
    </row>
    <row r="258">
      <c r="H258" s="394"/>
      <c r="I258" s="394"/>
      <c r="J258" s="394"/>
      <c r="P258" s="394"/>
      <c r="Q258" s="394"/>
      <c r="R258" s="394"/>
    </row>
    <row r="259">
      <c r="H259" s="394"/>
      <c r="I259" s="394"/>
      <c r="J259" s="394"/>
      <c r="P259" s="394"/>
      <c r="Q259" s="394"/>
      <c r="R259" s="394"/>
    </row>
    <row r="260">
      <c r="H260" s="394"/>
      <c r="I260" s="394"/>
      <c r="J260" s="394"/>
      <c r="P260" s="394"/>
      <c r="Q260" s="394"/>
      <c r="R260" s="394"/>
    </row>
    <row r="261">
      <c r="H261" s="394"/>
      <c r="I261" s="394"/>
      <c r="J261" s="394"/>
      <c r="P261" s="394"/>
      <c r="Q261" s="394"/>
      <c r="R261" s="394"/>
    </row>
    <row r="262">
      <c r="H262" s="394"/>
      <c r="I262" s="394"/>
      <c r="J262" s="394"/>
      <c r="P262" s="394"/>
      <c r="Q262" s="394"/>
      <c r="R262" s="394"/>
    </row>
    <row r="263">
      <c r="H263" s="394"/>
      <c r="I263" s="394"/>
      <c r="J263" s="394"/>
      <c r="P263" s="394"/>
      <c r="Q263" s="394"/>
      <c r="R263" s="394"/>
    </row>
    <row r="264">
      <c r="H264" s="394"/>
      <c r="I264" s="394"/>
      <c r="J264" s="394"/>
      <c r="P264" s="394"/>
      <c r="Q264" s="394"/>
      <c r="R264" s="394"/>
    </row>
    <row r="265">
      <c r="H265" s="394"/>
      <c r="I265" s="394"/>
      <c r="J265" s="394"/>
      <c r="P265" s="394"/>
      <c r="Q265" s="394"/>
      <c r="R265" s="394"/>
    </row>
    <row r="266">
      <c r="H266" s="394"/>
      <c r="I266" s="394"/>
      <c r="J266" s="394"/>
      <c r="P266" s="394"/>
      <c r="Q266" s="394"/>
      <c r="R266" s="394"/>
    </row>
    <row r="267">
      <c r="H267" s="394"/>
      <c r="I267" s="394"/>
      <c r="J267" s="394"/>
      <c r="P267" s="394"/>
      <c r="Q267" s="394"/>
      <c r="R267" s="394"/>
    </row>
    <row r="268">
      <c r="H268" s="394"/>
      <c r="I268" s="394"/>
      <c r="J268" s="394"/>
      <c r="P268" s="394"/>
      <c r="Q268" s="394"/>
      <c r="R268" s="394"/>
    </row>
    <row r="269">
      <c r="H269" s="394"/>
      <c r="I269" s="394"/>
      <c r="J269" s="394"/>
      <c r="P269" s="394"/>
      <c r="Q269" s="394"/>
      <c r="R269" s="394"/>
    </row>
    <row r="270">
      <c r="H270" s="394"/>
      <c r="I270" s="394"/>
      <c r="J270" s="394"/>
      <c r="P270" s="394"/>
      <c r="Q270" s="394"/>
      <c r="R270" s="394"/>
    </row>
    <row r="271">
      <c r="H271" s="394"/>
      <c r="I271" s="394"/>
      <c r="J271" s="394"/>
      <c r="P271" s="394"/>
      <c r="Q271" s="394"/>
      <c r="R271" s="394"/>
    </row>
    <row r="272">
      <c r="H272" s="394"/>
      <c r="I272" s="394"/>
      <c r="J272" s="394"/>
      <c r="P272" s="394"/>
      <c r="Q272" s="394"/>
      <c r="R272" s="394"/>
    </row>
    <row r="273">
      <c r="H273" s="394"/>
      <c r="I273" s="394"/>
      <c r="J273" s="394"/>
      <c r="P273" s="394"/>
      <c r="Q273" s="394"/>
      <c r="R273" s="394"/>
    </row>
    <row r="274">
      <c r="H274" s="394"/>
      <c r="I274" s="394"/>
      <c r="J274" s="394"/>
      <c r="P274" s="394"/>
      <c r="Q274" s="394"/>
      <c r="R274" s="394"/>
    </row>
    <row r="275">
      <c r="H275" s="394"/>
      <c r="I275" s="394"/>
      <c r="J275" s="394"/>
      <c r="P275" s="394"/>
      <c r="Q275" s="394"/>
      <c r="R275" s="394"/>
    </row>
    <row r="276">
      <c r="H276" s="394"/>
      <c r="I276" s="394"/>
      <c r="J276" s="394"/>
      <c r="P276" s="394"/>
      <c r="Q276" s="394"/>
      <c r="R276" s="394"/>
    </row>
    <row r="277">
      <c r="H277" s="394"/>
      <c r="I277" s="394"/>
      <c r="J277" s="394"/>
      <c r="P277" s="394"/>
      <c r="Q277" s="394"/>
      <c r="R277" s="394"/>
    </row>
    <row r="278">
      <c r="H278" s="394"/>
      <c r="I278" s="394"/>
      <c r="J278" s="394"/>
      <c r="P278" s="394"/>
      <c r="Q278" s="394"/>
      <c r="R278" s="394"/>
    </row>
    <row r="279">
      <c r="H279" s="394"/>
      <c r="I279" s="394"/>
      <c r="J279" s="394"/>
      <c r="P279" s="394"/>
      <c r="Q279" s="394"/>
      <c r="R279" s="394"/>
    </row>
    <row r="280">
      <c r="H280" s="394"/>
      <c r="I280" s="394"/>
      <c r="J280" s="394"/>
      <c r="P280" s="394"/>
      <c r="Q280" s="394"/>
      <c r="R280" s="394"/>
    </row>
    <row r="281">
      <c r="H281" s="394"/>
      <c r="I281" s="394"/>
      <c r="J281" s="394"/>
      <c r="P281" s="394"/>
      <c r="Q281" s="394"/>
      <c r="R281" s="394"/>
    </row>
    <row r="282">
      <c r="H282" s="394"/>
      <c r="I282" s="394"/>
      <c r="J282" s="394"/>
      <c r="P282" s="394"/>
      <c r="Q282" s="394"/>
      <c r="R282" s="394"/>
    </row>
    <row r="283">
      <c r="H283" s="394"/>
      <c r="I283" s="394"/>
      <c r="J283" s="394"/>
      <c r="P283" s="394"/>
      <c r="Q283" s="394"/>
      <c r="R283" s="394"/>
    </row>
    <row r="284">
      <c r="H284" s="394"/>
      <c r="I284" s="394"/>
      <c r="J284" s="394"/>
      <c r="P284" s="394"/>
      <c r="Q284" s="394"/>
      <c r="R284" s="394"/>
    </row>
    <row r="285">
      <c r="H285" s="394"/>
      <c r="I285" s="394"/>
      <c r="J285" s="394"/>
      <c r="P285" s="394"/>
      <c r="Q285" s="394"/>
      <c r="R285" s="394"/>
    </row>
    <row r="286">
      <c r="H286" s="394"/>
      <c r="I286" s="394"/>
      <c r="J286" s="394"/>
      <c r="P286" s="394"/>
      <c r="Q286" s="394"/>
      <c r="R286" s="394"/>
    </row>
    <row r="287">
      <c r="H287" s="394"/>
      <c r="I287" s="394"/>
      <c r="J287" s="394"/>
      <c r="P287" s="394"/>
      <c r="Q287" s="394"/>
      <c r="R287" s="394"/>
    </row>
    <row r="288">
      <c r="H288" s="394"/>
      <c r="I288" s="394"/>
      <c r="J288" s="394"/>
      <c r="P288" s="394"/>
      <c r="Q288" s="394"/>
      <c r="R288" s="394"/>
    </row>
    <row r="289">
      <c r="H289" s="394"/>
      <c r="I289" s="394"/>
      <c r="J289" s="394"/>
      <c r="P289" s="394"/>
      <c r="Q289" s="394"/>
      <c r="R289" s="394"/>
    </row>
    <row r="290">
      <c r="H290" s="394"/>
      <c r="I290" s="394"/>
      <c r="J290" s="394"/>
      <c r="P290" s="394"/>
      <c r="Q290" s="394"/>
      <c r="R290" s="394"/>
    </row>
    <row r="291">
      <c r="H291" s="394"/>
      <c r="I291" s="394"/>
      <c r="J291" s="394"/>
      <c r="P291" s="394"/>
      <c r="Q291" s="394"/>
      <c r="R291" s="394"/>
    </row>
    <row r="292">
      <c r="H292" s="394"/>
      <c r="I292" s="394"/>
      <c r="J292" s="394"/>
      <c r="P292" s="394"/>
      <c r="Q292" s="394"/>
      <c r="R292" s="394"/>
    </row>
    <row r="293">
      <c r="H293" s="394"/>
      <c r="I293" s="394"/>
      <c r="J293" s="394"/>
      <c r="P293" s="394"/>
      <c r="Q293" s="394"/>
      <c r="R293" s="394"/>
    </row>
    <row r="294">
      <c r="H294" s="394"/>
      <c r="I294" s="394"/>
      <c r="J294" s="394"/>
      <c r="P294" s="394"/>
      <c r="Q294" s="394"/>
      <c r="R294" s="394"/>
    </row>
    <row r="295">
      <c r="H295" s="394"/>
      <c r="I295" s="394"/>
      <c r="J295" s="394"/>
      <c r="P295" s="394"/>
      <c r="Q295" s="394"/>
      <c r="R295" s="394"/>
    </row>
    <row r="296">
      <c r="H296" s="394"/>
      <c r="I296" s="394"/>
      <c r="J296" s="394"/>
      <c r="P296" s="394"/>
      <c r="Q296" s="394"/>
      <c r="R296" s="394"/>
    </row>
    <row r="297">
      <c r="H297" s="394"/>
      <c r="I297" s="394"/>
      <c r="J297" s="394"/>
      <c r="P297" s="394"/>
      <c r="Q297" s="394"/>
      <c r="R297" s="394"/>
    </row>
    <row r="298">
      <c r="H298" s="394"/>
      <c r="I298" s="394"/>
      <c r="J298" s="394"/>
      <c r="P298" s="394"/>
      <c r="Q298" s="394"/>
      <c r="R298" s="394"/>
    </row>
    <row r="299">
      <c r="H299" s="394"/>
      <c r="I299" s="394"/>
      <c r="J299" s="394"/>
      <c r="P299" s="394"/>
      <c r="Q299" s="394"/>
      <c r="R299" s="394"/>
    </row>
    <row r="300">
      <c r="H300" s="394"/>
      <c r="I300" s="394"/>
      <c r="J300" s="394"/>
      <c r="P300" s="394"/>
      <c r="Q300" s="394"/>
      <c r="R300" s="394"/>
    </row>
    <row r="301">
      <c r="H301" s="394"/>
      <c r="I301" s="394"/>
      <c r="J301" s="394"/>
      <c r="P301" s="394"/>
      <c r="Q301" s="394"/>
      <c r="R301" s="394"/>
    </row>
    <row r="302">
      <c r="H302" s="394"/>
      <c r="I302" s="394"/>
      <c r="J302" s="394"/>
      <c r="P302" s="394"/>
      <c r="Q302" s="394"/>
      <c r="R302" s="394"/>
    </row>
    <row r="303">
      <c r="H303" s="394"/>
      <c r="I303" s="394"/>
      <c r="J303" s="394"/>
      <c r="P303" s="394"/>
      <c r="Q303" s="394"/>
      <c r="R303" s="394"/>
    </row>
    <row r="304">
      <c r="H304" s="394"/>
      <c r="I304" s="394"/>
      <c r="J304" s="394"/>
      <c r="P304" s="394"/>
      <c r="Q304" s="394"/>
      <c r="R304" s="394"/>
    </row>
    <row r="305">
      <c r="H305" s="394"/>
      <c r="I305" s="394"/>
      <c r="J305" s="394"/>
      <c r="P305" s="394"/>
      <c r="Q305" s="394"/>
      <c r="R305" s="394"/>
    </row>
    <row r="306">
      <c r="H306" s="394"/>
      <c r="I306" s="394"/>
      <c r="J306" s="394"/>
      <c r="P306" s="394"/>
      <c r="Q306" s="394"/>
      <c r="R306" s="394"/>
    </row>
    <row r="307">
      <c r="H307" s="394"/>
      <c r="I307" s="394"/>
      <c r="J307" s="394"/>
      <c r="P307" s="394"/>
      <c r="Q307" s="394"/>
      <c r="R307" s="394"/>
    </row>
    <row r="308">
      <c r="H308" s="394"/>
      <c r="I308" s="394"/>
      <c r="J308" s="394"/>
      <c r="P308" s="394"/>
      <c r="Q308" s="394"/>
      <c r="R308" s="394"/>
    </row>
    <row r="309">
      <c r="H309" s="394"/>
      <c r="I309" s="394"/>
      <c r="J309" s="394"/>
      <c r="P309" s="394"/>
      <c r="Q309" s="394"/>
      <c r="R309" s="394"/>
    </row>
    <row r="310">
      <c r="H310" s="394"/>
      <c r="I310" s="394"/>
      <c r="J310" s="394"/>
      <c r="P310" s="394"/>
      <c r="Q310" s="394"/>
      <c r="R310" s="394"/>
    </row>
    <row r="311">
      <c r="H311" s="394"/>
      <c r="I311" s="394"/>
      <c r="J311" s="394"/>
      <c r="P311" s="394"/>
      <c r="Q311" s="394"/>
      <c r="R311" s="394"/>
    </row>
    <row r="312">
      <c r="H312" s="394"/>
      <c r="I312" s="394"/>
      <c r="J312" s="394"/>
      <c r="P312" s="394"/>
      <c r="Q312" s="394"/>
      <c r="R312" s="394"/>
    </row>
    <row r="313">
      <c r="H313" s="394"/>
      <c r="I313" s="394"/>
      <c r="J313" s="394"/>
      <c r="P313" s="394"/>
      <c r="Q313" s="394"/>
      <c r="R313" s="394"/>
    </row>
    <row r="314">
      <c r="H314" s="394"/>
      <c r="I314" s="394"/>
      <c r="J314" s="394"/>
      <c r="P314" s="394"/>
      <c r="Q314" s="394"/>
      <c r="R314" s="394"/>
    </row>
    <row r="315">
      <c r="H315" s="394"/>
      <c r="I315" s="394"/>
      <c r="J315" s="394"/>
      <c r="P315" s="394"/>
      <c r="Q315" s="394"/>
      <c r="R315" s="394"/>
    </row>
    <row r="316">
      <c r="H316" s="394"/>
      <c r="I316" s="394"/>
      <c r="J316" s="394"/>
      <c r="P316" s="394"/>
      <c r="Q316" s="394"/>
      <c r="R316" s="394"/>
    </row>
    <row r="317">
      <c r="H317" s="394"/>
      <c r="I317" s="394"/>
      <c r="J317" s="394"/>
      <c r="P317" s="394"/>
      <c r="Q317" s="394"/>
      <c r="R317" s="394"/>
    </row>
    <row r="318">
      <c r="H318" s="394"/>
      <c r="I318" s="394"/>
      <c r="J318" s="394"/>
      <c r="P318" s="394"/>
      <c r="Q318" s="394"/>
      <c r="R318" s="394"/>
    </row>
    <row r="319">
      <c r="H319" s="394"/>
      <c r="I319" s="394"/>
      <c r="J319" s="394"/>
      <c r="P319" s="394"/>
      <c r="Q319" s="394"/>
      <c r="R319" s="394"/>
    </row>
    <row r="320">
      <c r="H320" s="394"/>
      <c r="I320" s="394"/>
      <c r="J320" s="394"/>
      <c r="P320" s="394"/>
      <c r="Q320" s="394"/>
      <c r="R320" s="394"/>
    </row>
    <row r="321">
      <c r="H321" s="394"/>
      <c r="I321" s="394"/>
      <c r="J321" s="394"/>
      <c r="P321" s="394"/>
      <c r="Q321" s="394"/>
      <c r="R321" s="394"/>
    </row>
    <row r="322">
      <c r="H322" s="394"/>
      <c r="I322" s="394"/>
      <c r="J322" s="394"/>
      <c r="P322" s="394"/>
      <c r="Q322" s="394"/>
      <c r="R322" s="394"/>
    </row>
    <row r="323">
      <c r="H323" s="394"/>
      <c r="I323" s="394"/>
      <c r="J323" s="394"/>
      <c r="P323" s="394"/>
      <c r="Q323" s="394"/>
      <c r="R323" s="394"/>
    </row>
    <row r="324">
      <c r="H324" s="394"/>
      <c r="I324" s="394"/>
      <c r="J324" s="394"/>
      <c r="P324" s="394"/>
      <c r="Q324" s="394"/>
      <c r="R324" s="394"/>
    </row>
    <row r="325">
      <c r="H325" s="394"/>
      <c r="I325" s="394"/>
      <c r="J325" s="394"/>
      <c r="P325" s="394"/>
      <c r="Q325" s="394"/>
      <c r="R325" s="394"/>
    </row>
    <row r="326">
      <c r="H326" s="394"/>
      <c r="I326" s="394"/>
      <c r="J326" s="394"/>
      <c r="P326" s="394"/>
      <c r="Q326" s="394"/>
      <c r="R326" s="394"/>
    </row>
    <row r="327">
      <c r="H327" s="394"/>
      <c r="I327" s="394"/>
      <c r="J327" s="394"/>
      <c r="P327" s="394"/>
      <c r="Q327" s="394"/>
      <c r="R327" s="394"/>
    </row>
    <row r="328">
      <c r="H328" s="394"/>
      <c r="I328" s="394"/>
      <c r="J328" s="394"/>
      <c r="P328" s="394"/>
      <c r="Q328" s="394"/>
      <c r="R328" s="394"/>
    </row>
    <row r="329">
      <c r="H329" s="394"/>
      <c r="I329" s="394"/>
      <c r="J329" s="394"/>
      <c r="P329" s="394"/>
      <c r="Q329" s="394"/>
      <c r="R329" s="394"/>
    </row>
    <row r="330">
      <c r="H330" s="394"/>
      <c r="I330" s="394"/>
      <c r="J330" s="394"/>
      <c r="P330" s="394"/>
      <c r="Q330" s="394"/>
      <c r="R330" s="394"/>
    </row>
    <row r="331">
      <c r="H331" s="394"/>
      <c r="I331" s="394"/>
      <c r="J331" s="394"/>
      <c r="P331" s="394"/>
      <c r="Q331" s="394"/>
      <c r="R331" s="394"/>
    </row>
    <row r="332">
      <c r="H332" s="394"/>
      <c r="I332" s="394"/>
      <c r="J332" s="394"/>
      <c r="P332" s="394"/>
      <c r="Q332" s="394"/>
      <c r="R332" s="394"/>
    </row>
    <row r="333">
      <c r="H333" s="394"/>
      <c r="I333" s="394"/>
      <c r="J333" s="394"/>
      <c r="P333" s="394"/>
      <c r="Q333" s="394"/>
      <c r="R333" s="394"/>
    </row>
    <row r="334">
      <c r="H334" s="394"/>
      <c r="I334" s="394"/>
      <c r="J334" s="394"/>
      <c r="P334" s="394"/>
      <c r="Q334" s="394"/>
      <c r="R334" s="394"/>
    </row>
    <row r="335">
      <c r="H335" s="394"/>
      <c r="I335" s="394"/>
      <c r="J335" s="394"/>
      <c r="P335" s="394"/>
      <c r="Q335" s="394"/>
      <c r="R335" s="394"/>
    </row>
    <row r="336">
      <c r="H336" s="394"/>
      <c r="I336" s="394"/>
      <c r="J336" s="394"/>
      <c r="P336" s="394"/>
      <c r="Q336" s="394"/>
      <c r="R336" s="394"/>
    </row>
    <row r="337">
      <c r="H337" s="394"/>
      <c r="I337" s="394"/>
      <c r="J337" s="394"/>
      <c r="P337" s="394"/>
      <c r="Q337" s="394"/>
      <c r="R337" s="394"/>
    </row>
    <row r="338">
      <c r="H338" s="394"/>
      <c r="I338" s="394"/>
      <c r="J338" s="394"/>
      <c r="P338" s="394"/>
      <c r="Q338" s="394"/>
      <c r="R338" s="394"/>
    </row>
    <row r="339">
      <c r="H339" s="394"/>
      <c r="I339" s="394"/>
      <c r="J339" s="394"/>
      <c r="P339" s="394"/>
      <c r="Q339" s="394"/>
      <c r="R339" s="394"/>
    </row>
    <row r="340">
      <c r="H340" s="394"/>
      <c r="I340" s="394"/>
      <c r="J340" s="394"/>
      <c r="P340" s="394"/>
      <c r="Q340" s="394"/>
      <c r="R340" s="394"/>
    </row>
    <row r="341">
      <c r="H341" s="394"/>
      <c r="I341" s="394"/>
      <c r="J341" s="394"/>
      <c r="P341" s="394"/>
      <c r="Q341" s="394"/>
      <c r="R341" s="394"/>
    </row>
    <row r="342">
      <c r="H342" s="394"/>
      <c r="I342" s="394"/>
      <c r="J342" s="394"/>
      <c r="P342" s="394"/>
      <c r="Q342" s="394"/>
      <c r="R342" s="394"/>
    </row>
    <row r="343">
      <c r="H343" s="394"/>
      <c r="I343" s="394"/>
      <c r="J343" s="394"/>
      <c r="P343" s="394"/>
      <c r="Q343" s="394"/>
      <c r="R343" s="394"/>
    </row>
    <row r="344">
      <c r="H344" s="394"/>
      <c r="I344" s="394"/>
      <c r="J344" s="394"/>
      <c r="P344" s="394"/>
      <c r="Q344" s="394"/>
      <c r="R344" s="394"/>
    </row>
    <row r="345">
      <c r="H345" s="394"/>
      <c r="I345" s="394"/>
      <c r="J345" s="394"/>
      <c r="P345" s="394"/>
      <c r="Q345" s="394"/>
      <c r="R345" s="394"/>
    </row>
    <row r="346">
      <c r="H346" s="394"/>
      <c r="I346" s="394"/>
      <c r="J346" s="394"/>
      <c r="P346" s="394"/>
      <c r="Q346" s="394"/>
      <c r="R346" s="394"/>
    </row>
    <row r="347">
      <c r="H347" s="394"/>
      <c r="I347" s="394"/>
      <c r="J347" s="394"/>
      <c r="P347" s="394"/>
      <c r="Q347" s="394"/>
      <c r="R347" s="394"/>
    </row>
    <row r="348">
      <c r="H348" s="394"/>
      <c r="I348" s="394"/>
      <c r="J348" s="394"/>
      <c r="P348" s="394"/>
      <c r="Q348" s="394"/>
      <c r="R348" s="394"/>
    </row>
    <row r="349">
      <c r="H349" s="394"/>
      <c r="I349" s="394"/>
      <c r="J349" s="394"/>
      <c r="P349" s="394"/>
      <c r="Q349" s="394"/>
      <c r="R349" s="394"/>
    </row>
    <row r="350">
      <c r="H350" s="394"/>
      <c r="I350" s="394"/>
      <c r="J350" s="394"/>
      <c r="P350" s="394"/>
      <c r="Q350" s="394"/>
      <c r="R350" s="394"/>
    </row>
    <row r="351">
      <c r="H351" s="394"/>
      <c r="I351" s="394"/>
      <c r="J351" s="394"/>
      <c r="P351" s="394"/>
      <c r="Q351" s="394"/>
      <c r="R351" s="394"/>
    </row>
    <row r="352">
      <c r="H352" s="394"/>
      <c r="I352" s="394"/>
      <c r="J352" s="394"/>
      <c r="P352" s="394"/>
      <c r="Q352" s="394"/>
      <c r="R352" s="394"/>
    </row>
    <row r="353">
      <c r="H353" s="394"/>
      <c r="I353" s="394"/>
      <c r="J353" s="394"/>
      <c r="P353" s="394"/>
      <c r="Q353" s="394"/>
      <c r="R353" s="394"/>
    </row>
    <row r="354">
      <c r="H354" s="394"/>
      <c r="I354" s="394"/>
      <c r="J354" s="394"/>
      <c r="P354" s="394"/>
      <c r="Q354" s="394"/>
      <c r="R354" s="394"/>
    </row>
    <row r="355">
      <c r="H355" s="394"/>
      <c r="I355" s="394"/>
      <c r="J355" s="394"/>
      <c r="P355" s="394"/>
      <c r="Q355" s="394"/>
      <c r="R355" s="394"/>
    </row>
    <row r="356">
      <c r="H356" s="394"/>
      <c r="I356" s="394"/>
      <c r="J356" s="394"/>
      <c r="P356" s="394"/>
      <c r="Q356" s="394"/>
      <c r="R356" s="394"/>
    </row>
    <row r="357">
      <c r="H357" s="394"/>
      <c r="I357" s="394"/>
      <c r="J357" s="394"/>
      <c r="P357" s="394"/>
      <c r="Q357" s="394"/>
      <c r="R357" s="394"/>
    </row>
    <row r="358">
      <c r="H358" s="394"/>
      <c r="I358" s="394"/>
      <c r="J358" s="394"/>
      <c r="P358" s="394"/>
      <c r="Q358" s="394"/>
      <c r="R358" s="394"/>
    </row>
    <row r="359">
      <c r="H359" s="394"/>
      <c r="I359" s="394"/>
      <c r="J359" s="394"/>
      <c r="P359" s="394"/>
      <c r="Q359" s="394"/>
      <c r="R359" s="394"/>
    </row>
    <row r="360">
      <c r="H360" s="394"/>
      <c r="I360" s="394"/>
      <c r="J360" s="394"/>
      <c r="P360" s="394"/>
      <c r="Q360" s="394"/>
      <c r="R360" s="394"/>
    </row>
    <row r="361">
      <c r="H361" s="394"/>
      <c r="I361" s="394"/>
      <c r="J361" s="394"/>
      <c r="P361" s="394"/>
      <c r="Q361" s="394"/>
      <c r="R361" s="394"/>
    </row>
    <row r="362">
      <c r="H362" s="394"/>
      <c r="I362" s="394"/>
      <c r="J362" s="394"/>
      <c r="P362" s="394"/>
      <c r="Q362" s="394"/>
      <c r="R362" s="394"/>
    </row>
    <row r="363">
      <c r="H363" s="394"/>
      <c r="I363" s="394"/>
      <c r="J363" s="394"/>
      <c r="P363" s="394"/>
      <c r="Q363" s="394"/>
      <c r="R363" s="394"/>
    </row>
    <row r="364">
      <c r="H364" s="394"/>
      <c r="I364" s="394"/>
      <c r="J364" s="394"/>
      <c r="P364" s="394"/>
      <c r="Q364" s="394"/>
      <c r="R364" s="394"/>
    </row>
    <row r="365">
      <c r="H365" s="394"/>
      <c r="I365" s="394"/>
      <c r="J365" s="394"/>
      <c r="P365" s="394"/>
      <c r="Q365" s="394"/>
      <c r="R365" s="394"/>
    </row>
    <row r="366">
      <c r="H366" s="394"/>
      <c r="I366" s="394"/>
      <c r="J366" s="394"/>
      <c r="P366" s="394"/>
      <c r="Q366" s="394"/>
      <c r="R366" s="394"/>
    </row>
    <row r="367">
      <c r="H367" s="394"/>
      <c r="I367" s="394"/>
      <c r="J367" s="394"/>
      <c r="P367" s="394"/>
      <c r="Q367" s="394"/>
      <c r="R367" s="394"/>
    </row>
    <row r="368">
      <c r="H368" s="394"/>
      <c r="I368" s="394"/>
      <c r="J368" s="394"/>
      <c r="P368" s="394"/>
      <c r="Q368" s="394"/>
      <c r="R368" s="394"/>
    </row>
    <row r="369">
      <c r="H369" s="394"/>
      <c r="I369" s="394"/>
      <c r="J369" s="394"/>
      <c r="P369" s="394"/>
      <c r="Q369" s="394"/>
      <c r="R369" s="394"/>
    </row>
    <row r="370">
      <c r="H370" s="394"/>
      <c r="I370" s="394"/>
      <c r="J370" s="394"/>
      <c r="P370" s="394"/>
      <c r="Q370" s="394"/>
      <c r="R370" s="394"/>
    </row>
    <row r="371">
      <c r="H371" s="394"/>
      <c r="I371" s="394"/>
      <c r="J371" s="394"/>
      <c r="P371" s="394"/>
      <c r="Q371" s="394"/>
      <c r="R371" s="394"/>
    </row>
    <row r="372">
      <c r="H372" s="394"/>
      <c r="I372" s="394"/>
      <c r="J372" s="394"/>
      <c r="P372" s="394"/>
      <c r="Q372" s="394"/>
      <c r="R372" s="394"/>
    </row>
    <row r="373">
      <c r="H373" s="394"/>
      <c r="I373" s="394"/>
      <c r="J373" s="394"/>
      <c r="P373" s="394"/>
      <c r="Q373" s="394"/>
      <c r="R373" s="394"/>
    </row>
    <row r="374">
      <c r="H374" s="394"/>
      <c r="I374" s="394"/>
      <c r="J374" s="394"/>
      <c r="P374" s="394"/>
      <c r="Q374" s="394"/>
      <c r="R374" s="394"/>
    </row>
    <row r="375">
      <c r="H375" s="394"/>
      <c r="I375" s="394"/>
      <c r="J375" s="394"/>
      <c r="P375" s="394"/>
      <c r="Q375" s="394"/>
      <c r="R375" s="394"/>
    </row>
    <row r="376">
      <c r="H376" s="394"/>
      <c r="I376" s="394"/>
      <c r="J376" s="394"/>
      <c r="P376" s="394"/>
      <c r="Q376" s="394"/>
      <c r="R376" s="394"/>
    </row>
    <row r="377">
      <c r="H377" s="394"/>
      <c r="I377" s="394"/>
      <c r="J377" s="394"/>
      <c r="P377" s="394"/>
      <c r="Q377" s="394"/>
      <c r="R377" s="394"/>
    </row>
    <row r="378">
      <c r="H378" s="394"/>
      <c r="I378" s="394"/>
      <c r="J378" s="394"/>
      <c r="P378" s="394"/>
      <c r="Q378" s="394"/>
      <c r="R378" s="394"/>
    </row>
    <row r="379">
      <c r="H379" s="394"/>
      <c r="I379" s="394"/>
      <c r="J379" s="394"/>
      <c r="P379" s="394"/>
      <c r="Q379" s="394"/>
      <c r="R379" s="394"/>
    </row>
    <row r="380">
      <c r="H380" s="394"/>
      <c r="I380" s="394"/>
      <c r="J380" s="394"/>
      <c r="P380" s="394"/>
      <c r="Q380" s="394"/>
      <c r="R380" s="394"/>
    </row>
    <row r="381">
      <c r="H381" s="394"/>
      <c r="I381" s="394"/>
      <c r="J381" s="394"/>
      <c r="P381" s="394"/>
      <c r="Q381" s="394"/>
      <c r="R381" s="394"/>
    </row>
    <row r="382">
      <c r="H382" s="394"/>
      <c r="I382" s="394"/>
      <c r="J382" s="394"/>
      <c r="P382" s="394"/>
      <c r="Q382" s="394"/>
      <c r="R382" s="394"/>
    </row>
    <row r="383">
      <c r="H383" s="394"/>
      <c r="I383" s="394"/>
      <c r="J383" s="394"/>
      <c r="P383" s="394"/>
      <c r="Q383" s="394"/>
      <c r="R383" s="394"/>
    </row>
    <row r="384">
      <c r="H384" s="394"/>
      <c r="I384" s="394"/>
      <c r="J384" s="394"/>
      <c r="P384" s="394"/>
      <c r="Q384" s="394"/>
      <c r="R384" s="394"/>
    </row>
    <row r="385">
      <c r="H385" s="394"/>
      <c r="I385" s="394"/>
      <c r="J385" s="394"/>
      <c r="P385" s="394"/>
      <c r="Q385" s="394"/>
      <c r="R385" s="394"/>
    </row>
    <row r="386">
      <c r="H386" s="394"/>
      <c r="I386" s="394"/>
      <c r="J386" s="394"/>
      <c r="P386" s="394"/>
      <c r="Q386" s="394"/>
      <c r="R386" s="394"/>
    </row>
    <row r="387">
      <c r="H387" s="394"/>
      <c r="I387" s="394"/>
      <c r="J387" s="394"/>
      <c r="P387" s="394"/>
      <c r="Q387" s="394"/>
      <c r="R387" s="394"/>
    </row>
    <row r="388">
      <c r="H388" s="394"/>
      <c r="I388" s="394"/>
      <c r="J388" s="394"/>
      <c r="P388" s="394"/>
      <c r="Q388" s="394"/>
      <c r="R388" s="394"/>
    </row>
    <row r="389">
      <c r="H389" s="394"/>
      <c r="I389" s="394"/>
      <c r="J389" s="394"/>
      <c r="P389" s="394"/>
      <c r="Q389" s="394"/>
      <c r="R389" s="394"/>
    </row>
    <row r="390">
      <c r="H390" s="394"/>
      <c r="I390" s="394"/>
      <c r="J390" s="394"/>
      <c r="P390" s="394"/>
      <c r="Q390" s="394"/>
      <c r="R390" s="394"/>
    </row>
    <row r="391">
      <c r="H391" s="394"/>
      <c r="I391" s="394"/>
      <c r="J391" s="394"/>
      <c r="P391" s="394"/>
      <c r="Q391" s="394"/>
      <c r="R391" s="394"/>
    </row>
    <row r="392">
      <c r="H392" s="394"/>
      <c r="I392" s="394"/>
      <c r="J392" s="394"/>
      <c r="P392" s="394"/>
      <c r="Q392" s="394"/>
      <c r="R392" s="394"/>
    </row>
    <row r="393">
      <c r="H393" s="394"/>
      <c r="I393" s="394"/>
      <c r="J393" s="394"/>
      <c r="P393" s="394"/>
      <c r="Q393" s="394"/>
      <c r="R393" s="394"/>
    </row>
    <row r="394">
      <c r="H394" s="394"/>
      <c r="I394" s="394"/>
      <c r="J394" s="394"/>
      <c r="P394" s="394"/>
      <c r="Q394" s="394"/>
      <c r="R394" s="394"/>
    </row>
    <row r="395">
      <c r="H395" s="394"/>
      <c r="I395" s="394"/>
      <c r="J395" s="394"/>
      <c r="P395" s="394"/>
      <c r="Q395" s="394"/>
      <c r="R395" s="394"/>
    </row>
    <row r="396">
      <c r="H396" s="394"/>
      <c r="I396" s="394"/>
      <c r="J396" s="394"/>
      <c r="P396" s="394"/>
      <c r="Q396" s="394"/>
      <c r="R396" s="394"/>
    </row>
    <row r="397">
      <c r="H397" s="394"/>
      <c r="I397" s="394"/>
      <c r="J397" s="394"/>
      <c r="P397" s="394"/>
      <c r="Q397" s="394"/>
      <c r="R397" s="394"/>
    </row>
    <row r="398">
      <c r="H398" s="394"/>
      <c r="I398" s="394"/>
      <c r="J398" s="394"/>
      <c r="P398" s="394"/>
      <c r="Q398" s="394"/>
      <c r="R398" s="394"/>
    </row>
    <row r="399">
      <c r="H399" s="394"/>
      <c r="I399" s="394"/>
      <c r="J399" s="394"/>
      <c r="P399" s="394"/>
      <c r="Q399" s="394"/>
      <c r="R399" s="394"/>
    </row>
    <row r="400">
      <c r="H400" s="394"/>
      <c r="I400" s="394"/>
      <c r="J400" s="394"/>
      <c r="P400" s="394"/>
      <c r="Q400" s="394"/>
      <c r="R400" s="394"/>
    </row>
    <row r="401">
      <c r="H401" s="394"/>
      <c r="I401" s="394"/>
      <c r="J401" s="394"/>
      <c r="P401" s="394"/>
      <c r="Q401" s="394"/>
      <c r="R401" s="394"/>
    </row>
    <row r="402">
      <c r="H402" s="394"/>
      <c r="I402" s="394"/>
      <c r="J402" s="394"/>
      <c r="P402" s="394"/>
      <c r="Q402" s="394"/>
      <c r="R402" s="394"/>
    </row>
    <row r="403">
      <c r="H403" s="394"/>
      <c r="I403" s="394"/>
      <c r="J403" s="394"/>
      <c r="P403" s="394"/>
      <c r="Q403" s="394"/>
      <c r="R403" s="394"/>
    </row>
    <row r="404">
      <c r="H404" s="394"/>
      <c r="I404" s="394"/>
      <c r="J404" s="394"/>
      <c r="P404" s="394"/>
      <c r="Q404" s="394"/>
      <c r="R404" s="394"/>
    </row>
    <row r="405">
      <c r="H405" s="394"/>
      <c r="I405" s="394"/>
      <c r="J405" s="394"/>
      <c r="P405" s="394"/>
      <c r="Q405" s="394"/>
      <c r="R405" s="394"/>
    </row>
    <row r="406">
      <c r="H406" s="394"/>
      <c r="I406" s="394"/>
      <c r="J406" s="394"/>
      <c r="P406" s="394"/>
      <c r="Q406" s="394"/>
      <c r="R406" s="394"/>
    </row>
    <row r="407">
      <c r="H407" s="394"/>
      <c r="I407" s="394"/>
      <c r="J407" s="394"/>
      <c r="P407" s="394"/>
      <c r="Q407" s="394"/>
      <c r="R407" s="394"/>
    </row>
    <row r="408">
      <c r="H408" s="394"/>
      <c r="I408" s="394"/>
      <c r="J408" s="394"/>
      <c r="P408" s="394"/>
      <c r="Q408" s="394"/>
      <c r="R408" s="394"/>
    </row>
    <row r="409">
      <c r="H409" s="394"/>
      <c r="I409" s="394"/>
      <c r="J409" s="394"/>
      <c r="P409" s="394"/>
      <c r="Q409" s="394"/>
      <c r="R409" s="394"/>
    </row>
    <row r="410">
      <c r="H410" s="394"/>
      <c r="I410" s="394"/>
      <c r="J410" s="394"/>
      <c r="P410" s="394"/>
      <c r="Q410" s="394"/>
      <c r="R410" s="394"/>
    </row>
    <row r="411">
      <c r="H411" s="394"/>
      <c r="I411" s="394"/>
      <c r="J411" s="394"/>
      <c r="P411" s="394"/>
      <c r="Q411" s="394"/>
      <c r="R411" s="394"/>
    </row>
    <row r="412">
      <c r="H412" s="394"/>
      <c r="I412" s="394"/>
      <c r="J412" s="394"/>
      <c r="P412" s="394"/>
      <c r="Q412" s="394"/>
      <c r="R412" s="394"/>
    </row>
    <row r="413">
      <c r="H413" s="394"/>
      <c r="I413" s="394"/>
      <c r="J413" s="394"/>
      <c r="P413" s="394"/>
      <c r="Q413" s="394"/>
      <c r="R413" s="394"/>
    </row>
    <row r="414">
      <c r="H414" s="394"/>
      <c r="I414" s="394"/>
      <c r="J414" s="394"/>
      <c r="P414" s="394"/>
      <c r="Q414" s="394"/>
      <c r="R414" s="394"/>
    </row>
    <row r="415">
      <c r="H415" s="394"/>
      <c r="I415" s="394"/>
      <c r="J415" s="394"/>
      <c r="P415" s="394"/>
      <c r="Q415" s="394"/>
      <c r="R415" s="394"/>
    </row>
    <row r="416">
      <c r="H416" s="394"/>
      <c r="I416" s="394"/>
      <c r="J416" s="394"/>
      <c r="P416" s="394"/>
      <c r="Q416" s="394"/>
      <c r="R416" s="394"/>
    </row>
    <row r="417">
      <c r="H417" s="394"/>
      <c r="I417" s="394"/>
      <c r="J417" s="394"/>
      <c r="P417" s="394"/>
      <c r="Q417" s="394"/>
      <c r="R417" s="394"/>
    </row>
    <row r="418">
      <c r="H418" s="394"/>
      <c r="I418" s="394"/>
      <c r="J418" s="394"/>
      <c r="P418" s="394"/>
      <c r="Q418" s="394"/>
      <c r="R418" s="394"/>
    </row>
    <row r="419">
      <c r="H419" s="394"/>
      <c r="I419" s="394"/>
      <c r="J419" s="394"/>
      <c r="P419" s="394"/>
      <c r="Q419" s="394"/>
      <c r="R419" s="394"/>
    </row>
    <row r="420">
      <c r="H420" s="394"/>
      <c r="I420" s="394"/>
      <c r="J420" s="394"/>
      <c r="P420" s="394"/>
      <c r="Q420" s="394"/>
      <c r="R420" s="394"/>
    </row>
    <row r="421">
      <c r="H421" s="394"/>
      <c r="I421" s="394"/>
      <c r="J421" s="394"/>
      <c r="P421" s="394"/>
      <c r="Q421" s="394"/>
      <c r="R421" s="394"/>
    </row>
    <row r="422">
      <c r="H422" s="394"/>
      <c r="I422" s="394"/>
      <c r="J422" s="394"/>
      <c r="P422" s="394"/>
      <c r="Q422" s="394"/>
      <c r="R422" s="394"/>
    </row>
    <row r="423">
      <c r="H423" s="394"/>
      <c r="I423" s="394"/>
      <c r="J423" s="394"/>
      <c r="P423" s="394"/>
      <c r="Q423" s="394"/>
      <c r="R423" s="394"/>
    </row>
    <row r="424">
      <c r="H424" s="394"/>
      <c r="I424" s="394"/>
      <c r="J424" s="394"/>
      <c r="P424" s="394"/>
      <c r="Q424" s="394"/>
      <c r="R424" s="394"/>
    </row>
    <row r="425">
      <c r="H425" s="394"/>
      <c r="I425" s="394"/>
      <c r="J425" s="394"/>
      <c r="P425" s="394"/>
      <c r="Q425" s="394"/>
      <c r="R425" s="394"/>
    </row>
    <row r="426">
      <c r="H426" s="394"/>
      <c r="I426" s="394"/>
      <c r="J426" s="394"/>
      <c r="P426" s="394"/>
      <c r="Q426" s="394"/>
      <c r="R426" s="394"/>
    </row>
    <row r="427">
      <c r="H427" s="394"/>
      <c r="I427" s="394"/>
      <c r="J427" s="394"/>
      <c r="P427" s="394"/>
      <c r="Q427" s="394"/>
      <c r="R427" s="394"/>
    </row>
    <row r="428">
      <c r="H428" s="394"/>
      <c r="I428" s="394"/>
      <c r="J428" s="394"/>
      <c r="P428" s="394"/>
      <c r="Q428" s="394"/>
      <c r="R428" s="394"/>
    </row>
    <row r="429">
      <c r="H429" s="394"/>
      <c r="I429" s="394"/>
      <c r="J429" s="394"/>
      <c r="P429" s="394"/>
      <c r="Q429" s="394"/>
      <c r="R429" s="394"/>
    </row>
    <row r="430">
      <c r="H430" s="394"/>
      <c r="I430" s="394"/>
      <c r="J430" s="394"/>
      <c r="P430" s="394"/>
      <c r="Q430" s="394"/>
      <c r="R430" s="394"/>
    </row>
    <row r="431">
      <c r="H431" s="394"/>
      <c r="I431" s="394"/>
      <c r="J431" s="394"/>
      <c r="P431" s="394"/>
      <c r="Q431" s="394"/>
      <c r="R431" s="394"/>
    </row>
    <row r="432">
      <c r="H432" s="394"/>
      <c r="I432" s="394"/>
      <c r="J432" s="394"/>
      <c r="P432" s="394"/>
      <c r="Q432" s="394"/>
      <c r="R432" s="394"/>
    </row>
    <row r="433">
      <c r="H433" s="394"/>
      <c r="I433" s="394"/>
      <c r="J433" s="394"/>
      <c r="P433" s="394"/>
      <c r="Q433" s="394"/>
      <c r="R433" s="394"/>
    </row>
    <row r="434">
      <c r="H434" s="394"/>
      <c r="I434" s="394"/>
      <c r="J434" s="394"/>
      <c r="P434" s="394"/>
      <c r="Q434" s="394"/>
      <c r="R434" s="394"/>
    </row>
    <row r="435">
      <c r="H435" s="394"/>
      <c r="I435" s="394"/>
      <c r="J435" s="394"/>
      <c r="P435" s="394"/>
      <c r="Q435" s="394"/>
      <c r="R435" s="394"/>
    </row>
    <row r="436">
      <c r="H436" s="394"/>
      <c r="I436" s="394"/>
      <c r="J436" s="394"/>
      <c r="P436" s="394"/>
      <c r="Q436" s="394"/>
      <c r="R436" s="394"/>
    </row>
    <row r="437">
      <c r="H437" s="394"/>
      <c r="I437" s="394"/>
      <c r="J437" s="394"/>
      <c r="P437" s="394"/>
      <c r="Q437" s="394"/>
      <c r="R437" s="394"/>
    </row>
    <row r="438">
      <c r="H438" s="394"/>
      <c r="I438" s="394"/>
      <c r="J438" s="394"/>
      <c r="P438" s="394"/>
      <c r="Q438" s="394"/>
      <c r="R438" s="394"/>
    </row>
    <row r="439">
      <c r="H439" s="394"/>
      <c r="I439" s="394"/>
      <c r="J439" s="394"/>
      <c r="P439" s="394"/>
      <c r="Q439" s="394"/>
      <c r="R439" s="394"/>
    </row>
    <row r="440">
      <c r="H440" s="394"/>
      <c r="I440" s="394"/>
      <c r="J440" s="394"/>
      <c r="P440" s="394"/>
      <c r="Q440" s="394"/>
      <c r="R440" s="394"/>
    </row>
    <row r="441">
      <c r="H441" s="394"/>
      <c r="I441" s="394"/>
      <c r="J441" s="394"/>
      <c r="P441" s="394"/>
      <c r="Q441" s="394"/>
      <c r="R441" s="394"/>
    </row>
    <row r="442">
      <c r="H442" s="394"/>
      <c r="I442" s="394"/>
      <c r="J442" s="394"/>
      <c r="P442" s="394"/>
      <c r="Q442" s="394"/>
      <c r="R442" s="394"/>
    </row>
    <row r="443">
      <c r="H443" s="394"/>
      <c r="I443" s="394"/>
      <c r="J443" s="394"/>
      <c r="P443" s="394"/>
      <c r="Q443" s="394"/>
      <c r="R443" s="394"/>
    </row>
    <row r="444">
      <c r="H444" s="394"/>
      <c r="I444" s="394"/>
      <c r="J444" s="394"/>
      <c r="P444" s="394"/>
      <c r="Q444" s="394"/>
      <c r="R444" s="394"/>
    </row>
    <row r="445">
      <c r="H445" s="394"/>
      <c r="I445" s="394"/>
      <c r="J445" s="394"/>
      <c r="P445" s="394"/>
      <c r="Q445" s="394"/>
      <c r="R445" s="394"/>
    </row>
    <row r="446">
      <c r="H446" s="394"/>
      <c r="I446" s="394"/>
      <c r="J446" s="394"/>
      <c r="P446" s="394"/>
      <c r="Q446" s="394"/>
      <c r="R446" s="394"/>
    </row>
    <row r="447">
      <c r="H447" s="394"/>
      <c r="I447" s="394"/>
      <c r="J447" s="394"/>
      <c r="P447" s="394"/>
      <c r="Q447" s="394"/>
      <c r="R447" s="394"/>
    </row>
    <row r="448">
      <c r="H448" s="394"/>
      <c r="I448" s="394"/>
      <c r="J448" s="394"/>
      <c r="P448" s="394"/>
      <c r="Q448" s="394"/>
      <c r="R448" s="394"/>
    </row>
    <row r="449">
      <c r="H449" s="394"/>
      <c r="I449" s="394"/>
      <c r="J449" s="394"/>
      <c r="P449" s="394"/>
      <c r="Q449" s="394"/>
      <c r="R449" s="394"/>
    </row>
    <row r="450">
      <c r="H450" s="394"/>
      <c r="I450" s="394"/>
      <c r="J450" s="394"/>
      <c r="P450" s="394"/>
      <c r="Q450" s="394"/>
      <c r="R450" s="394"/>
    </row>
    <row r="451">
      <c r="H451" s="394"/>
      <c r="I451" s="394"/>
      <c r="J451" s="394"/>
      <c r="P451" s="394"/>
      <c r="Q451" s="394"/>
      <c r="R451" s="394"/>
    </row>
    <row r="452">
      <c r="H452" s="394"/>
      <c r="I452" s="394"/>
      <c r="J452" s="394"/>
      <c r="P452" s="394"/>
      <c r="Q452" s="394"/>
      <c r="R452" s="394"/>
    </row>
    <row r="453">
      <c r="H453" s="394"/>
      <c r="I453" s="394"/>
      <c r="J453" s="394"/>
      <c r="P453" s="394"/>
      <c r="Q453" s="394"/>
      <c r="R453" s="394"/>
    </row>
    <row r="454">
      <c r="H454" s="394"/>
      <c r="I454" s="394"/>
      <c r="J454" s="394"/>
      <c r="P454" s="394"/>
      <c r="Q454" s="394"/>
      <c r="R454" s="394"/>
    </row>
    <row r="455">
      <c r="H455" s="394"/>
      <c r="I455" s="394"/>
      <c r="J455" s="394"/>
      <c r="P455" s="394"/>
      <c r="Q455" s="394"/>
      <c r="R455" s="394"/>
    </row>
    <row r="456">
      <c r="H456" s="394"/>
      <c r="I456" s="394"/>
      <c r="J456" s="394"/>
      <c r="P456" s="394"/>
      <c r="Q456" s="394"/>
      <c r="R456" s="394"/>
    </row>
    <row r="457">
      <c r="H457" s="394"/>
      <c r="I457" s="394"/>
      <c r="J457" s="394"/>
      <c r="P457" s="394"/>
      <c r="Q457" s="394"/>
      <c r="R457" s="394"/>
    </row>
    <row r="458">
      <c r="H458" s="394"/>
      <c r="I458" s="394"/>
      <c r="J458" s="394"/>
      <c r="P458" s="394"/>
      <c r="Q458" s="394"/>
      <c r="R458" s="394"/>
    </row>
    <row r="459">
      <c r="H459" s="394"/>
      <c r="I459" s="394"/>
      <c r="J459" s="394"/>
      <c r="P459" s="394"/>
      <c r="Q459" s="394"/>
      <c r="R459" s="394"/>
    </row>
    <row r="460">
      <c r="H460" s="394"/>
      <c r="I460" s="394"/>
      <c r="J460" s="394"/>
      <c r="P460" s="394"/>
      <c r="Q460" s="394"/>
      <c r="R460" s="394"/>
    </row>
    <row r="461">
      <c r="H461" s="394"/>
      <c r="I461" s="394"/>
      <c r="J461" s="394"/>
      <c r="P461" s="394"/>
      <c r="Q461" s="394"/>
      <c r="R461" s="394"/>
    </row>
    <row r="462">
      <c r="H462" s="394"/>
      <c r="I462" s="394"/>
      <c r="J462" s="394"/>
      <c r="P462" s="394"/>
      <c r="Q462" s="394"/>
      <c r="R462" s="394"/>
    </row>
    <row r="463">
      <c r="H463" s="394"/>
      <c r="I463" s="394"/>
      <c r="J463" s="394"/>
      <c r="P463" s="394"/>
      <c r="Q463" s="394"/>
      <c r="R463" s="394"/>
    </row>
    <row r="464">
      <c r="H464" s="394"/>
      <c r="I464" s="394"/>
      <c r="J464" s="394"/>
      <c r="P464" s="394"/>
      <c r="Q464" s="394"/>
      <c r="R464" s="394"/>
    </row>
    <row r="465">
      <c r="H465" s="394"/>
      <c r="I465" s="394"/>
      <c r="J465" s="394"/>
      <c r="P465" s="394"/>
      <c r="Q465" s="394"/>
      <c r="R465" s="394"/>
    </row>
    <row r="466">
      <c r="H466" s="394"/>
      <c r="I466" s="394"/>
      <c r="J466" s="394"/>
      <c r="P466" s="394"/>
      <c r="Q466" s="394"/>
      <c r="R466" s="394"/>
    </row>
    <row r="467">
      <c r="H467" s="394"/>
      <c r="I467" s="394"/>
      <c r="J467" s="394"/>
      <c r="P467" s="394"/>
      <c r="Q467" s="394"/>
      <c r="R467" s="394"/>
    </row>
    <row r="468">
      <c r="H468" s="394"/>
      <c r="I468" s="394"/>
      <c r="J468" s="394"/>
      <c r="P468" s="394"/>
      <c r="Q468" s="394"/>
      <c r="R468" s="394"/>
    </row>
    <row r="469">
      <c r="H469" s="394"/>
      <c r="I469" s="394"/>
      <c r="J469" s="394"/>
      <c r="P469" s="394"/>
      <c r="Q469" s="394"/>
      <c r="R469" s="394"/>
    </row>
    <row r="470">
      <c r="H470" s="394"/>
      <c r="I470" s="394"/>
      <c r="J470" s="394"/>
      <c r="P470" s="394"/>
      <c r="Q470" s="394"/>
      <c r="R470" s="394"/>
    </row>
    <row r="471">
      <c r="H471" s="394"/>
      <c r="I471" s="394"/>
      <c r="J471" s="394"/>
      <c r="P471" s="394"/>
      <c r="Q471" s="394"/>
      <c r="R471" s="394"/>
    </row>
    <row r="472">
      <c r="H472" s="394"/>
      <c r="I472" s="394"/>
      <c r="J472" s="394"/>
      <c r="P472" s="394"/>
      <c r="Q472" s="394"/>
      <c r="R472" s="394"/>
    </row>
    <row r="473">
      <c r="H473" s="394"/>
      <c r="I473" s="394"/>
      <c r="J473" s="394"/>
      <c r="P473" s="394"/>
      <c r="Q473" s="394"/>
      <c r="R473" s="394"/>
    </row>
    <row r="474">
      <c r="H474" s="394"/>
      <c r="I474" s="394"/>
      <c r="J474" s="394"/>
      <c r="P474" s="394"/>
      <c r="Q474" s="394"/>
      <c r="R474" s="394"/>
    </row>
    <row r="475">
      <c r="H475" s="394"/>
      <c r="I475" s="394"/>
      <c r="J475" s="394"/>
      <c r="P475" s="394"/>
      <c r="Q475" s="394"/>
      <c r="R475" s="394"/>
    </row>
    <row r="476">
      <c r="H476" s="394"/>
      <c r="I476" s="394"/>
      <c r="J476" s="394"/>
      <c r="P476" s="394"/>
      <c r="Q476" s="394"/>
      <c r="R476" s="394"/>
    </row>
    <row r="477">
      <c r="H477" s="394"/>
      <c r="I477" s="394"/>
      <c r="J477" s="394"/>
      <c r="P477" s="394"/>
      <c r="Q477" s="394"/>
      <c r="R477" s="394"/>
    </row>
    <row r="478">
      <c r="H478" s="394"/>
      <c r="I478" s="394"/>
      <c r="J478" s="394"/>
      <c r="P478" s="394"/>
      <c r="Q478" s="394"/>
      <c r="R478" s="394"/>
    </row>
    <row r="479">
      <c r="H479" s="394"/>
      <c r="I479" s="394"/>
      <c r="J479" s="394"/>
      <c r="P479" s="394"/>
      <c r="Q479" s="394"/>
      <c r="R479" s="394"/>
    </row>
    <row r="480">
      <c r="H480" s="394"/>
      <c r="I480" s="394"/>
      <c r="J480" s="394"/>
      <c r="P480" s="394"/>
      <c r="Q480" s="394"/>
      <c r="R480" s="394"/>
    </row>
    <row r="481">
      <c r="H481" s="394"/>
      <c r="I481" s="394"/>
      <c r="J481" s="394"/>
      <c r="P481" s="394"/>
      <c r="Q481" s="394"/>
      <c r="R481" s="394"/>
    </row>
    <row r="482">
      <c r="H482" s="394"/>
      <c r="I482" s="394"/>
      <c r="J482" s="394"/>
      <c r="P482" s="394"/>
      <c r="Q482" s="394"/>
      <c r="R482" s="394"/>
    </row>
    <row r="483">
      <c r="H483" s="394"/>
      <c r="I483" s="394"/>
      <c r="J483" s="394"/>
      <c r="P483" s="394"/>
      <c r="Q483" s="394"/>
      <c r="R483" s="394"/>
    </row>
    <row r="484">
      <c r="H484" s="394"/>
      <c r="I484" s="394"/>
      <c r="J484" s="394"/>
      <c r="P484" s="394"/>
      <c r="Q484" s="394"/>
      <c r="R484" s="394"/>
    </row>
    <row r="485">
      <c r="H485" s="394"/>
      <c r="I485" s="394"/>
      <c r="J485" s="394"/>
      <c r="P485" s="394"/>
      <c r="Q485" s="394"/>
      <c r="R485" s="394"/>
    </row>
    <row r="486">
      <c r="H486" s="394"/>
      <c r="I486" s="394"/>
      <c r="J486" s="394"/>
      <c r="P486" s="394"/>
      <c r="Q486" s="394"/>
      <c r="R486" s="394"/>
    </row>
    <row r="487">
      <c r="H487" s="394"/>
      <c r="I487" s="394"/>
      <c r="J487" s="394"/>
      <c r="P487" s="394"/>
      <c r="Q487" s="394"/>
      <c r="R487" s="394"/>
    </row>
    <row r="488">
      <c r="H488" s="394"/>
      <c r="I488" s="394"/>
      <c r="J488" s="394"/>
      <c r="P488" s="394"/>
      <c r="Q488" s="394"/>
      <c r="R488" s="394"/>
    </row>
    <row r="489">
      <c r="H489" s="394"/>
      <c r="I489" s="394"/>
      <c r="J489" s="394"/>
      <c r="P489" s="394"/>
      <c r="Q489" s="394"/>
      <c r="R489" s="394"/>
    </row>
    <row r="490">
      <c r="H490" s="394"/>
      <c r="I490" s="394"/>
      <c r="J490" s="394"/>
      <c r="P490" s="394"/>
      <c r="Q490" s="394"/>
      <c r="R490" s="394"/>
    </row>
    <row r="491">
      <c r="H491" s="394"/>
      <c r="I491" s="394"/>
      <c r="J491" s="394"/>
      <c r="P491" s="394"/>
      <c r="Q491" s="394"/>
      <c r="R491" s="394"/>
    </row>
    <row r="492">
      <c r="H492" s="394"/>
      <c r="I492" s="394"/>
      <c r="J492" s="394"/>
      <c r="P492" s="394"/>
      <c r="Q492" s="394"/>
      <c r="R492" s="394"/>
    </row>
    <row r="493">
      <c r="H493" s="394"/>
      <c r="I493" s="394"/>
      <c r="J493" s="394"/>
      <c r="P493" s="394"/>
      <c r="Q493" s="394"/>
      <c r="R493" s="394"/>
    </row>
    <row r="494">
      <c r="H494" s="394"/>
      <c r="I494" s="394"/>
      <c r="J494" s="394"/>
      <c r="P494" s="394"/>
      <c r="Q494" s="394"/>
      <c r="R494" s="394"/>
    </row>
    <row r="495">
      <c r="H495" s="394"/>
      <c r="I495" s="394"/>
      <c r="J495" s="394"/>
      <c r="P495" s="394"/>
      <c r="Q495" s="394"/>
      <c r="R495" s="394"/>
    </row>
    <row r="496">
      <c r="H496" s="394"/>
      <c r="I496" s="394"/>
      <c r="J496" s="394"/>
      <c r="P496" s="394"/>
      <c r="Q496" s="394"/>
      <c r="R496" s="394"/>
    </row>
    <row r="497">
      <c r="H497" s="394"/>
      <c r="I497" s="394"/>
      <c r="J497" s="394"/>
      <c r="P497" s="394"/>
      <c r="Q497" s="394"/>
      <c r="R497" s="394"/>
    </row>
    <row r="498">
      <c r="H498" s="394"/>
      <c r="I498" s="394"/>
      <c r="J498" s="394"/>
      <c r="P498" s="394"/>
      <c r="Q498" s="394"/>
      <c r="R498" s="394"/>
    </row>
    <row r="499">
      <c r="H499" s="394"/>
      <c r="I499" s="394"/>
      <c r="J499" s="394"/>
      <c r="P499" s="394"/>
      <c r="Q499" s="394"/>
      <c r="R499" s="394"/>
    </row>
    <row r="500">
      <c r="H500" s="394"/>
      <c r="I500" s="394"/>
      <c r="J500" s="394"/>
      <c r="P500" s="394"/>
      <c r="Q500" s="394"/>
      <c r="R500" s="394"/>
    </row>
    <row r="501">
      <c r="H501" s="394"/>
      <c r="I501" s="394"/>
      <c r="J501" s="394"/>
      <c r="P501" s="394"/>
      <c r="Q501" s="394"/>
      <c r="R501" s="394"/>
    </row>
    <row r="502">
      <c r="H502" s="394"/>
      <c r="I502" s="394"/>
      <c r="J502" s="394"/>
      <c r="P502" s="394"/>
      <c r="Q502" s="394"/>
      <c r="R502" s="394"/>
    </row>
    <row r="503">
      <c r="H503" s="394"/>
      <c r="I503" s="394"/>
      <c r="J503" s="394"/>
      <c r="P503" s="394"/>
      <c r="Q503" s="394"/>
      <c r="R503" s="394"/>
    </row>
    <row r="504">
      <c r="H504" s="394"/>
      <c r="I504" s="394"/>
      <c r="J504" s="394"/>
      <c r="P504" s="394"/>
      <c r="Q504" s="394"/>
      <c r="R504" s="394"/>
    </row>
    <row r="505">
      <c r="H505" s="394"/>
      <c r="I505" s="394"/>
      <c r="J505" s="394"/>
      <c r="P505" s="394"/>
      <c r="Q505" s="394"/>
      <c r="R505" s="394"/>
    </row>
    <row r="506">
      <c r="H506" s="394"/>
      <c r="I506" s="394"/>
      <c r="J506" s="394"/>
      <c r="P506" s="394"/>
      <c r="Q506" s="394"/>
      <c r="R506" s="394"/>
    </row>
    <row r="507">
      <c r="H507" s="394"/>
      <c r="I507" s="394"/>
      <c r="J507" s="394"/>
      <c r="P507" s="394"/>
      <c r="Q507" s="394"/>
      <c r="R507" s="394"/>
    </row>
    <row r="508">
      <c r="H508" s="394"/>
      <c r="I508" s="394"/>
      <c r="J508" s="394"/>
      <c r="P508" s="394"/>
      <c r="Q508" s="394"/>
      <c r="R508" s="394"/>
    </row>
    <row r="509">
      <c r="H509" s="394"/>
      <c r="I509" s="394"/>
      <c r="J509" s="394"/>
      <c r="P509" s="394"/>
      <c r="Q509" s="394"/>
      <c r="R509" s="394"/>
    </row>
    <row r="510">
      <c r="H510" s="394"/>
      <c r="I510" s="394"/>
      <c r="J510" s="394"/>
      <c r="P510" s="394"/>
      <c r="Q510" s="394"/>
      <c r="R510" s="394"/>
    </row>
    <row r="511">
      <c r="H511" s="394"/>
      <c r="I511" s="394"/>
      <c r="J511" s="394"/>
      <c r="P511" s="394"/>
      <c r="Q511" s="394"/>
      <c r="R511" s="394"/>
    </row>
    <row r="512">
      <c r="H512" s="394"/>
      <c r="I512" s="394"/>
      <c r="J512" s="394"/>
      <c r="P512" s="394"/>
      <c r="Q512" s="394"/>
      <c r="R512" s="394"/>
    </row>
    <row r="513">
      <c r="H513" s="394"/>
      <c r="I513" s="394"/>
      <c r="J513" s="394"/>
      <c r="P513" s="394"/>
      <c r="Q513" s="394"/>
      <c r="R513" s="394"/>
    </row>
    <row r="514">
      <c r="H514" s="394"/>
      <c r="I514" s="394"/>
      <c r="J514" s="394"/>
      <c r="P514" s="394"/>
      <c r="Q514" s="394"/>
      <c r="R514" s="394"/>
    </row>
    <row r="515">
      <c r="H515" s="394"/>
      <c r="I515" s="394"/>
      <c r="J515" s="394"/>
      <c r="P515" s="394"/>
      <c r="Q515" s="394"/>
      <c r="R515" s="394"/>
    </row>
    <row r="516">
      <c r="H516" s="394"/>
      <c r="I516" s="394"/>
      <c r="J516" s="394"/>
      <c r="P516" s="394"/>
      <c r="Q516" s="394"/>
      <c r="R516" s="394"/>
    </row>
    <row r="517">
      <c r="H517" s="394"/>
      <c r="I517" s="394"/>
      <c r="J517" s="394"/>
      <c r="P517" s="394"/>
      <c r="Q517" s="394"/>
      <c r="R517" s="394"/>
    </row>
    <row r="518">
      <c r="H518" s="394"/>
      <c r="I518" s="394"/>
      <c r="J518" s="394"/>
      <c r="P518" s="394"/>
      <c r="Q518" s="394"/>
      <c r="R518" s="394"/>
    </row>
    <row r="519">
      <c r="H519" s="394"/>
      <c r="I519" s="394"/>
      <c r="J519" s="394"/>
      <c r="P519" s="394"/>
      <c r="Q519" s="394"/>
      <c r="R519" s="394"/>
    </row>
    <row r="520">
      <c r="H520" s="394"/>
      <c r="I520" s="394"/>
      <c r="J520" s="394"/>
      <c r="P520" s="394"/>
      <c r="Q520" s="394"/>
      <c r="R520" s="394"/>
    </row>
    <row r="521">
      <c r="H521" s="394"/>
      <c r="I521" s="394"/>
      <c r="J521" s="394"/>
      <c r="P521" s="394"/>
      <c r="Q521" s="394"/>
      <c r="R521" s="394"/>
    </row>
    <row r="522">
      <c r="H522" s="394"/>
      <c r="I522" s="394"/>
      <c r="J522" s="394"/>
      <c r="P522" s="394"/>
      <c r="Q522" s="394"/>
      <c r="R522" s="394"/>
    </row>
    <row r="523">
      <c r="H523" s="394"/>
      <c r="I523" s="394"/>
      <c r="J523" s="394"/>
      <c r="P523" s="394"/>
      <c r="Q523" s="394"/>
      <c r="R523" s="394"/>
    </row>
    <row r="524">
      <c r="H524" s="394"/>
      <c r="I524" s="394"/>
      <c r="J524" s="394"/>
      <c r="P524" s="394"/>
      <c r="Q524" s="394"/>
      <c r="R524" s="394"/>
    </row>
    <row r="525">
      <c r="H525" s="394"/>
      <c r="I525" s="394"/>
      <c r="J525" s="394"/>
      <c r="P525" s="394"/>
      <c r="Q525" s="394"/>
      <c r="R525" s="394"/>
    </row>
    <row r="526">
      <c r="H526" s="394"/>
      <c r="I526" s="394"/>
      <c r="J526" s="394"/>
      <c r="P526" s="394"/>
      <c r="Q526" s="394"/>
      <c r="R526" s="394"/>
    </row>
    <row r="527">
      <c r="H527" s="394"/>
      <c r="I527" s="394"/>
      <c r="J527" s="394"/>
      <c r="P527" s="394"/>
      <c r="Q527" s="394"/>
      <c r="R527" s="394"/>
    </row>
    <row r="528">
      <c r="H528" s="394"/>
      <c r="I528" s="394"/>
      <c r="J528" s="394"/>
      <c r="P528" s="394"/>
      <c r="Q528" s="394"/>
      <c r="R528" s="394"/>
    </row>
    <row r="529">
      <c r="H529" s="394"/>
      <c r="I529" s="394"/>
      <c r="J529" s="394"/>
      <c r="P529" s="394"/>
      <c r="Q529" s="394"/>
      <c r="R529" s="394"/>
    </row>
    <row r="530">
      <c r="H530" s="394"/>
      <c r="I530" s="394"/>
      <c r="J530" s="394"/>
      <c r="P530" s="394"/>
      <c r="Q530" s="394"/>
      <c r="R530" s="394"/>
    </row>
    <row r="531">
      <c r="H531" s="394"/>
      <c r="I531" s="394"/>
      <c r="J531" s="394"/>
      <c r="P531" s="394"/>
      <c r="Q531" s="394"/>
      <c r="R531" s="394"/>
    </row>
    <row r="532">
      <c r="H532" s="394"/>
      <c r="I532" s="394"/>
      <c r="J532" s="394"/>
      <c r="P532" s="394"/>
      <c r="Q532" s="394"/>
      <c r="R532" s="394"/>
    </row>
    <row r="533">
      <c r="H533" s="394"/>
      <c r="I533" s="394"/>
      <c r="J533" s="394"/>
      <c r="P533" s="394"/>
      <c r="Q533" s="394"/>
      <c r="R533" s="394"/>
    </row>
    <row r="534">
      <c r="H534" s="394"/>
      <c r="I534" s="394"/>
      <c r="J534" s="394"/>
      <c r="P534" s="394"/>
      <c r="Q534" s="394"/>
      <c r="R534" s="394"/>
    </row>
    <row r="535">
      <c r="H535" s="394"/>
      <c r="I535" s="394"/>
      <c r="J535" s="394"/>
      <c r="P535" s="394"/>
      <c r="Q535" s="394"/>
      <c r="R535" s="394"/>
    </row>
    <row r="536">
      <c r="H536" s="394"/>
      <c r="I536" s="394"/>
      <c r="J536" s="394"/>
      <c r="P536" s="394"/>
      <c r="Q536" s="394"/>
      <c r="R536" s="394"/>
    </row>
    <row r="537">
      <c r="H537" s="394"/>
      <c r="I537" s="394"/>
      <c r="J537" s="394"/>
      <c r="P537" s="394"/>
      <c r="Q537" s="394"/>
      <c r="R537" s="394"/>
    </row>
    <row r="538">
      <c r="H538" s="394"/>
      <c r="I538" s="394"/>
      <c r="J538" s="394"/>
      <c r="P538" s="394"/>
      <c r="Q538" s="394"/>
      <c r="R538" s="394"/>
    </row>
    <row r="539">
      <c r="H539" s="394"/>
      <c r="I539" s="394"/>
      <c r="J539" s="394"/>
      <c r="P539" s="394"/>
      <c r="Q539" s="394"/>
      <c r="R539" s="394"/>
    </row>
    <row r="540">
      <c r="H540" s="394"/>
      <c r="I540" s="394"/>
      <c r="J540" s="394"/>
      <c r="P540" s="394"/>
      <c r="Q540" s="394"/>
      <c r="R540" s="394"/>
    </row>
    <row r="541">
      <c r="H541" s="394"/>
      <c r="I541" s="394"/>
      <c r="J541" s="394"/>
      <c r="P541" s="394"/>
      <c r="Q541" s="394"/>
      <c r="R541" s="394"/>
    </row>
    <row r="542">
      <c r="H542" s="394"/>
      <c r="I542" s="394"/>
      <c r="J542" s="394"/>
      <c r="P542" s="394"/>
      <c r="Q542" s="394"/>
      <c r="R542" s="394"/>
    </row>
    <row r="543">
      <c r="H543" s="394"/>
      <c r="I543" s="394"/>
      <c r="J543" s="394"/>
      <c r="P543" s="394"/>
      <c r="Q543" s="394"/>
      <c r="R543" s="394"/>
    </row>
    <row r="544">
      <c r="H544" s="394"/>
      <c r="I544" s="394"/>
      <c r="J544" s="394"/>
      <c r="P544" s="394"/>
      <c r="Q544" s="394"/>
      <c r="R544" s="394"/>
    </row>
    <row r="545">
      <c r="H545" s="394"/>
      <c r="I545" s="394"/>
      <c r="J545" s="394"/>
      <c r="P545" s="394"/>
      <c r="Q545" s="394"/>
      <c r="R545" s="394"/>
    </row>
    <row r="546">
      <c r="H546" s="394"/>
      <c r="I546" s="394"/>
      <c r="J546" s="394"/>
      <c r="P546" s="394"/>
      <c r="Q546" s="394"/>
      <c r="R546" s="394"/>
    </row>
    <row r="547">
      <c r="H547" s="394"/>
      <c r="I547" s="394"/>
      <c r="J547" s="394"/>
      <c r="P547" s="394"/>
      <c r="Q547" s="394"/>
      <c r="R547" s="394"/>
    </row>
    <row r="548">
      <c r="H548" s="394"/>
      <c r="I548" s="394"/>
      <c r="J548" s="394"/>
      <c r="P548" s="394"/>
      <c r="Q548" s="394"/>
      <c r="R548" s="394"/>
    </row>
    <row r="549">
      <c r="H549" s="394"/>
      <c r="I549" s="394"/>
      <c r="J549" s="394"/>
      <c r="P549" s="394"/>
      <c r="Q549" s="394"/>
      <c r="R549" s="394"/>
    </row>
    <row r="550">
      <c r="H550" s="394"/>
      <c r="I550" s="394"/>
      <c r="J550" s="394"/>
      <c r="P550" s="394"/>
      <c r="Q550" s="394"/>
      <c r="R550" s="394"/>
    </row>
    <row r="551">
      <c r="H551" s="394"/>
      <c r="I551" s="394"/>
      <c r="J551" s="394"/>
      <c r="P551" s="394"/>
      <c r="Q551" s="394"/>
      <c r="R551" s="394"/>
    </row>
    <row r="552">
      <c r="H552" s="394"/>
      <c r="I552" s="394"/>
      <c r="J552" s="394"/>
      <c r="P552" s="394"/>
      <c r="Q552" s="394"/>
      <c r="R552" s="394"/>
    </row>
    <row r="553">
      <c r="H553" s="394"/>
      <c r="I553" s="394"/>
      <c r="J553" s="394"/>
      <c r="P553" s="394"/>
      <c r="Q553" s="394"/>
      <c r="R553" s="394"/>
    </row>
    <row r="554">
      <c r="H554" s="394"/>
      <c r="I554" s="394"/>
      <c r="J554" s="394"/>
      <c r="P554" s="394"/>
      <c r="Q554" s="394"/>
      <c r="R554" s="394"/>
    </row>
    <row r="555">
      <c r="H555" s="394"/>
      <c r="I555" s="394"/>
      <c r="J555" s="394"/>
      <c r="P555" s="394"/>
      <c r="Q555" s="394"/>
      <c r="R555" s="394"/>
    </row>
    <row r="556">
      <c r="H556" s="394"/>
      <c r="I556" s="394"/>
      <c r="J556" s="394"/>
      <c r="P556" s="394"/>
      <c r="Q556" s="394"/>
      <c r="R556" s="394"/>
    </row>
    <row r="557">
      <c r="H557" s="394"/>
      <c r="I557" s="394"/>
      <c r="J557" s="394"/>
      <c r="P557" s="394"/>
      <c r="Q557" s="394"/>
      <c r="R557" s="394"/>
    </row>
    <row r="558">
      <c r="H558" s="394"/>
      <c r="I558" s="394"/>
      <c r="J558" s="394"/>
      <c r="P558" s="394"/>
      <c r="Q558" s="394"/>
      <c r="R558" s="394"/>
    </row>
    <row r="559">
      <c r="H559" s="394"/>
      <c r="I559" s="394"/>
      <c r="J559" s="394"/>
      <c r="P559" s="394"/>
      <c r="Q559" s="394"/>
      <c r="R559" s="394"/>
    </row>
    <row r="560">
      <c r="H560" s="394"/>
      <c r="I560" s="394"/>
      <c r="J560" s="394"/>
      <c r="P560" s="394"/>
      <c r="Q560" s="394"/>
      <c r="R560" s="394"/>
    </row>
    <row r="561">
      <c r="H561" s="394"/>
      <c r="I561" s="394"/>
      <c r="J561" s="394"/>
      <c r="P561" s="394"/>
      <c r="Q561" s="394"/>
      <c r="R561" s="394"/>
    </row>
    <row r="562">
      <c r="H562" s="394"/>
      <c r="I562" s="394"/>
      <c r="J562" s="394"/>
      <c r="P562" s="394"/>
      <c r="Q562" s="394"/>
      <c r="R562" s="394"/>
    </row>
    <row r="563">
      <c r="H563" s="394"/>
      <c r="I563" s="394"/>
      <c r="J563" s="394"/>
      <c r="P563" s="394"/>
      <c r="Q563" s="394"/>
      <c r="R563" s="394"/>
    </row>
    <row r="564">
      <c r="H564" s="394"/>
      <c r="I564" s="394"/>
      <c r="J564" s="394"/>
      <c r="P564" s="394"/>
      <c r="Q564" s="394"/>
      <c r="R564" s="394"/>
    </row>
    <row r="565">
      <c r="H565" s="394"/>
      <c r="I565" s="394"/>
      <c r="J565" s="394"/>
      <c r="P565" s="394"/>
      <c r="Q565" s="394"/>
      <c r="R565" s="394"/>
    </row>
    <row r="566">
      <c r="H566" s="394"/>
      <c r="I566" s="394"/>
      <c r="J566" s="394"/>
      <c r="P566" s="394"/>
      <c r="Q566" s="394"/>
      <c r="R566" s="394"/>
    </row>
    <row r="567">
      <c r="H567" s="394"/>
      <c r="I567" s="394"/>
      <c r="J567" s="394"/>
      <c r="P567" s="394"/>
      <c r="Q567" s="394"/>
      <c r="R567" s="394"/>
    </row>
    <row r="568">
      <c r="H568" s="394"/>
      <c r="I568" s="394"/>
      <c r="J568" s="394"/>
      <c r="P568" s="394"/>
      <c r="Q568" s="394"/>
      <c r="R568" s="394"/>
    </row>
    <row r="569">
      <c r="H569" s="394"/>
      <c r="I569" s="394"/>
      <c r="J569" s="394"/>
      <c r="P569" s="394"/>
      <c r="Q569" s="394"/>
      <c r="R569" s="394"/>
    </row>
    <row r="570">
      <c r="H570" s="394"/>
      <c r="I570" s="394"/>
      <c r="J570" s="394"/>
      <c r="P570" s="394"/>
      <c r="Q570" s="394"/>
      <c r="R570" s="394"/>
    </row>
    <row r="571">
      <c r="H571" s="394"/>
      <c r="I571" s="394"/>
      <c r="J571" s="394"/>
      <c r="P571" s="394"/>
      <c r="Q571" s="394"/>
      <c r="R571" s="394"/>
    </row>
    <row r="572">
      <c r="H572" s="394"/>
      <c r="I572" s="394"/>
      <c r="J572" s="394"/>
      <c r="P572" s="394"/>
      <c r="Q572" s="394"/>
      <c r="R572" s="394"/>
    </row>
    <row r="573">
      <c r="H573" s="394"/>
      <c r="I573" s="394"/>
      <c r="J573" s="394"/>
      <c r="P573" s="394"/>
      <c r="Q573" s="394"/>
      <c r="R573" s="394"/>
    </row>
    <row r="574">
      <c r="H574" s="394"/>
      <c r="I574" s="394"/>
      <c r="J574" s="394"/>
      <c r="P574" s="394"/>
      <c r="Q574" s="394"/>
      <c r="R574" s="394"/>
    </row>
    <row r="575">
      <c r="H575" s="394"/>
      <c r="I575" s="394"/>
      <c r="J575" s="394"/>
      <c r="P575" s="394"/>
      <c r="Q575" s="394"/>
      <c r="R575" s="394"/>
    </row>
    <row r="576">
      <c r="H576" s="394"/>
      <c r="I576" s="394"/>
      <c r="J576" s="394"/>
      <c r="P576" s="394"/>
      <c r="Q576" s="394"/>
      <c r="R576" s="394"/>
    </row>
    <row r="577">
      <c r="H577" s="394"/>
      <c r="I577" s="394"/>
      <c r="J577" s="394"/>
      <c r="P577" s="394"/>
      <c r="Q577" s="394"/>
      <c r="R577" s="394"/>
    </row>
    <row r="578">
      <c r="H578" s="394"/>
      <c r="I578" s="394"/>
      <c r="J578" s="394"/>
      <c r="P578" s="394"/>
      <c r="Q578" s="394"/>
      <c r="R578" s="394"/>
    </row>
    <row r="579">
      <c r="H579" s="394"/>
      <c r="I579" s="394"/>
      <c r="J579" s="394"/>
      <c r="P579" s="394"/>
      <c r="Q579" s="394"/>
      <c r="R579" s="394"/>
    </row>
    <row r="580">
      <c r="H580" s="394"/>
      <c r="I580" s="394"/>
      <c r="J580" s="394"/>
      <c r="P580" s="394"/>
      <c r="Q580" s="394"/>
      <c r="R580" s="394"/>
    </row>
    <row r="581">
      <c r="H581" s="394"/>
      <c r="I581" s="394"/>
      <c r="J581" s="394"/>
      <c r="P581" s="394"/>
      <c r="Q581" s="394"/>
      <c r="R581" s="394"/>
    </row>
    <row r="582">
      <c r="H582" s="394"/>
      <c r="I582" s="394"/>
      <c r="J582" s="394"/>
      <c r="P582" s="394"/>
      <c r="Q582" s="394"/>
      <c r="R582" s="394"/>
    </row>
    <row r="583">
      <c r="H583" s="394"/>
      <c r="I583" s="394"/>
      <c r="J583" s="394"/>
      <c r="P583" s="394"/>
      <c r="Q583" s="394"/>
      <c r="R583" s="394"/>
    </row>
    <row r="584">
      <c r="H584" s="394"/>
      <c r="I584" s="394"/>
      <c r="J584" s="394"/>
      <c r="P584" s="394"/>
      <c r="Q584" s="394"/>
      <c r="R584" s="394"/>
    </row>
    <row r="585">
      <c r="H585" s="394"/>
      <c r="I585" s="394"/>
      <c r="J585" s="394"/>
      <c r="P585" s="394"/>
      <c r="Q585" s="394"/>
      <c r="R585" s="394"/>
    </row>
    <row r="586">
      <c r="H586" s="394"/>
      <c r="I586" s="394"/>
      <c r="J586" s="394"/>
      <c r="P586" s="394"/>
      <c r="Q586" s="394"/>
      <c r="R586" s="394"/>
    </row>
    <row r="587">
      <c r="H587" s="394"/>
      <c r="I587" s="394"/>
      <c r="J587" s="394"/>
      <c r="P587" s="394"/>
      <c r="Q587" s="394"/>
      <c r="R587" s="394"/>
    </row>
    <row r="588">
      <c r="H588" s="394"/>
      <c r="I588" s="394"/>
      <c r="J588" s="394"/>
      <c r="P588" s="394"/>
      <c r="Q588" s="394"/>
      <c r="R588" s="394"/>
    </row>
    <row r="589">
      <c r="H589" s="394"/>
      <c r="I589" s="394"/>
      <c r="J589" s="394"/>
      <c r="P589" s="394"/>
      <c r="Q589" s="394"/>
      <c r="R589" s="394"/>
    </row>
    <row r="590">
      <c r="H590" s="394"/>
      <c r="I590" s="394"/>
      <c r="J590" s="394"/>
      <c r="P590" s="394"/>
      <c r="Q590" s="394"/>
      <c r="R590" s="394"/>
    </row>
    <row r="591">
      <c r="H591" s="394"/>
      <c r="I591" s="394"/>
      <c r="J591" s="394"/>
      <c r="P591" s="394"/>
      <c r="Q591" s="394"/>
      <c r="R591" s="394"/>
    </row>
    <row r="592">
      <c r="H592" s="394"/>
      <c r="I592" s="394"/>
      <c r="J592" s="394"/>
      <c r="P592" s="394"/>
      <c r="Q592" s="394"/>
      <c r="R592" s="394"/>
    </row>
    <row r="593">
      <c r="H593" s="394"/>
      <c r="I593" s="394"/>
      <c r="J593" s="394"/>
      <c r="P593" s="394"/>
      <c r="Q593" s="394"/>
      <c r="R593" s="394"/>
    </row>
    <row r="594">
      <c r="H594" s="394"/>
      <c r="I594" s="394"/>
      <c r="J594" s="394"/>
      <c r="P594" s="394"/>
      <c r="Q594" s="394"/>
      <c r="R594" s="394"/>
    </row>
    <row r="595">
      <c r="H595" s="394"/>
      <c r="I595" s="394"/>
      <c r="J595" s="394"/>
      <c r="P595" s="394"/>
      <c r="Q595" s="394"/>
      <c r="R595" s="394"/>
    </row>
    <row r="596">
      <c r="H596" s="394"/>
      <c r="I596" s="394"/>
      <c r="J596" s="394"/>
      <c r="P596" s="394"/>
      <c r="Q596" s="394"/>
      <c r="R596" s="394"/>
    </row>
    <row r="597">
      <c r="H597" s="394"/>
      <c r="I597" s="394"/>
      <c r="J597" s="394"/>
      <c r="P597" s="394"/>
      <c r="Q597" s="394"/>
      <c r="R597" s="394"/>
    </row>
    <row r="598">
      <c r="H598" s="394"/>
      <c r="I598" s="394"/>
      <c r="J598" s="394"/>
      <c r="P598" s="394"/>
      <c r="Q598" s="394"/>
      <c r="R598" s="394"/>
    </row>
    <row r="599">
      <c r="H599" s="394"/>
      <c r="I599" s="394"/>
      <c r="J599" s="394"/>
      <c r="P599" s="394"/>
      <c r="Q599" s="394"/>
      <c r="R599" s="394"/>
    </row>
    <row r="600">
      <c r="H600" s="394"/>
      <c r="I600" s="394"/>
      <c r="J600" s="394"/>
      <c r="P600" s="394"/>
      <c r="Q600" s="394"/>
      <c r="R600" s="394"/>
    </row>
    <row r="601">
      <c r="H601" s="394"/>
      <c r="I601" s="394"/>
      <c r="J601" s="394"/>
      <c r="P601" s="394"/>
      <c r="Q601" s="394"/>
      <c r="R601" s="394"/>
    </row>
    <row r="602">
      <c r="H602" s="394"/>
      <c r="I602" s="394"/>
      <c r="J602" s="394"/>
      <c r="P602" s="394"/>
      <c r="Q602" s="394"/>
      <c r="R602" s="394"/>
    </row>
    <row r="603">
      <c r="H603" s="394"/>
      <c r="I603" s="394"/>
      <c r="J603" s="394"/>
      <c r="P603" s="394"/>
      <c r="Q603" s="394"/>
      <c r="R603" s="394"/>
    </row>
    <row r="604">
      <c r="H604" s="394"/>
      <c r="I604" s="394"/>
      <c r="J604" s="394"/>
      <c r="P604" s="394"/>
      <c r="Q604" s="394"/>
      <c r="R604" s="394"/>
    </row>
    <row r="605">
      <c r="H605" s="394"/>
      <c r="I605" s="394"/>
      <c r="J605" s="394"/>
      <c r="P605" s="394"/>
      <c r="Q605" s="394"/>
      <c r="R605" s="394"/>
    </row>
    <row r="606">
      <c r="H606" s="394"/>
      <c r="I606" s="394"/>
      <c r="J606" s="394"/>
      <c r="P606" s="394"/>
      <c r="Q606" s="394"/>
      <c r="R606" s="394"/>
    </row>
    <row r="607">
      <c r="H607" s="394"/>
      <c r="I607" s="394"/>
      <c r="J607" s="394"/>
      <c r="P607" s="394"/>
      <c r="Q607" s="394"/>
      <c r="R607" s="394"/>
    </row>
    <row r="608">
      <c r="H608" s="394"/>
      <c r="I608" s="394"/>
      <c r="J608" s="394"/>
      <c r="P608" s="394"/>
      <c r="Q608" s="394"/>
      <c r="R608" s="394"/>
    </row>
    <row r="609">
      <c r="H609" s="394"/>
      <c r="I609" s="394"/>
      <c r="J609" s="394"/>
      <c r="P609" s="394"/>
      <c r="Q609" s="394"/>
      <c r="R609" s="394"/>
    </row>
    <row r="610">
      <c r="H610" s="394"/>
      <c r="I610" s="394"/>
      <c r="J610" s="394"/>
      <c r="P610" s="394"/>
      <c r="Q610" s="394"/>
      <c r="R610" s="394"/>
    </row>
    <row r="611">
      <c r="H611" s="394"/>
      <c r="I611" s="394"/>
      <c r="J611" s="394"/>
      <c r="P611" s="394"/>
      <c r="Q611" s="394"/>
      <c r="R611" s="394"/>
    </row>
    <row r="612">
      <c r="H612" s="394"/>
      <c r="I612" s="394"/>
      <c r="J612" s="394"/>
      <c r="P612" s="394"/>
      <c r="Q612" s="394"/>
      <c r="R612" s="394"/>
    </row>
    <row r="613">
      <c r="H613" s="394"/>
      <c r="I613" s="394"/>
      <c r="J613" s="394"/>
      <c r="P613" s="394"/>
      <c r="Q613" s="394"/>
      <c r="R613" s="394"/>
    </row>
    <row r="614">
      <c r="H614" s="394"/>
      <c r="I614" s="394"/>
      <c r="J614" s="394"/>
      <c r="P614" s="394"/>
      <c r="Q614" s="394"/>
      <c r="R614" s="394"/>
    </row>
    <row r="615">
      <c r="H615" s="394"/>
      <c r="I615" s="394"/>
      <c r="J615" s="394"/>
      <c r="P615" s="394"/>
      <c r="Q615" s="394"/>
      <c r="R615" s="394"/>
    </row>
    <row r="616">
      <c r="H616" s="394"/>
      <c r="I616" s="394"/>
      <c r="J616" s="394"/>
      <c r="P616" s="394"/>
      <c r="Q616" s="394"/>
      <c r="R616" s="394"/>
    </row>
    <row r="617">
      <c r="H617" s="394"/>
      <c r="I617" s="394"/>
      <c r="J617" s="394"/>
      <c r="P617" s="394"/>
      <c r="Q617" s="394"/>
      <c r="R617" s="394"/>
    </row>
    <row r="618">
      <c r="H618" s="394"/>
      <c r="I618" s="394"/>
      <c r="J618" s="394"/>
      <c r="P618" s="394"/>
      <c r="Q618" s="394"/>
      <c r="R618" s="394"/>
    </row>
    <row r="619">
      <c r="H619" s="394"/>
      <c r="I619" s="394"/>
      <c r="J619" s="394"/>
      <c r="P619" s="394"/>
      <c r="Q619" s="394"/>
      <c r="R619" s="394"/>
    </row>
    <row r="620">
      <c r="H620" s="394"/>
      <c r="I620" s="394"/>
      <c r="J620" s="394"/>
      <c r="P620" s="394"/>
      <c r="Q620" s="394"/>
      <c r="R620" s="394"/>
    </row>
    <row r="621">
      <c r="H621" s="394"/>
      <c r="I621" s="394"/>
      <c r="J621" s="394"/>
      <c r="P621" s="394"/>
      <c r="Q621" s="394"/>
      <c r="R621" s="394"/>
    </row>
    <row r="622">
      <c r="H622" s="394"/>
      <c r="I622" s="394"/>
      <c r="J622" s="394"/>
      <c r="P622" s="394"/>
      <c r="Q622" s="394"/>
      <c r="R622" s="394"/>
    </row>
    <row r="623">
      <c r="H623" s="394"/>
      <c r="I623" s="394"/>
      <c r="J623" s="394"/>
      <c r="P623" s="394"/>
      <c r="Q623" s="394"/>
      <c r="R623" s="394"/>
    </row>
    <row r="624">
      <c r="H624" s="394"/>
      <c r="I624" s="394"/>
      <c r="J624" s="394"/>
      <c r="P624" s="394"/>
      <c r="Q624" s="394"/>
      <c r="R624" s="394"/>
    </row>
    <row r="625">
      <c r="H625" s="394"/>
      <c r="I625" s="394"/>
      <c r="J625" s="394"/>
      <c r="P625" s="394"/>
      <c r="Q625" s="394"/>
      <c r="R625" s="394"/>
    </row>
    <row r="626">
      <c r="H626" s="394"/>
      <c r="I626" s="394"/>
      <c r="J626" s="394"/>
      <c r="P626" s="394"/>
      <c r="Q626" s="394"/>
      <c r="R626" s="394"/>
    </row>
    <row r="627">
      <c r="H627" s="394"/>
      <c r="I627" s="394"/>
      <c r="J627" s="394"/>
      <c r="P627" s="394"/>
      <c r="Q627" s="394"/>
      <c r="R627" s="394"/>
    </row>
    <row r="628">
      <c r="H628" s="394"/>
      <c r="I628" s="394"/>
      <c r="J628" s="394"/>
      <c r="P628" s="394"/>
      <c r="Q628" s="394"/>
      <c r="R628" s="394"/>
    </row>
    <row r="629">
      <c r="H629" s="394"/>
      <c r="I629" s="394"/>
      <c r="J629" s="394"/>
      <c r="P629" s="394"/>
      <c r="Q629" s="394"/>
      <c r="R629" s="394"/>
    </row>
    <row r="630">
      <c r="H630" s="394"/>
      <c r="I630" s="394"/>
      <c r="J630" s="394"/>
      <c r="P630" s="394"/>
      <c r="Q630" s="394"/>
      <c r="R630" s="394"/>
    </row>
    <row r="631">
      <c r="H631" s="394"/>
      <c r="I631" s="394"/>
      <c r="J631" s="394"/>
      <c r="P631" s="394"/>
      <c r="Q631" s="394"/>
      <c r="R631" s="394"/>
    </row>
    <row r="632">
      <c r="H632" s="394"/>
      <c r="I632" s="394"/>
      <c r="J632" s="394"/>
      <c r="P632" s="394"/>
      <c r="Q632" s="394"/>
      <c r="R632" s="394"/>
    </row>
    <row r="633">
      <c r="H633" s="394"/>
      <c r="I633" s="394"/>
      <c r="J633" s="394"/>
      <c r="P633" s="394"/>
      <c r="Q633" s="394"/>
      <c r="R633" s="394"/>
    </row>
    <row r="634">
      <c r="H634" s="394"/>
      <c r="I634" s="394"/>
      <c r="J634" s="394"/>
      <c r="P634" s="394"/>
      <c r="Q634" s="394"/>
      <c r="R634" s="394"/>
    </row>
    <row r="635">
      <c r="H635" s="394"/>
      <c r="I635" s="394"/>
      <c r="J635" s="394"/>
      <c r="P635" s="394"/>
      <c r="Q635" s="394"/>
      <c r="R635" s="394"/>
    </row>
    <row r="636">
      <c r="H636" s="394"/>
      <c r="I636" s="394"/>
      <c r="J636" s="394"/>
      <c r="P636" s="394"/>
      <c r="Q636" s="394"/>
      <c r="R636" s="394"/>
    </row>
    <row r="637">
      <c r="H637" s="394"/>
      <c r="I637" s="394"/>
      <c r="J637" s="394"/>
      <c r="P637" s="394"/>
      <c r="Q637" s="394"/>
      <c r="R637" s="394"/>
    </row>
    <row r="638">
      <c r="H638" s="394"/>
      <c r="I638" s="394"/>
      <c r="J638" s="394"/>
      <c r="P638" s="394"/>
      <c r="Q638" s="394"/>
      <c r="R638" s="394"/>
    </row>
    <row r="639">
      <c r="H639" s="394"/>
      <c r="I639" s="394"/>
      <c r="J639" s="394"/>
      <c r="P639" s="394"/>
      <c r="Q639" s="394"/>
      <c r="R639" s="394"/>
    </row>
    <row r="640">
      <c r="H640" s="394"/>
      <c r="I640" s="394"/>
      <c r="J640" s="394"/>
      <c r="P640" s="394"/>
      <c r="Q640" s="394"/>
      <c r="R640" s="394"/>
    </row>
    <row r="641">
      <c r="H641" s="394"/>
      <c r="I641" s="394"/>
      <c r="J641" s="394"/>
      <c r="P641" s="394"/>
      <c r="Q641" s="394"/>
      <c r="R641" s="394"/>
    </row>
    <row r="642">
      <c r="H642" s="394"/>
      <c r="I642" s="394"/>
      <c r="J642" s="394"/>
      <c r="P642" s="394"/>
      <c r="Q642" s="394"/>
      <c r="R642" s="394"/>
    </row>
    <row r="643">
      <c r="H643" s="394"/>
      <c r="I643" s="394"/>
      <c r="J643" s="394"/>
      <c r="P643" s="394"/>
      <c r="Q643" s="394"/>
      <c r="R643" s="394"/>
    </row>
    <row r="644">
      <c r="H644" s="394"/>
      <c r="I644" s="394"/>
      <c r="J644" s="394"/>
      <c r="P644" s="394"/>
      <c r="Q644" s="394"/>
      <c r="R644" s="394"/>
    </row>
    <row r="645">
      <c r="H645" s="394"/>
      <c r="I645" s="394"/>
      <c r="J645" s="394"/>
      <c r="P645" s="394"/>
      <c r="Q645" s="394"/>
      <c r="R645" s="394"/>
    </row>
    <row r="646">
      <c r="H646" s="394"/>
      <c r="I646" s="394"/>
      <c r="J646" s="394"/>
      <c r="P646" s="394"/>
      <c r="Q646" s="394"/>
      <c r="R646" s="394"/>
    </row>
    <row r="647">
      <c r="H647" s="394"/>
      <c r="I647" s="394"/>
      <c r="J647" s="394"/>
      <c r="P647" s="394"/>
      <c r="Q647" s="394"/>
      <c r="R647" s="394"/>
    </row>
    <row r="648">
      <c r="H648" s="394"/>
      <c r="I648" s="394"/>
      <c r="J648" s="394"/>
      <c r="P648" s="394"/>
      <c r="Q648" s="394"/>
      <c r="R648" s="394"/>
    </row>
    <row r="649">
      <c r="H649" s="394"/>
      <c r="I649" s="394"/>
      <c r="J649" s="394"/>
      <c r="P649" s="394"/>
      <c r="Q649" s="394"/>
      <c r="R649" s="394"/>
    </row>
    <row r="650">
      <c r="H650" s="394"/>
      <c r="I650" s="394"/>
      <c r="J650" s="394"/>
      <c r="P650" s="394"/>
      <c r="Q650" s="394"/>
      <c r="R650" s="394"/>
    </row>
    <row r="651">
      <c r="H651" s="394"/>
      <c r="I651" s="394"/>
      <c r="J651" s="394"/>
      <c r="P651" s="394"/>
      <c r="Q651" s="394"/>
      <c r="R651" s="394"/>
    </row>
    <row r="652">
      <c r="H652" s="394"/>
      <c r="I652" s="394"/>
      <c r="J652" s="394"/>
      <c r="P652" s="394"/>
      <c r="Q652" s="394"/>
      <c r="R652" s="394"/>
    </row>
    <row r="653">
      <c r="H653" s="394"/>
      <c r="I653" s="394"/>
      <c r="J653" s="394"/>
      <c r="P653" s="394"/>
      <c r="Q653" s="394"/>
      <c r="R653" s="394"/>
    </row>
    <row r="654">
      <c r="H654" s="394"/>
      <c r="I654" s="394"/>
      <c r="J654" s="394"/>
      <c r="P654" s="394"/>
      <c r="Q654" s="394"/>
      <c r="R654" s="394"/>
    </row>
    <row r="655">
      <c r="H655" s="394"/>
      <c r="I655" s="394"/>
      <c r="J655" s="394"/>
      <c r="P655" s="394"/>
      <c r="Q655" s="394"/>
      <c r="R655" s="394"/>
    </row>
    <row r="656">
      <c r="H656" s="394"/>
      <c r="I656" s="394"/>
      <c r="J656" s="394"/>
      <c r="P656" s="394"/>
      <c r="Q656" s="394"/>
      <c r="R656" s="394"/>
    </row>
    <row r="657">
      <c r="H657" s="394"/>
      <c r="I657" s="394"/>
      <c r="J657" s="394"/>
      <c r="P657" s="394"/>
      <c r="Q657" s="394"/>
      <c r="R657" s="394"/>
    </row>
    <row r="658">
      <c r="H658" s="394"/>
      <c r="I658" s="394"/>
      <c r="J658" s="394"/>
      <c r="P658" s="394"/>
      <c r="Q658" s="394"/>
      <c r="R658" s="394"/>
    </row>
    <row r="659">
      <c r="H659" s="394"/>
      <c r="I659" s="394"/>
      <c r="J659" s="394"/>
      <c r="P659" s="394"/>
      <c r="Q659" s="394"/>
      <c r="R659" s="394"/>
    </row>
    <row r="660">
      <c r="H660" s="394"/>
      <c r="I660" s="394"/>
      <c r="J660" s="394"/>
      <c r="P660" s="394"/>
      <c r="Q660" s="394"/>
      <c r="R660" s="394"/>
    </row>
    <row r="661">
      <c r="H661" s="394"/>
      <c r="I661" s="394"/>
      <c r="J661" s="394"/>
      <c r="P661" s="394"/>
      <c r="Q661" s="394"/>
      <c r="R661" s="394"/>
    </row>
    <row r="662">
      <c r="H662" s="394"/>
      <c r="I662" s="394"/>
      <c r="J662" s="394"/>
      <c r="P662" s="394"/>
      <c r="Q662" s="394"/>
      <c r="R662" s="394"/>
    </row>
    <row r="663">
      <c r="H663" s="394"/>
      <c r="I663" s="394"/>
      <c r="J663" s="394"/>
      <c r="P663" s="394"/>
      <c r="Q663" s="394"/>
      <c r="R663" s="394"/>
    </row>
    <row r="664">
      <c r="H664" s="394"/>
      <c r="I664" s="394"/>
      <c r="J664" s="394"/>
      <c r="P664" s="394"/>
      <c r="Q664" s="394"/>
      <c r="R664" s="394"/>
    </row>
    <row r="665">
      <c r="H665" s="394"/>
      <c r="I665" s="394"/>
      <c r="J665" s="394"/>
      <c r="P665" s="394"/>
      <c r="Q665" s="394"/>
      <c r="R665" s="394"/>
    </row>
    <row r="666">
      <c r="H666" s="394"/>
      <c r="I666" s="394"/>
      <c r="J666" s="394"/>
      <c r="P666" s="394"/>
      <c r="Q666" s="394"/>
      <c r="R666" s="394"/>
    </row>
    <row r="667">
      <c r="H667" s="394"/>
      <c r="I667" s="394"/>
      <c r="J667" s="394"/>
      <c r="P667" s="394"/>
      <c r="Q667" s="394"/>
      <c r="R667" s="394"/>
    </row>
    <row r="668">
      <c r="H668" s="394"/>
      <c r="I668" s="394"/>
      <c r="J668" s="394"/>
      <c r="P668" s="394"/>
      <c r="Q668" s="394"/>
      <c r="R668" s="394"/>
    </row>
    <row r="669">
      <c r="H669" s="394"/>
      <c r="I669" s="394"/>
      <c r="J669" s="394"/>
      <c r="P669" s="394"/>
      <c r="Q669" s="394"/>
      <c r="R669" s="394"/>
    </row>
    <row r="670">
      <c r="H670" s="394"/>
      <c r="I670" s="394"/>
      <c r="J670" s="394"/>
      <c r="P670" s="394"/>
      <c r="Q670" s="394"/>
      <c r="R670" s="394"/>
    </row>
    <row r="671">
      <c r="H671" s="394"/>
      <c r="I671" s="394"/>
      <c r="J671" s="394"/>
      <c r="P671" s="394"/>
      <c r="Q671" s="394"/>
      <c r="R671" s="394"/>
    </row>
    <row r="672">
      <c r="H672" s="394"/>
      <c r="I672" s="394"/>
      <c r="J672" s="394"/>
      <c r="P672" s="394"/>
      <c r="Q672" s="394"/>
      <c r="R672" s="394"/>
    </row>
    <row r="673">
      <c r="H673" s="394"/>
      <c r="I673" s="394"/>
      <c r="J673" s="394"/>
      <c r="P673" s="394"/>
      <c r="Q673" s="394"/>
      <c r="R673" s="394"/>
    </row>
    <row r="674">
      <c r="H674" s="394"/>
      <c r="I674" s="394"/>
      <c r="J674" s="394"/>
      <c r="P674" s="394"/>
      <c r="Q674" s="394"/>
      <c r="R674" s="394"/>
    </row>
    <row r="675">
      <c r="H675" s="394"/>
      <c r="I675" s="394"/>
      <c r="J675" s="394"/>
      <c r="P675" s="394"/>
      <c r="Q675" s="394"/>
      <c r="R675" s="394"/>
    </row>
    <row r="676">
      <c r="H676" s="394"/>
      <c r="I676" s="394"/>
      <c r="J676" s="394"/>
      <c r="P676" s="394"/>
      <c r="Q676" s="394"/>
      <c r="R676" s="394"/>
    </row>
    <row r="677">
      <c r="H677" s="394"/>
      <c r="I677" s="394"/>
      <c r="J677" s="394"/>
      <c r="P677" s="394"/>
      <c r="Q677" s="394"/>
      <c r="R677" s="394"/>
    </row>
    <row r="678">
      <c r="H678" s="394"/>
      <c r="I678" s="394"/>
      <c r="J678" s="394"/>
      <c r="P678" s="394"/>
      <c r="Q678" s="394"/>
      <c r="R678" s="394"/>
    </row>
    <row r="679">
      <c r="H679" s="394"/>
      <c r="I679" s="394"/>
      <c r="J679" s="394"/>
      <c r="P679" s="394"/>
      <c r="Q679" s="394"/>
      <c r="R679" s="394"/>
    </row>
    <row r="680">
      <c r="H680" s="394"/>
      <c r="I680" s="394"/>
      <c r="J680" s="394"/>
      <c r="P680" s="394"/>
      <c r="Q680" s="394"/>
      <c r="R680" s="394"/>
    </row>
    <row r="681">
      <c r="H681" s="394"/>
      <c r="I681" s="394"/>
      <c r="J681" s="394"/>
      <c r="P681" s="394"/>
      <c r="Q681" s="394"/>
      <c r="R681" s="394"/>
    </row>
    <row r="682">
      <c r="H682" s="394"/>
      <c r="I682" s="394"/>
      <c r="J682" s="394"/>
      <c r="P682" s="394"/>
      <c r="Q682" s="394"/>
      <c r="R682" s="394"/>
    </row>
    <row r="683">
      <c r="H683" s="394"/>
      <c r="I683" s="394"/>
      <c r="J683" s="394"/>
      <c r="P683" s="394"/>
      <c r="Q683" s="394"/>
      <c r="R683" s="394"/>
    </row>
    <row r="684">
      <c r="H684" s="394"/>
      <c r="I684" s="394"/>
      <c r="J684" s="394"/>
      <c r="P684" s="394"/>
      <c r="Q684" s="394"/>
      <c r="R684" s="394"/>
    </row>
    <row r="685">
      <c r="H685" s="394"/>
      <c r="I685" s="394"/>
      <c r="J685" s="394"/>
      <c r="P685" s="394"/>
      <c r="Q685" s="394"/>
      <c r="R685" s="394"/>
    </row>
    <row r="686">
      <c r="H686" s="394"/>
      <c r="I686" s="394"/>
      <c r="J686" s="394"/>
      <c r="P686" s="394"/>
      <c r="Q686" s="394"/>
      <c r="R686" s="394"/>
    </row>
    <row r="687">
      <c r="H687" s="394"/>
      <c r="I687" s="394"/>
      <c r="J687" s="394"/>
      <c r="P687" s="394"/>
      <c r="Q687" s="394"/>
      <c r="R687" s="394"/>
    </row>
    <row r="688">
      <c r="H688" s="394"/>
      <c r="I688" s="394"/>
      <c r="J688" s="394"/>
      <c r="P688" s="394"/>
      <c r="Q688" s="394"/>
      <c r="R688" s="394"/>
    </row>
    <row r="689">
      <c r="H689" s="394"/>
      <c r="I689" s="394"/>
      <c r="J689" s="394"/>
      <c r="P689" s="394"/>
      <c r="Q689" s="394"/>
      <c r="R689" s="394"/>
    </row>
    <row r="690">
      <c r="H690" s="394"/>
      <c r="I690" s="394"/>
      <c r="J690" s="394"/>
      <c r="P690" s="394"/>
      <c r="Q690" s="394"/>
      <c r="R690" s="394"/>
    </row>
    <row r="691">
      <c r="H691" s="394"/>
      <c r="I691" s="394"/>
      <c r="J691" s="394"/>
      <c r="P691" s="394"/>
      <c r="Q691" s="394"/>
      <c r="R691" s="394"/>
    </row>
    <row r="692">
      <c r="H692" s="394"/>
      <c r="I692" s="394"/>
      <c r="J692" s="394"/>
      <c r="P692" s="394"/>
      <c r="Q692" s="394"/>
      <c r="R692" s="394"/>
    </row>
    <row r="693">
      <c r="H693" s="394"/>
      <c r="I693" s="394"/>
      <c r="J693" s="394"/>
      <c r="P693" s="394"/>
      <c r="Q693" s="394"/>
      <c r="R693" s="394"/>
    </row>
    <row r="694">
      <c r="H694" s="394"/>
      <c r="I694" s="394"/>
      <c r="J694" s="394"/>
      <c r="P694" s="394"/>
      <c r="Q694" s="394"/>
      <c r="R694" s="394"/>
    </row>
    <row r="695">
      <c r="H695" s="394"/>
      <c r="I695" s="394"/>
      <c r="J695" s="394"/>
      <c r="P695" s="394"/>
      <c r="Q695" s="394"/>
      <c r="R695" s="394"/>
    </row>
    <row r="696">
      <c r="H696" s="394"/>
      <c r="I696" s="394"/>
      <c r="J696" s="394"/>
      <c r="P696" s="394"/>
      <c r="Q696" s="394"/>
      <c r="R696" s="394"/>
    </row>
    <row r="697">
      <c r="H697" s="394"/>
      <c r="I697" s="394"/>
      <c r="J697" s="394"/>
      <c r="P697" s="394"/>
      <c r="Q697" s="394"/>
      <c r="R697" s="394"/>
    </row>
    <row r="698">
      <c r="H698" s="394"/>
      <c r="I698" s="394"/>
      <c r="J698" s="394"/>
      <c r="P698" s="394"/>
      <c r="Q698" s="394"/>
      <c r="R698" s="394"/>
    </row>
    <row r="699">
      <c r="H699" s="394"/>
      <c r="I699" s="394"/>
      <c r="J699" s="394"/>
      <c r="P699" s="394"/>
      <c r="Q699" s="394"/>
      <c r="R699" s="394"/>
    </row>
    <row r="700">
      <c r="H700" s="394"/>
      <c r="I700" s="394"/>
      <c r="J700" s="394"/>
      <c r="P700" s="394"/>
      <c r="Q700" s="394"/>
      <c r="R700" s="394"/>
    </row>
    <row r="701">
      <c r="H701" s="394"/>
      <c r="I701" s="394"/>
      <c r="J701" s="394"/>
      <c r="P701" s="394"/>
      <c r="Q701" s="394"/>
      <c r="R701" s="394"/>
    </row>
    <row r="702">
      <c r="H702" s="394"/>
      <c r="I702" s="394"/>
      <c r="J702" s="394"/>
      <c r="P702" s="394"/>
      <c r="Q702" s="394"/>
      <c r="R702" s="394"/>
    </row>
    <row r="703">
      <c r="H703" s="394"/>
      <c r="I703" s="394"/>
      <c r="J703" s="394"/>
      <c r="P703" s="394"/>
      <c r="Q703" s="394"/>
      <c r="R703" s="394"/>
    </row>
    <row r="704">
      <c r="H704" s="394"/>
      <c r="I704" s="394"/>
      <c r="J704" s="394"/>
      <c r="P704" s="394"/>
      <c r="Q704" s="394"/>
      <c r="R704" s="394"/>
    </row>
    <row r="705">
      <c r="H705" s="394"/>
      <c r="I705" s="394"/>
      <c r="J705" s="394"/>
      <c r="P705" s="394"/>
      <c r="Q705" s="394"/>
      <c r="R705" s="394"/>
    </row>
    <row r="706">
      <c r="H706" s="394"/>
      <c r="I706" s="394"/>
      <c r="J706" s="394"/>
      <c r="P706" s="394"/>
      <c r="Q706" s="394"/>
      <c r="R706" s="394"/>
    </row>
    <row r="707">
      <c r="H707" s="394"/>
      <c r="I707" s="394"/>
      <c r="J707" s="394"/>
      <c r="P707" s="394"/>
      <c r="Q707" s="394"/>
      <c r="R707" s="394"/>
    </row>
    <row r="708">
      <c r="H708" s="394"/>
      <c r="I708" s="394"/>
      <c r="J708" s="394"/>
      <c r="P708" s="394"/>
      <c r="Q708" s="394"/>
      <c r="R708" s="394"/>
    </row>
    <row r="709">
      <c r="H709" s="394"/>
      <c r="I709" s="394"/>
      <c r="J709" s="394"/>
      <c r="P709" s="394"/>
      <c r="Q709" s="394"/>
      <c r="R709" s="394"/>
    </row>
    <row r="710">
      <c r="H710" s="394"/>
      <c r="I710" s="394"/>
      <c r="J710" s="394"/>
      <c r="P710" s="394"/>
      <c r="Q710" s="394"/>
      <c r="R710" s="394"/>
    </row>
    <row r="711">
      <c r="H711" s="394"/>
      <c r="I711" s="394"/>
      <c r="J711" s="394"/>
      <c r="P711" s="394"/>
      <c r="Q711" s="394"/>
      <c r="R711" s="394"/>
    </row>
    <row r="712">
      <c r="H712" s="394"/>
      <c r="I712" s="394"/>
      <c r="J712" s="394"/>
      <c r="P712" s="394"/>
      <c r="Q712" s="394"/>
      <c r="R712" s="394"/>
    </row>
    <row r="713">
      <c r="H713" s="394"/>
      <c r="I713" s="394"/>
      <c r="J713" s="394"/>
      <c r="P713" s="394"/>
      <c r="Q713" s="394"/>
      <c r="R713" s="394"/>
    </row>
    <row r="714">
      <c r="H714" s="394"/>
      <c r="I714" s="394"/>
      <c r="J714" s="394"/>
      <c r="P714" s="394"/>
      <c r="Q714" s="394"/>
      <c r="R714" s="394"/>
    </row>
    <row r="715">
      <c r="H715" s="394"/>
      <c r="I715" s="394"/>
      <c r="J715" s="394"/>
      <c r="P715" s="394"/>
      <c r="Q715" s="394"/>
      <c r="R715" s="394"/>
    </row>
    <row r="716">
      <c r="H716" s="394"/>
      <c r="I716" s="394"/>
      <c r="J716" s="394"/>
      <c r="P716" s="394"/>
      <c r="Q716" s="394"/>
      <c r="R716" s="394"/>
    </row>
    <row r="717">
      <c r="H717" s="394"/>
      <c r="I717" s="394"/>
      <c r="J717" s="394"/>
      <c r="P717" s="394"/>
      <c r="Q717" s="394"/>
      <c r="R717" s="394"/>
    </row>
    <row r="718">
      <c r="H718" s="394"/>
      <c r="I718" s="394"/>
      <c r="J718" s="394"/>
      <c r="P718" s="394"/>
      <c r="Q718" s="394"/>
      <c r="R718" s="394"/>
    </row>
    <row r="719">
      <c r="H719" s="394"/>
      <c r="I719" s="394"/>
      <c r="J719" s="394"/>
      <c r="P719" s="394"/>
      <c r="Q719" s="394"/>
      <c r="R719" s="394"/>
    </row>
    <row r="720">
      <c r="H720" s="394"/>
      <c r="I720" s="394"/>
      <c r="J720" s="394"/>
      <c r="P720" s="394"/>
      <c r="Q720" s="394"/>
      <c r="R720" s="394"/>
    </row>
    <row r="721">
      <c r="H721" s="394"/>
      <c r="I721" s="394"/>
      <c r="J721" s="394"/>
      <c r="P721" s="394"/>
      <c r="Q721" s="394"/>
      <c r="R721" s="394"/>
    </row>
    <row r="722">
      <c r="H722" s="394"/>
      <c r="I722" s="394"/>
      <c r="J722" s="394"/>
      <c r="P722" s="394"/>
      <c r="Q722" s="394"/>
      <c r="R722" s="394"/>
    </row>
    <row r="723">
      <c r="H723" s="394"/>
      <c r="I723" s="394"/>
      <c r="J723" s="394"/>
      <c r="P723" s="394"/>
      <c r="Q723" s="394"/>
      <c r="R723" s="394"/>
    </row>
    <row r="724">
      <c r="H724" s="394"/>
      <c r="I724" s="394"/>
      <c r="J724" s="394"/>
      <c r="P724" s="394"/>
      <c r="Q724" s="394"/>
      <c r="R724" s="394"/>
    </row>
    <row r="725">
      <c r="H725" s="394"/>
      <c r="I725" s="394"/>
      <c r="J725" s="394"/>
      <c r="P725" s="394"/>
      <c r="Q725" s="394"/>
      <c r="R725" s="394"/>
    </row>
    <row r="726">
      <c r="H726" s="394"/>
      <c r="I726" s="394"/>
      <c r="J726" s="394"/>
      <c r="P726" s="394"/>
      <c r="Q726" s="394"/>
      <c r="R726" s="394"/>
    </row>
    <row r="727">
      <c r="H727" s="394"/>
      <c r="I727" s="394"/>
      <c r="J727" s="394"/>
      <c r="P727" s="394"/>
      <c r="Q727" s="394"/>
      <c r="R727" s="394"/>
    </row>
    <row r="728">
      <c r="H728" s="394"/>
      <c r="I728" s="394"/>
      <c r="J728" s="394"/>
      <c r="P728" s="394"/>
      <c r="Q728" s="394"/>
      <c r="R728" s="394"/>
    </row>
    <row r="729">
      <c r="H729" s="394"/>
      <c r="I729" s="394"/>
      <c r="J729" s="394"/>
      <c r="P729" s="394"/>
      <c r="Q729" s="394"/>
      <c r="R729" s="394"/>
    </row>
    <row r="730">
      <c r="H730" s="394"/>
      <c r="I730" s="394"/>
      <c r="J730" s="394"/>
      <c r="P730" s="394"/>
      <c r="Q730" s="394"/>
      <c r="R730" s="394"/>
    </row>
    <row r="731">
      <c r="H731" s="394"/>
      <c r="I731" s="394"/>
      <c r="J731" s="394"/>
      <c r="P731" s="394"/>
      <c r="Q731" s="394"/>
      <c r="R731" s="394"/>
    </row>
    <row r="732">
      <c r="H732" s="394"/>
      <c r="I732" s="394"/>
      <c r="J732" s="394"/>
      <c r="P732" s="394"/>
      <c r="Q732" s="394"/>
      <c r="R732" s="394"/>
    </row>
    <row r="733">
      <c r="H733" s="394"/>
      <c r="I733" s="394"/>
      <c r="J733" s="394"/>
      <c r="P733" s="394"/>
      <c r="Q733" s="394"/>
      <c r="R733" s="394"/>
    </row>
    <row r="734">
      <c r="H734" s="394"/>
      <c r="I734" s="394"/>
      <c r="J734" s="394"/>
      <c r="P734" s="394"/>
      <c r="Q734" s="394"/>
      <c r="R734" s="394"/>
    </row>
    <row r="735">
      <c r="H735" s="394"/>
      <c r="I735" s="394"/>
      <c r="J735" s="394"/>
      <c r="P735" s="394"/>
      <c r="Q735" s="394"/>
      <c r="R735" s="394"/>
    </row>
    <row r="736">
      <c r="H736" s="394"/>
      <c r="I736" s="394"/>
      <c r="J736" s="394"/>
      <c r="P736" s="394"/>
      <c r="Q736" s="394"/>
      <c r="R736" s="394"/>
    </row>
    <row r="737">
      <c r="H737" s="394"/>
      <c r="I737" s="394"/>
      <c r="J737" s="394"/>
      <c r="P737" s="394"/>
      <c r="Q737" s="394"/>
      <c r="R737" s="394"/>
    </row>
    <row r="738">
      <c r="H738" s="394"/>
      <c r="I738" s="394"/>
      <c r="J738" s="394"/>
      <c r="P738" s="394"/>
      <c r="Q738" s="394"/>
      <c r="R738" s="394"/>
    </row>
    <row r="739">
      <c r="H739" s="394"/>
      <c r="I739" s="394"/>
      <c r="J739" s="394"/>
      <c r="P739" s="394"/>
      <c r="Q739" s="394"/>
      <c r="R739" s="394"/>
    </row>
    <row r="740">
      <c r="H740" s="394"/>
      <c r="I740" s="394"/>
      <c r="J740" s="394"/>
      <c r="P740" s="394"/>
      <c r="Q740" s="394"/>
      <c r="R740" s="394"/>
    </row>
    <row r="741">
      <c r="H741" s="394"/>
      <c r="I741" s="394"/>
      <c r="J741" s="394"/>
      <c r="P741" s="394"/>
      <c r="Q741" s="394"/>
      <c r="R741" s="394"/>
    </row>
    <row r="742">
      <c r="H742" s="394"/>
      <c r="I742" s="394"/>
      <c r="J742" s="394"/>
      <c r="P742" s="394"/>
      <c r="Q742" s="394"/>
      <c r="R742" s="394"/>
    </row>
    <row r="743">
      <c r="H743" s="394"/>
      <c r="I743" s="394"/>
      <c r="J743" s="394"/>
      <c r="P743" s="394"/>
      <c r="Q743" s="394"/>
      <c r="R743" s="394"/>
    </row>
    <row r="744">
      <c r="H744" s="394"/>
      <c r="I744" s="394"/>
      <c r="J744" s="394"/>
      <c r="P744" s="394"/>
      <c r="Q744" s="394"/>
      <c r="R744" s="394"/>
    </row>
    <row r="745">
      <c r="H745" s="394"/>
      <c r="I745" s="394"/>
      <c r="J745" s="394"/>
      <c r="P745" s="394"/>
      <c r="Q745" s="394"/>
      <c r="R745" s="394"/>
    </row>
    <row r="746">
      <c r="H746" s="394"/>
      <c r="I746" s="394"/>
      <c r="J746" s="394"/>
      <c r="P746" s="394"/>
      <c r="Q746" s="394"/>
      <c r="R746" s="394"/>
    </row>
    <row r="747">
      <c r="H747" s="394"/>
      <c r="I747" s="394"/>
      <c r="J747" s="394"/>
      <c r="P747" s="394"/>
      <c r="Q747" s="394"/>
      <c r="R747" s="394"/>
    </row>
    <row r="748">
      <c r="H748" s="394"/>
      <c r="I748" s="394"/>
      <c r="J748" s="394"/>
      <c r="P748" s="394"/>
      <c r="Q748" s="394"/>
      <c r="R748" s="394"/>
    </row>
    <row r="749">
      <c r="H749" s="394"/>
      <c r="I749" s="394"/>
      <c r="J749" s="394"/>
      <c r="P749" s="394"/>
      <c r="Q749" s="394"/>
      <c r="R749" s="394"/>
    </row>
    <row r="750">
      <c r="H750" s="394"/>
      <c r="I750" s="394"/>
      <c r="J750" s="394"/>
      <c r="P750" s="394"/>
      <c r="Q750" s="394"/>
      <c r="R750" s="394"/>
    </row>
    <row r="751">
      <c r="H751" s="394"/>
      <c r="I751" s="394"/>
      <c r="J751" s="394"/>
      <c r="P751" s="394"/>
      <c r="Q751" s="394"/>
      <c r="R751" s="394"/>
    </row>
    <row r="752">
      <c r="H752" s="394"/>
      <c r="I752" s="394"/>
      <c r="J752" s="394"/>
      <c r="P752" s="394"/>
      <c r="Q752" s="394"/>
      <c r="R752" s="394"/>
    </row>
    <row r="753">
      <c r="H753" s="394"/>
      <c r="I753" s="394"/>
      <c r="J753" s="394"/>
      <c r="P753" s="394"/>
      <c r="Q753" s="394"/>
      <c r="R753" s="394"/>
    </row>
    <row r="754">
      <c r="H754" s="394"/>
      <c r="I754" s="394"/>
      <c r="J754" s="394"/>
      <c r="P754" s="394"/>
      <c r="Q754" s="394"/>
      <c r="R754" s="394"/>
    </row>
    <row r="755">
      <c r="H755" s="394"/>
      <c r="I755" s="394"/>
      <c r="J755" s="394"/>
      <c r="P755" s="394"/>
      <c r="Q755" s="394"/>
      <c r="R755" s="394"/>
    </row>
    <row r="756">
      <c r="H756" s="394"/>
      <c r="I756" s="394"/>
      <c r="J756" s="394"/>
      <c r="P756" s="394"/>
      <c r="Q756" s="394"/>
      <c r="R756" s="394"/>
    </row>
    <row r="757">
      <c r="H757" s="394"/>
      <c r="I757" s="394"/>
      <c r="J757" s="394"/>
      <c r="P757" s="394"/>
      <c r="Q757" s="394"/>
      <c r="R757" s="394"/>
    </row>
    <row r="758">
      <c r="H758" s="394"/>
      <c r="I758" s="394"/>
      <c r="J758" s="394"/>
      <c r="P758" s="394"/>
      <c r="Q758" s="394"/>
      <c r="R758" s="394"/>
    </row>
    <row r="759">
      <c r="H759" s="394"/>
      <c r="I759" s="394"/>
      <c r="J759" s="394"/>
      <c r="P759" s="394"/>
      <c r="Q759" s="394"/>
      <c r="R759" s="394"/>
    </row>
    <row r="760">
      <c r="H760" s="394"/>
      <c r="I760" s="394"/>
      <c r="J760" s="394"/>
      <c r="P760" s="394"/>
      <c r="Q760" s="394"/>
      <c r="R760" s="394"/>
    </row>
    <row r="761">
      <c r="H761" s="394"/>
      <c r="I761" s="394"/>
      <c r="J761" s="394"/>
      <c r="P761" s="394"/>
      <c r="Q761" s="394"/>
      <c r="R761" s="394"/>
    </row>
    <row r="762">
      <c r="H762" s="394"/>
      <c r="I762" s="394"/>
      <c r="J762" s="394"/>
      <c r="P762" s="394"/>
      <c r="Q762" s="394"/>
      <c r="R762" s="394"/>
    </row>
    <row r="763">
      <c r="H763" s="394"/>
      <c r="I763" s="394"/>
      <c r="J763" s="394"/>
      <c r="P763" s="394"/>
      <c r="Q763" s="394"/>
      <c r="R763" s="394"/>
    </row>
    <row r="764">
      <c r="H764" s="394"/>
      <c r="I764" s="394"/>
      <c r="J764" s="394"/>
      <c r="P764" s="394"/>
      <c r="Q764" s="394"/>
      <c r="R764" s="394"/>
    </row>
    <row r="765">
      <c r="H765" s="394"/>
      <c r="I765" s="394"/>
      <c r="J765" s="394"/>
      <c r="P765" s="394"/>
      <c r="Q765" s="394"/>
      <c r="R765" s="394"/>
    </row>
    <row r="766">
      <c r="H766" s="394"/>
      <c r="I766" s="394"/>
      <c r="J766" s="394"/>
      <c r="P766" s="394"/>
      <c r="Q766" s="394"/>
      <c r="R766" s="394"/>
    </row>
    <row r="767">
      <c r="H767" s="394"/>
      <c r="I767" s="394"/>
      <c r="J767" s="394"/>
      <c r="P767" s="394"/>
      <c r="Q767" s="394"/>
      <c r="R767" s="394"/>
    </row>
    <row r="768">
      <c r="H768" s="394"/>
      <c r="I768" s="394"/>
      <c r="J768" s="394"/>
      <c r="P768" s="394"/>
      <c r="Q768" s="394"/>
      <c r="R768" s="394"/>
    </row>
    <row r="769">
      <c r="H769" s="394"/>
      <c r="I769" s="394"/>
      <c r="J769" s="394"/>
      <c r="P769" s="394"/>
      <c r="Q769" s="394"/>
      <c r="R769" s="394"/>
    </row>
    <row r="770">
      <c r="H770" s="394"/>
      <c r="I770" s="394"/>
      <c r="J770" s="394"/>
      <c r="P770" s="394"/>
      <c r="Q770" s="394"/>
      <c r="R770" s="394"/>
    </row>
    <row r="771">
      <c r="H771" s="394"/>
      <c r="I771" s="394"/>
      <c r="J771" s="394"/>
      <c r="P771" s="394"/>
      <c r="Q771" s="394"/>
      <c r="R771" s="394"/>
    </row>
    <row r="772">
      <c r="H772" s="394"/>
      <c r="I772" s="394"/>
      <c r="J772" s="394"/>
      <c r="P772" s="394"/>
      <c r="Q772" s="394"/>
      <c r="R772" s="394"/>
    </row>
    <row r="773">
      <c r="H773" s="394"/>
      <c r="I773" s="394"/>
      <c r="J773" s="394"/>
      <c r="P773" s="394"/>
      <c r="Q773" s="394"/>
      <c r="R773" s="394"/>
    </row>
    <row r="774">
      <c r="H774" s="394"/>
      <c r="I774" s="394"/>
      <c r="J774" s="394"/>
      <c r="P774" s="394"/>
      <c r="Q774" s="394"/>
      <c r="R774" s="394"/>
    </row>
    <row r="775">
      <c r="H775" s="394"/>
      <c r="I775" s="394"/>
      <c r="J775" s="394"/>
      <c r="P775" s="394"/>
      <c r="Q775" s="394"/>
      <c r="R775" s="394"/>
    </row>
    <row r="776">
      <c r="H776" s="394"/>
      <c r="I776" s="394"/>
      <c r="J776" s="394"/>
      <c r="P776" s="394"/>
      <c r="Q776" s="394"/>
      <c r="R776" s="394"/>
    </row>
    <row r="777">
      <c r="H777" s="394"/>
      <c r="I777" s="394"/>
      <c r="J777" s="394"/>
      <c r="P777" s="394"/>
      <c r="Q777" s="394"/>
      <c r="R777" s="394"/>
    </row>
    <row r="778">
      <c r="H778" s="394"/>
      <c r="I778" s="394"/>
      <c r="J778" s="394"/>
      <c r="P778" s="394"/>
      <c r="Q778" s="394"/>
      <c r="R778" s="394"/>
    </row>
    <row r="779">
      <c r="H779" s="394"/>
      <c r="I779" s="394"/>
      <c r="J779" s="394"/>
      <c r="P779" s="394"/>
      <c r="Q779" s="394"/>
      <c r="R779" s="394"/>
    </row>
    <row r="780">
      <c r="H780" s="394"/>
      <c r="I780" s="394"/>
      <c r="J780" s="394"/>
      <c r="P780" s="394"/>
      <c r="Q780" s="394"/>
      <c r="R780" s="394"/>
    </row>
    <row r="781">
      <c r="H781" s="394"/>
      <c r="I781" s="394"/>
      <c r="J781" s="394"/>
      <c r="P781" s="394"/>
      <c r="Q781" s="394"/>
      <c r="R781" s="394"/>
    </row>
    <row r="782">
      <c r="H782" s="394"/>
      <c r="I782" s="394"/>
      <c r="J782" s="394"/>
      <c r="P782" s="394"/>
      <c r="Q782" s="394"/>
      <c r="R782" s="394"/>
    </row>
    <row r="783">
      <c r="H783" s="394"/>
      <c r="I783" s="394"/>
      <c r="J783" s="394"/>
      <c r="P783" s="394"/>
      <c r="Q783" s="394"/>
      <c r="R783" s="394"/>
    </row>
    <row r="784">
      <c r="H784" s="394"/>
      <c r="I784" s="394"/>
      <c r="J784" s="394"/>
      <c r="P784" s="394"/>
      <c r="Q784" s="394"/>
      <c r="R784" s="394"/>
    </row>
    <row r="785">
      <c r="H785" s="394"/>
      <c r="I785" s="394"/>
      <c r="J785" s="394"/>
      <c r="P785" s="394"/>
      <c r="Q785" s="394"/>
      <c r="R785" s="394"/>
    </row>
    <row r="786">
      <c r="H786" s="394"/>
      <c r="I786" s="394"/>
      <c r="J786" s="394"/>
      <c r="P786" s="394"/>
      <c r="Q786" s="394"/>
      <c r="R786" s="394"/>
    </row>
    <row r="787">
      <c r="H787" s="394"/>
      <c r="I787" s="394"/>
      <c r="J787" s="394"/>
      <c r="P787" s="394"/>
      <c r="Q787" s="394"/>
      <c r="R787" s="394"/>
    </row>
    <row r="788">
      <c r="H788" s="394"/>
      <c r="I788" s="394"/>
      <c r="J788" s="394"/>
      <c r="P788" s="394"/>
      <c r="Q788" s="394"/>
      <c r="R788" s="394"/>
    </row>
    <row r="789">
      <c r="H789" s="394"/>
      <c r="I789" s="394"/>
      <c r="J789" s="394"/>
      <c r="P789" s="394"/>
      <c r="Q789" s="394"/>
      <c r="R789" s="394"/>
    </row>
    <row r="790">
      <c r="H790" s="394"/>
      <c r="I790" s="394"/>
      <c r="J790" s="394"/>
      <c r="P790" s="394"/>
      <c r="Q790" s="394"/>
      <c r="R790" s="394"/>
    </row>
    <row r="791">
      <c r="H791" s="394"/>
      <c r="I791" s="394"/>
      <c r="J791" s="394"/>
      <c r="P791" s="394"/>
      <c r="Q791" s="394"/>
      <c r="R791" s="394"/>
    </row>
    <row r="792">
      <c r="H792" s="394"/>
      <c r="I792" s="394"/>
      <c r="J792" s="394"/>
      <c r="P792" s="394"/>
      <c r="Q792" s="394"/>
      <c r="R792" s="394"/>
    </row>
    <row r="793">
      <c r="H793" s="394"/>
      <c r="I793" s="394"/>
      <c r="J793" s="394"/>
      <c r="P793" s="394"/>
      <c r="Q793" s="394"/>
      <c r="R793" s="394"/>
    </row>
    <row r="794">
      <c r="H794" s="394"/>
      <c r="I794" s="394"/>
      <c r="J794" s="394"/>
      <c r="P794" s="394"/>
      <c r="Q794" s="394"/>
      <c r="R794" s="394"/>
    </row>
    <row r="795">
      <c r="H795" s="394"/>
      <c r="I795" s="394"/>
      <c r="J795" s="394"/>
      <c r="P795" s="394"/>
      <c r="Q795" s="394"/>
      <c r="R795" s="394"/>
    </row>
    <row r="796">
      <c r="H796" s="394"/>
      <c r="I796" s="394"/>
      <c r="J796" s="394"/>
      <c r="P796" s="394"/>
      <c r="Q796" s="394"/>
      <c r="R796" s="394"/>
    </row>
    <row r="797">
      <c r="H797" s="394"/>
      <c r="I797" s="394"/>
      <c r="J797" s="394"/>
      <c r="P797" s="394"/>
      <c r="Q797" s="394"/>
      <c r="R797" s="394"/>
    </row>
    <row r="798">
      <c r="H798" s="394"/>
      <c r="I798" s="394"/>
      <c r="J798" s="394"/>
      <c r="P798" s="394"/>
      <c r="Q798" s="394"/>
      <c r="R798" s="394"/>
    </row>
    <row r="799">
      <c r="H799" s="394"/>
      <c r="I799" s="394"/>
      <c r="J799" s="394"/>
      <c r="P799" s="394"/>
      <c r="Q799" s="394"/>
      <c r="R799" s="394"/>
    </row>
    <row r="800">
      <c r="H800" s="394"/>
      <c r="I800" s="394"/>
      <c r="J800" s="394"/>
      <c r="P800" s="394"/>
      <c r="Q800" s="394"/>
      <c r="R800" s="394"/>
    </row>
    <row r="801">
      <c r="H801" s="394"/>
      <c r="I801" s="394"/>
      <c r="J801" s="394"/>
      <c r="P801" s="394"/>
      <c r="Q801" s="394"/>
      <c r="R801" s="394"/>
    </row>
    <row r="802">
      <c r="H802" s="394"/>
      <c r="I802" s="394"/>
      <c r="J802" s="394"/>
      <c r="P802" s="394"/>
      <c r="Q802" s="394"/>
      <c r="R802" s="394"/>
    </row>
    <row r="803">
      <c r="H803" s="394"/>
      <c r="I803" s="394"/>
      <c r="J803" s="394"/>
      <c r="P803" s="394"/>
      <c r="Q803" s="394"/>
      <c r="R803" s="394"/>
    </row>
    <row r="804">
      <c r="H804" s="394"/>
      <c r="I804" s="394"/>
      <c r="J804" s="394"/>
      <c r="P804" s="394"/>
      <c r="Q804" s="394"/>
      <c r="R804" s="394"/>
    </row>
    <row r="805">
      <c r="H805" s="394"/>
      <c r="I805" s="394"/>
      <c r="J805" s="394"/>
      <c r="P805" s="394"/>
      <c r="Q805" s="394"/>
      <c r="R805" s="394"/>
    </row>
    <row r="806">
      <c r="H806" s="394"/>
      <c r="I806" s="394"/>
      <c r="J806" s="394"/>
      <c r="P806" s="394"/>
      <c r="Q806" s="394"/>
      <c r="R806" s="394"/>
    </row>
    <row r="807">
      <c r="H807" s="394"/>
      <c r="I807" s="394"/>
      <c r="J807" s="394"/>
      <c r="P807" s="394"/>
      <c r="Q807" s="394"/>
      <c r="R807" s="394"/>
    </row>
    <row r="808">
      <c r="H808" s="394"/>
      <c r="I808" s="394"/>
      <c r="J808" s="394"/>
      <c r="P808" s="394"/>
      <c r="Q808" s="394"/>
      <c r="R808" s="394"/>
    </row>
    <row r="809">
      <c r="H809" s="394"/>
      <c r="I809" s="394"/>
      <c r="J809" s="394"/>
      <c r="P809" s="394"/>
      <c r="Q809" s="394"/>
      <c r="R809" s="394"/>
    </row>
    <row r="810">
      <c r="H810" s="394"/>
      <c r="I810" s="394"/>
      <c r="J810" s="394"/>
      <c r="P810" s="394"/>
      <c r="Q810" s="394"/>
      <c r="R810" s="394"/>
    </row>
    <row r="811">
      <c r="H811" s="394"/>
      <c r="I811" s="394"/>
      <c r="J811" s="394"/>
      <c r="P811" s="394"/>
      <c r="Q811" s="394"/>
      <c r="R811" s="394"/>
    </row>
    <row r="812">
      <c r="H812" s="394"/>
      <c r="I812" s="394"/>
      <c r="J812" s="394"/>
      <c r="P812" s="394"/>
      <c r="Q812" s="394"/>
      <c r="R812" s="394"/>
    </row>
    <row r="813">
      <c r="H813" s="394"/>
      <c r="I813" s="394"/>
      <c r="J813" s="394"/>
      <c r="P813" s="394"/>
      <c r="Q813" s="394"/>
      <c r="R813" s="394"/>
    </row>
    <row r="814">
      <c r="H814" s="394"/>
      <c r="I814" s="394"/>
      <c r="J814" s="394"/>
      <c r="P814" s="394"/>
      <c r="Q814" s="394"/>
      <c r="R814" s="394"/>
    </row>
    <row r="815">
      <c r="H815" s="394"/>
      <c r="I815" s="394"/>
      <c r="J815" s="394"/>
      <c r="P815" s="394"/>
      <c r="Q815" s="394"/>
      <c r="R815" s="394"/>
    </row>
    <row r="816">
      <c r="H816" s="394"/>
      <c r="I816" s="394"/>
      <c r="J816" s="394"/>
      <c r="P816" s="394"/>
      <c r="Q816" s="394"/>
      <c r="R816" s="394"/>
    </row>
    <row r="817">
      <c r="H817" s="394"/>
      <c r="I817" s="394"/>
      <c r="J817" s="394"/>
      <c r="P817" s="394"/>
      <c r="Q817" s="394"/>
      <c r="R817" s="394"/>
    </row>
    <row r="818">
      <c r="H818" s="394"/>
      <c r="I818" s="394"/>
      <c r="J818" s="394"/>
      <c r="P818" s="394"/>
      <c r="Q818" s="394"/>
      <c r="R818" s="394"/>
    </row>
    <row r="819">
      <c r="H819" s="394"/>
      <c r="I819" s="394"/>
      <c r="J819" s="394"/>
      <c r="P819" s="394"/>
      <c r="Q819" s="394"/>
      <c r="R819" s="394"/>
    </row>
    <row r="820">
      <c r="H820" s="394"/>
      <c r="I820" s="394"/>
      <c r="J820" s="394"/>
      <c r="P820" s="394"/>
      <c r="Q820" s="394"/>
      <c r="R820" s="394"/>
    </row>
    <row r="821">
      <c r="H821" s="394"/>
      <c r="I821" s="394"/>
      <c r="J821" s="394"/>
      <c r="P821" s="394"/>
      <c r="Q821" s="394"/>
      <c r="R821" s="394"/>
    </row>
    <row r="822">
      <c r="H822" s="394"/>
      <c r="I822" s="394"/>
      <c r="J822" s="394"/>
      <c r="P822" s="394"/>
      <c r="Q822" s="394"/>
      <c r="R822" s="394"/>
    </row>
    <row r="823">
      <c r="H823" s="394"/>
      <c r="I823" s="394"/>
      <c r="J823" s="394"/>
      <c r="P823" s="394"/>
      <c r="Q823" s="394"/>
      <c r="R823" s="394"/>
    </row>
    <row r="824">
      <c r="H824" s="394"/>
      <c r="I824" s="394"/>
      <c r="J824" s="394"/>
      <c r="P824" s="394"/>
      <c r="Q824" s="394"/>
      <c r="R824" s="394"/>
    </row>
    <row r="825">
      <c r="H825" s="394"/>
      <c r="I825" s="394"/>
      <c r="J825" s="394"/>
      <c r="P825" s="394"/>
      <c r="Q825" s="394"/>
      <c r="R825" s="394"/>
    </row>
    <row r="826">
      <c r="H826" s="394"/>
      <c r="I826" s="394"/>
      <c r="J826" s="394"/>
      <c r="P826" s="394"/>
      <c r="Q826" s="394"/>
      <c r="R826" s="394"/>
    </row>
    <row r="827">
      <c r="H827" s="394"/>
      <c r="I827" s="394"/>
      <c r="J827" s="394"/>
      <c r="P827" s="394"/>
      <c r="Q827" s="394"/>
      <c r="R827" s="394"/>
    </row>
    <row r="828">
      <c r="H828" s="394"/>
      <c r="I828" s="394"/>
      <c r="J828" s="394"/>
      <c r="P828" s="394"/>
      <c r="Q828" s="394"/>
      <c r="R828" s="394"/>
    </row>
    <row r="829">
      <c r="H829" s="394"/>
      <c r="I829" s="394"/>
      <c r="J829" s="394"/>
      <c r="P829" s="394"/>
      <c r="Q829" s="394"/>
      <c r="R829" s="394"/>
    </row>
    <row r="830">
      <c r="H830" s="394"/>
      <c r="I830" s="394"/>
      <c r="J830" s="394"/>
      <c r="P830" s="394"/>
      <c r="Q830" s="394"/>
      <c r="R830" s="394"/>
    </row>
    <row r="831">
      <c r="H831" s="394"/>
      <c r="I831" s="394"/>
      <c r="J831" s="394"/>
      <c r="P831" s="394"/>
      <c r="Q831" s="394"/>
      <c r="R831" s="394"/>
    </row>
    <row r="832">
      <c r="H832" s="394"/>
      <c r="I832" s="394"/>
      <c r="J832" s="394"/>
      <c r="P832" s="394"/>
      <c r="Q832" s="394"/>
      <c r="R832" s="394"/>
    </row>
    <row r="833">
      <c r="H833" s="394"/>
      <c r="I833" s="394"/>
      <c r="J833" s="394"/>
      <c r="P833" s="394"/>
      <c r="Q833" s="394"/>
      <c r="R833" s="394"/>
    </row>
    <row r="834">
      <c r="H834" s="394"/>
      <c r="I834" s="394"/>
      <c r="J834" s="394"/>
      <c r="P834" s="394"/>
      <c r="Q834" s="394"/>
      <c r="R834" s="394"/>
    </row>
    <row r="835">
      <c r="H835" s="394"/>
      <c r="I835" s="394"/>
      <c r="J835" s="394"/>
      <c r="P835" s="394"/>
      <c r="Q835" s="394"/>
      <c r="R835" s="394"/>
    </row>
    <row r="836">
      <c r="H836" s="394"/>
      <c r="I836" s="394"/>
      <c r="J836" s="394"/>
      <c r="P836" s="394"/>
      <c r="Q836" s="394"/>
      <c r="R836" s="394"/>
    </row>
    <row r="837">
      <c r="H837" s="394"/>
      <c r="I837" s="394"/>
      <c r="J837" s="394"/>
      <c r="P837" s="394"/>
      <c r="Q837" s="394"/>
      <c r="R837" s="394"/>
    </row>
    <row r="838">
      <c r="H838" s="394"/>
      <c r="I838" s="394"/>
      <c r="J838" s="394"/>
      <c r="P838" s="394"/>
      <c r="Q838" s="394"/>
      <c r="R838" s="394"/>
    </row>
    <row r="839">
      <c r="H839" s="394"/>
      <c r="I839" s="394"/>
      <c r="J839" s="394"/>
      <c r="P839" s="394"/>
      <c r="Q839" s="394"/>
      <c r="R839" s="394"/>
    </row>
    <row r="840">
      <c r="H840" s="394"/>
      <c r="I840" s="394"/>
      <c r="J840" s="394"/>
      <c r="P840" s="394"/>
      <c r="Q840" s="394"/>
      <c r="R840" s="394"/>
    </row>
    <row r="841">
      <c r="H841" s="394"/>
      <c r="I841" s="394"/>
      <c r="J841" s="394"/>
      <c r="P841" s="394"/>
      <c r="Q841" s="394"/>
      <c r="R841" s="394"/>
    </row>
    <row r="842">
      <c r="H842" s="394"/>
      <c r="I842" s="394"/>
      <c r="J842" s="394"/>
      <c r="P842" s="394"/>
      <c r="Q842" s="394"/>
      <c r="R842" s="394"/>
    </row>
    <row r="843">
      <c r="H843" s="394"/>
      <c r="I843" s="394"/>
      <c r="J843" s="394"/>
      <c r="P843" s="394"/>
      <c r="Q843" s="394"/>
      <c r="R843" s="394"/>
    </row>
    <row r="844">
      <c r="H844" s="394"/>
      <c r="I844" s="394"/>
      <c r="J844" s="394"/>
      <c r="P844" s="394"/>
      <c r="Q844" s="394"/>
      <c r="R844" s="394"/>
    </row>
    <row r="845">
      <c r="H845" s="394"/>
      <c r="I845" s="394"/>
      <c r="J845" s="394"/>
      <c r="P845" s="394"/>
      <c r="Q845" s="394"/>
      <c r="R845" s="394"/>
    </row>
    <row r="846">
      <c r="H846" s="394"/>
      <c r="I846" s="394"/>
      <c r="J846" s="394"/>
      <c r="P846" s="394"/>
      <c r="Q846" s="394"/>
      <c r="R846" s="394"/>
    </row>
    <row r="847">
      <c r="H847" s="394"/>
      <c r="I847" s="394"/>
      <c r="J847" s="394"/>
      <c r="P847" s="394"/>
      <c r="Q847" s="394"/>
      <c r="R847" s="394"/>
    </row>
    <row r="848">
      <c r="H848" s="394"/>
      <c r="I848" s="394"/>
      <c r="J848" s="394"/>
      <c r="P848" s="394"/>
      <c r="Q848" s="394"/>
      <c r="R848" s="394"/>
    </row>
    <row r="849">
      <c r="H849" s="394"/>
      <c r="I849" s="394"/>
      <c r="J849" s="394"/>
      <c r="P849" s="394"/>
      <c r="Q849" s="394"/>
      <c r="R849" s="394"/>
    </row>
    <row r="850">
      <c r="H850" s="394"/>
      <c r="I850" s="394"/>
      <c r="J850" s="394"/>
      <c r="P850" s="394"/>
      <c r="Q850" s="394"/>
      <c r="R850" s="394"/>
    </row>
    <row r="851">
      <c r="H851" s="394"/>
      <c r="I851" s="394"/>
      <c r="J851" s="394"/>
      <c r="P851" s="394"/>
      <c r="Q851" s="394"/>
      <c r="R851" s="394"/>
    </row>
    <row r="852">
      <c r="H852" s="394"/>
      <c r="I852" s="394"/>
      <c r="J852" s="394"/>
      <c r="P852" s="394"/>
      <c r="Q852" s="394"/>
      <c r="R852" s="394"/>
    </row>
    <row r="853">
      <c r="H853" s="394"/>
      <c r="I853" s="394"/>
      <c r="J853" s="394"/>
      <c r="P853" s="394"/>
      <c r="Q853" s="394"/>
      <c r="R853" s="394"/>
    </row>
    <row r="854">
      <c r="H854" s="394"/>
      <c r="I854" s="394"/>
      <c r="J854" s="394"/>
      <c r="P854" s="394"/>
      <c r="Q854" s="394"/>
      <c r="R854" s="394"/>
    </row>
    <row r="855">
      <c r="H855" s="394"/>
      <c r="I855" s="394"/>
      <c r="J855" s="394"/>
      <c r="P855" s="394"/>
      <c r="Q855" s="394"/>
      <c r="R855" s="394"/>
    </row>
    <row r="856">
      <c r="H856" s="394"/>
      <c r="I856" s="394"/>
      <c r="J856" s="394"/>
      <c r="P856" s="394"/>
      <c r="Q856" s="394"/>
      <c r="R856" s="394"/>
    </row>
    <row r="857">
      <c r="H857" s="394"/>
      <c r="I857" s="394"/>
      <c r="J857" s="394"/>
      <c r="P857" s="394"/>
      <c r="Q857" s="394"/>
      <c r="R857" s="394"/>
    </row>
    <row r="858">
      <c r="H858" s="394"/>
      <c r="I858" s="394"/>
      <c r="J858" s="394"/>
      <c r="P858" s="394"/>
      <c r="Q858" s="394"/>
      <c r="R858" s="394"/>
    </row>
    <row r="859">
      <c r="H859" s="394"/>
      <c r="I859" s="394"/>
      <c r="J859" s="394"/>
      <c r="P859" s="394"/>
      <c r="Q859" s="394"/>
      <c r="R859" s="394"/>
    </row>
    <row r="860">
      <c r="H860" s="394"/>
      <c r="I860" s="394"/>
      <c r="J860" s="394"/>
      <c r="P860" s="394"/>
      <c r="Q860" s="394"/>
      <c r="R860" s="394"/>
    </row>
    <row r="861">
      <c r="H861" s="394"/>
      <c r="I861" s="394"/>
      <c r="J861" s="394"/>
      <c r="P861" s="394"/>
      <c r="Q861" s="394"/>
      <c r="R861" s="394"/>
    </row>
    <row r="862">
      <c r="H862" s="394"/>
      <c r="I862" s="394"/>
      <c r="J862" s="394"/>
      <c r="P862" s="394"/>
      <c r="Q862" s="394"/>
      <c r="R862" s="394"/>
    </row>
    <row r="863">
      <c r="H863" s="394"/>
      <c r="I863" s="394"/>
      <c r="J863" s="394"/>
      <c r="P863" s="394"/>
      <c r="Q863" s="394"/>
      <c r="R863" s="394"/>
    </row>
    <row r="864">
      <c r="H864" s="394"/>
      <c r="I864" s="394"/>
      <c r="J864" s="394"/>
      <c r="P864" s="394"/>
      <c r="Q864" s="394"/>
      <c r="R864" s="394"/>
    </row>
    <row r="865">
      <c r="H865" s="394"/>
      <c r="I865" s="394"/>
      <c r="J865" s="394"/>
      <c r="P865" s="394"/>
      <c r="Q865" s="394"/>
      <c r="R865" s="394"/>
    </row>
    <row r="866">
      <c r="H866" s="394"/>
      <c r="I866" s="394"/>
      <c r="J866" s="394"/>
      <c r="P866" s="394"/>
      <c r="Q866" s="394"/>
      <c r="R866" s="394"/>
    </row>
    <row r="867">
      <c r="H867" s="394"/>
      <c r="I867" s="394"/>
      <c r="J867" s="394"/>
      <c r="P867" s="394"/>
      <c r="Q867" s="394"/>
      <c r="R867" s="394"/>
    </row>
    <row r="868">
      <c r="H868" s="394"/>
      <c r="I868" s="394"/>
      <c r="J868" s="394"/>
      <c r="P868" s="394"/>
      <c r="Q868" s="394"/>
      <c r="R868" s="394"/>
    </row>
    <row r="869">
      <c r="H869" s="394"/>
      <c r="I869" s="394"/>
      <c r="J869" s="394"/>
      <c r="P869" s="394"/>
      <c r="Q869" s="394"/>
      <c r="R869" s="394"/>
    </row>
    <row r="870">
      <c r="H870" s="394"/>
      <c r="I870" s="394"/>
      <c r="J870" s="394"/>
      <c r="P870" s="394"/>
      <c r="Q870" s="394"/>
      <c r="R870" s="394"/>
    </row>
    <row r="871">
      <c r="H871" s="394"/>
      <c r="I871" s="394"/>
      <c r="J871" s="394"/>
      <c r="P871" s="394"/>
      <c r="Q871" s="394"/>
      <c r="R871" s="394"/>
    </row>
    <row r="872">
      <c r="H872" s="394"/>
      <c r="I872" s="394"/>
      <c r="J872" s="394"/>
      <c r="P872" s="394"/>
      <c r="Q872" s="394"/>
      <c r="R872" s="394"/>
    </row>
    <row r="873">
      <c r="H873" s="394"/>
      <c r="I873" s="394"/>
      <c r="J873" s="394"/>
      <c r="P873" s="394"/>
      <c r="Q873" s="394"/>
      <c r="R873" s="394"/>
    </row>
    <row r="874">
      <c r="H874" s="394"/>
      <c r="I874" s="394"/>
      <c r="J874" s="394"/>
      <c r="P874" s="394"/>
      <c r="Q874" s="394"/>
      <c r="R874" s="394"/>
    </row>
    <row r="875">
      <c r="H875" s="394"/>
      <c r="I875" s="394"/>
      <c r="J875" s="394"/>
      <c r="P875" s="394"/>
      <c r="Q875" s="394"/>
      <c r="R875" s="394"/>
    </row>
    <row r="876">
      <c r="H876" s="394"/>
      <c r="I876" s="394"/>
      <c r="J876" s="394"/>
      <c r="P876" s="394"/>
      <c r="Q876" s="394"/>
      <c r="R876" s="394"/>
    </row>
    <row r="877">
      <c r="H877" s="394"/>
      <c r="I877" s="394"/>
      <c r="J877" s="394"/>
      <c r="P877" s="394"/>
      <c r="Q877" s="394"/>
      <c r="R877" s="394"/>
    </row>
    <row r="878">
      <c r="H878" s="394"/>
      <c r="I878" s="394"/>
      <c r="J878" s="394"/>
      <c r="P878" s="394"/>
      <c r="Q878" s="394"/>
      <c r="R878" s="394"/>
    </row>
    <row r="879">
      <c r="H879" s="394"/>
      <c r="I879" s="394"/>
      <c r="J879" s="394"/>
      <c r="P879" s="394"/>
      <c r="Q879" s="394"/>
      <c r="R879" s="394"/>
    </row>
    <row r="880">
      <c r="H880" s="394"/>
      <c r="I880" s="394"/>
      <c r="J880" s="394"/>
      <c r="P880" s="394"/>
      <c r="Q880" s="394"/>
      <c r="R880" s="394"/>
    </row>
    <row r="881">
      <c r="H881" s="394"/>
      <c r="I881" s="394"/>
      <c r="J881" s="394"/>
      <c r="P881" s="394"/>
      <c r="Q881" s="394"/>
      <c r="R881" s="394"/>
    </row>
    <row r="882">
      <c r="H882" s="394"/>
      <c r="I882" s="394"/>
      <c r="J882" s="394"/>
      <c r="P882" s="394"/>
      <c r="Q882" s="394"/>
      <c r="R882" s="394"/>
    </row>
    <row r="883">
      <c r="H883" s="394"/>
      <c r="I883" s="394"/>
      <c r="J883" s="394"/>
      <c r="P883" s="394"/>
      <c r="Q883" s="394"/>
      <c r="R883" s="394"/>
    </row>
    <row r="884">
      <c r="H884" s="394"/>
      <c r="I884" s="394"/>
      <c r="J884" s="394"/>
      <c r="P884" s="394"/>
      <c r="Q884" s="394"/>
      <c r="R884" s="394"/>
    </row>
    <row r="885">
      <c r="H885" s="394"/>
      <c r="I885" s="394"/>
      <c r="J885" s="394"/>
      <c r="P885" s="394"/>
      <c r="Q885" s="394"/>
      <c r="R885" s="394"/>
    </row>
    <row r="886">
      <c r="H886" s="394"/>
      <c r="I886" s="394"/>
      <c r="J886" s="394"/>
      <c r="P886" s="394"/>
      <c r="Q886" s="394"/>
      <c r="R886" s="394"/>
    </row>
    <row r="887">
      <c r="H887" s="394"/>
      <c r="I887" s="394"/>
      <c r="J887" s="394"/>
      <c r="P887" s="394"/>
      <c r="Q887" s="394"/>
      <c r="R887" s="394"/>
    </row>
    <row r="888">
      <c r="H888" s="394"/>
      <c r="I888" s="394"/>
      <c r="J888" s="394"/>
      <c r="P888" s="394"/>
      <c r="Q888" s="394"/>
      <c r="R888" s="394"/>
    </row>
    <row r="889">
      <c r="H889" s="394"/>
      <c r="I889" s="394"/>
      <c r="J889" s="394"/>
      <c r="P889" s="394"/>
      <c r="Q889" s="394"/>
      <c r="R889" s="394"/>
    </row>
    <row r="890">
      <c r="H890" s="394"/>
      <c r="I890" s="394"/>
      <c r="J890" s="394"/>
      <c r="P890" s="394"/>
      <c r="Q890" s="394"/>
      <c r="R890" s="394"/>
    </row>
    <row r="891">
      <c r="H891" s="394"/>
      <c r="I891" s="394"/>
      <c r="J891" s="394"/>
      <c r="P891" s="394"/>
      <c r="Q891" s="394"/>
      <c r="R891" s="394"/>
    </row>
    <row r="892">
      <c r="H892" s="394"/>
      <c r="I892" s="394"/>
      <c r="J892" s="394"/>
      <c r="P892" s="394"/>
      <c r="Q892" s="394"/>
      <c r="R892" s="394"/>
    </row>
    <row r="893">
      <c r="H893" s="394"/>
      <c r="I893" s="394"/>
      <c r="J893" s="394"/>
      <c r="P893" s="394"/>
      <c r="Q893" s="394"/>
      <c r="R893" s="394"/>
    </row>
    <row r="894">
      <c r="H894" s="394"/>
      <c r="I894" s="394"/>
      <c r="J894" s="394"/>
      <c r="P894" s="394"/>
      <c r="Q894" s="394"/>
      <c r="R894" s="394"/>
    </row>
    <row r="895">
      <c r="H895" s="394"/>
      <c r="I895" s="394"/>
      <c r="J895" s="394"/>
      <c r="P895" s="394"/>
      <c r="Q895" s="394"/>
      <c r="R895" s="394"/>
    </row>
    <row r="896">
      <c r="H896" s="394"/>
      <c r="I896" s="394"/>
      <c r="J896" s="394"/>
      <c r="P896" s="394"/>
      <c r="Q896" s="394"/>
      <c r="R896" s="394"/>
    </row>
    <row r="897">
      <c r="H897" s="394"/>
      <c r="I897" s="394"/>
      <c r="J897" s="394"/>
      <c r="P897" s="394"/>
      <c r="Q897" s="394"/>
      <c r="R897" s="394"/>
    </row>
    <row r="898">
      <c r="H898" s="394"/>
      <c r="I898" s="394"/>
      <c r="J898" s="394"/>
      <c r="P898" s="394"/>
      <c r="Q898" s="394"/>
      <c r="R898" s="394"/>
    </row>
    <row r="899">
      <c r="H899" s="394"/>
      <c r="I899" s="394"/>
      <c r="J899" s="394"/>
      <c r="P899" s="394"/>
      <c r="Q899" s="394"/>
      <c r="R899" s="394"/>
    </row>
    <row r="900">
      <c r="H900" s="394"/>
      <c r="I900" s="394"/>
      <c r="J900" s="394"/>
      <c r="P900" s="394"/>
      <c r="Q900" s="394"/>
      <c r="R900" s="394"/>
    </row>
    <row r="901">
      <c r="H901" s="394"/>
      <c r="I901" s="394"/>
      <c r="J901" s="394"/>
      <c r="P901" s="394"/>
      <c r="Q901" s="394"/>
      <c r="R901" s="394"/>
    </row>
    <row r="902">
      <c r="H902" s="394"/>
      <c r="I902" s="394"/>
      <c r="J902" s="394"/>
      <c r="P902" s="394"/>
      <c r="Q902" s="394"/>
      <c r="R902" s="394"/>
    </row>
    <row r="903">
      <c r="H903" s="394"/>
      <c r="I903" s="394"/>
      <c r="J903" s="394"/>
      <c r="P903" s="394"/>
      <c r="Q903" s="394"/>
      <c r="R903" s="394"/>
    </row>
    <row r="904">
      <c r="H904" s="394"/>
      <c r="I904" s="394"/>
      <c r="J904" s="394"/>
      <c r="P904" s="394"/>
      <c r="Q904" s="394"/>
      <c r="R904" s="394"/>
    </row>
    <row r="905">
      <c r="H905" s="394"/>
      <c r="I905" s="394"/>
      <c r="J905" s="394"/>
      <c r="P905" s="394"/>
      <c r="Q905" s="394"/>
      <c r="R905" s="394"/>
    </row>
    <row r="906">
      <c r="H906" s="394"/>
      <c r="I906" s="394"/>
      <c r="J906" s="394"/>
      <c r="P906" s="394"/>
      <c r="Q906" s="394"/>
      <c r="R906" s="394"/>
    </row>
    <row r="907">
      <c r="H907" s="394"/>
      <c r="I907" s="394"/>
      <c r="J907" s="394"/>
      <c r="P907" s="394"/>
      <c r="Q907" s="394"/>
      <c r="R907" s="394"/>
    </row>
    <row r="908">
      <c r="H908" s="394"/>
      <c r="I908" s="394"/>
      <c r="J908" s="394"/>
      <c r="P908" s="394"/>
      <c r="Q908" s="394"/>
      <c r="R908" s="394"/>
    </row>
    <row r="909">
      <c r="H909" s="394"/>
      <c r="I909" s="394"/>
      <c r="J909" s="394"/>
      <c r="P909" s="394"/>
      <c r="Q909" s="394"/>
      <c r="R909" s="394"/>
    </row>
    <row r="910">
      <c r="H910" s="394"/>
      <c r="I910" s="394"/>
      <c r="J910" s="394"/>
      <c r="P910" s="394"/>
      <c r="Q910" s="394"/>
      <c r="R910" s="394"/>
    </row>
    <row r="911">
      <c r="H911" s="394"/>
      <c r="I911" s="394"/>
      <c r="J911" s="394"/>
      <c r="P911" s="394"/>
      <c r="Q911" s="394"/>
      <c r="R911" s="394"/>
    </row>
    <row r="912">
      <c r="H912" s="394"/>
      <c r="I912" s="394"/>
      <c r="J912" s="394"/>
      <c r="P912" s="394"/>
      <c r="Q912" s="394"/>
      <c r="R912" s="394"/>
    </row>
    <row r="913">
      <c r="H913" s="394"/>
      <c r="I913" s="394"/>
      <c r="J913" s="394"/>
      <c r="P913" s="394"/>
      <c r="Q913" s="394"/>
      <c r="R913" s="394"/>
    </row>
    <row r="914">
      <c r="H914" s="394"/>
      <c r="I914" s="394"/>
      <c r="J914" s="394"/>
      <c r="P914" s="394"/>
      <c r="Q914" s="394"/>
      <c r="R914" s="394"/>
    </row>
    <row r="915">
      <c r="H915" s="394"/>
      <c r="I915" s="394"/>
      <c r="J915" s="394"/>
      <c r="P915" s="394"/>
      <c r="Q915" s="394"/>
      <c r="R915" s="394"/>
    </row>
    <row r="916">
      <c r="H916" s="394"/>
      <c r="I916" s="394"/>
      <c r="J916" s="394"/>
      <c r="P916" s="394"/>
      <c r="Q916" s="394"/>
      <c r="R916" s="394"/>
    </row>
    <row r="917">
      <c r="H917" s="394"/>
      <c r="I917" s="394"/>
      <c r="J917" s="394"/>
      <c r="P917" s="394"/>
      <c r="Q917" s="394"/>
      <c r="R917" s="394"/>
    </row>
    <row r="918">
      <c r="H918" s="394"/>
      <c r="I918" s="394"/>
      <c r="J918" s="394"/>
      <c r="P918" s="394"/>
      <c r="Q918" s="394"/>
      <c r="R918" s="394"/>
    </row>
    <row r="919">
      <c r="H919" s="394"/>
      <c r="I919" s="394"/>
      <c r="J919" s="394"/>
      <c r="P919" s="394"/>
      <c r="Q919" s="394"/>
      <c r="R919" s="394"/>
    </row>
    <row r="920">
      <c r="H920" s="394"/>
      <c r="I920" s="394"/>
      <c r="J920" s="394"/>
      <c r="P920" s="394"/>
      <c r="Q920" s="394"/>
      <c r="R920" s="394"/>
    </row>
    <row r="921">
      <c r="H921" s="394"/>
      <c r="I921" s="394"/>
      <c r="J921" s="394"/>
      <c r="P921" s="394"/>
      <c r="Q921" s="394"/>
      <c r="R921" s="394"/>
    </row>
    <row r="922">
      <c r="H922" s="394"/>
      <c r="I922" s="394"/>
      <c r="J922" s="394"/>
      <c r="P922" s="394"/>
      <c r="Q922" s="394"/>
      <c r="R922" s="394"/>
    </row>
    <row r="923">
      <c r="H923" s="394"/>
      <c r="I923" s="394"/>
      <c r="J923" s="394"/>
      <c r="P923" s="394"/>
      <c r="Q923" s="394"/>
      <c r="R923" s="394"/>
    </row>
    <row r="924">
      <c r="H924" s="394"/>
      <c r="I924" s="394"/>
      <c r="J924" s="394"/>
      <c r="P924" s="394"/>
      <c r="Q924" s="394"/>
      <c r="R924" s="394"/>
    </row>
    <row r="925">
      <c r="H925" s="394"/>
      <c r="I925" s="394"/>
      <c r="J925" s="394"/>
      <c r="P925" s="394"/>
      <c r="Q925" s="394"/>
      <c r="R925" s="394"/>
    </row>
    <row r="926">
      <c r="H926" s="394"/>
      <c r="I926" s="394"/>
      <c r="J926" s="394"/>
      <c r="P926" s="394"/>
      <c r="Q926" s="394"/>
      <c r="R926" s="394"/>
    </row>
    <row r="927">
      <c r="H927" s="394"/>
      <c r="I927" s="394"/>
      <c r="J927" s="394"/>
      <c r="P927" s="394"/>
      <c r="Q927" s="394"/>
      <c r="R927" s="394"/>
    </row>
    <row r="928">
      <c r="H928" s="394"/>
      <c r="I928" s="394"/>
      <c r="J928" s="394"/>
      <c r="P928" s="394"/>
      <c r="Q928" s="394"/>
      <c r="R928" s="394"/>
    </row>
    <row r="929">
      <c r="H929" s="394"/>
      <c r="I929" s="394"/>
      <c r="J929" s="394"/>
      <c r="P929" s="394"/>
      <c r="Q929" s="394"/>
      <c r="R929" s="394"/>
    </row>
    <row r="930">
      <c r="H930" s="394"/>
      <c r="I930" s="394"/>
      <c r="J930" s="394"/>
      <c r="P930" s="394"/>
      <c r="Q930" s="394"/>
      <c r="R930" s="394"/>
    </row>
    <row r="931">
      <c r="H931" s="394"/>
      <c r="I931" s="394"/>
      <c r="J931" s="394"/>
      <c r="P931" s="394"/>
      <c r="Q931" s="394"/>
      <c r="R931" s="394"/>
    </row>
    <row r="932">
      <c r="H932" s="394"/>
      <c r="I932" s="394"/>
      <c r="J932" s="394"/>
      <c r="P932" s="394"/>
      <c r="Q932" s="394"/>
      <c r="R932" s="394"/>
    </row>
    <row r="933">
      <c r="H933" s="394"/>
      <c r="I933" s="394"/>
      <c r="J933" s="394"/>
      <c r="P933" s="394"/>
      <c r="Q933" s="394"/>
      <c r="R933" s="394"/>
    </row>
    <row r="934">
      <c r="H934" s="394"/>
      <c r="I934" s="394"/>
      <c r="J934" s="394"/>
      <c r="P934" s="394"/>
      <c r="Q934" s="394"/>
      <c r="R934" s="394"/>
    </row>
    <row r="935">
      <c r="H935" s="394"/>
      <c r="I935" s="394"/>
      <c r="J935" s="394"/>
      <c r="P935" s="394"/>
      <c r="Q935" s="394"/>
      <c r="R935" s="394"/>
    </row>
    <row r="936">
      <c r="H936" s="394"/>
      <c r="I936" s="394"/>
      <c r="J936" s="394"/>
      <c r="P936" s="394"/>
      <c r="Q936" s="394"/>
      <c r="R936" s="394"/>
    </row>
    <row r="937">
      <c r="H937" s="394"/>
      <c r="I937" s="394"/>
      <c r="J937" s="394"/>
      <c r="P937" s="394"/>
      <c r="Q937" s="394"/>
      <c r="R937" s="394"/>
    </row>
    <row r="938">
      <c r="H938" s="394"/>
      <c r="I938" s="394"/>
      <c r="J938" s="394"/>
      <c r="P938" s="394"/>
      <c r="Q938" s="394"/>
      <c r="R938" s="394"/>
    </row>
    <row r="939">
      <c r="H939" s="394"/>
      <c r="I939" s="394"/>
      <c r="J939" s="394"/>
      <c r="P939" s="394"/>
      <c r="Q939" s="394"/>
      <c r="R939" s="394"/>
    </row>
    <row r="940">
      <c r="H940" s="394"/>
      <c r="I940" s="394"/>
      <c r="J940" s="394"/>
      <c r="P940" s="394"/>
      <c r="Q940" s="394"/>
      <c r="R940" s="394"/>
    </row>
    <row r="941">
      <c r="H941" s="394"/>
      <c r="I941" s="394"/>
      <c r="J941" s="394"/>
      <c r="P941" s="394"/>
      <c r="Q941" s="394"/>
      <c r="R941" s="394"/>
    </row>
    <row r="942">
      <c r="H942" s="394"/>
      <c r="I942" s="394"/>
      <c r="J942" s="394"/>
      <c r="P942" s="394"/>
      <c r="Q942" s="394"/>
      <c r="R942" s="394"/>
    </row>
    <row r="943">
      <c r="H943" s="394"/>
      <c r="I943" s="394"/>
      <c r="J943" s="394"/>
      <c r="P943" s="394"/>
      <c r="Q943" s="394"/>
      <c r="R943" s="394"/>
    </row>
    <row r="944">
      <c r="H944" s="394"/>
      <c r="I944" s="394"/>
      <c r="J944" s="394"/>
      <c r="P944" s="394"/>
      <c r="Q944" s="394"/>
      <c r="R944" s="394"/>
    </row>
    <row r="945">
      <c r="H945" s="394"/>
      <c r="I945" s="394"/>
      <c r="J945" s="394"/>
      <c r="P945" s="394"/>
      <c r="Q945" s="394"/>
      <c r="R945" s="394"/>
    </row>
    <row r="946">
      <c r="H946" s="394"/>
      <c r="I946" s="394"/>
      <c r="J946" s="394"/>
      <c r="P946" s="394"/>
      <c r="Q946" s="394"/>
      <c r="R946" s="394"/>
    </row>
    <row r="947">
      <c r="H947" s="394"/>
      <c r="I947" s="394"/>
      <c r="J947" s="394"/>
      <c r="P947" s="394"/>
      <c r="Q947" s="394"/>
      <c r="R947" s="394"/>
    </row>
    <row r="948">
      <c r="H948" s="394"/>
      <c r="I948" s="394"/>
      <c r="J948" s="394"/>
      <c r="P948" s="394"/>
      <c r="Q948" s="394"/>
      <c r="R948" s="394"/>
    </row>
    <row r="949">
      <c r="H949" s="394"/>
      <c r="I949" s="394"/>
      <c r="J949" s="394"/>
      <c r="P949" s="394"/>
      <c r="Q949" s="394"/>
      <c r="R949" s="394"/>
    </row>
    <row r="950">
      <c r="H950" s="394"/>
      <c r="I950" s="394"/>
      <c r="J950" s="394"/>
      <c r="P950" s="394"/>
      <c r="Q950" s="394"/>
      <c r="R950" s="394"/>
    </row>
    <row r="951">
      <c r="H951" s="394"/>
      <c r="I951" s="394"/>
      <c r="J951" s="394"/>
      <c r="P951" s="394"/>
      <c r="Q951" s="394"/>
      <c r="R951" s="394"/>
    </row>
    <row r="952">
      <c r="H952" s="394"/>
      <c r="I952" s="394"/>
      <c r="J952" s="394"/>
      <c r="P952" s="394"/>
      <c r="Q952" s="394"/>
      <c r="R952" s="394"/>
    </row>
    <row r="953">
      <c r="H953" s="394"/>
      <c r="I953" s="394"/>
      <c r="J953" s="394"/>
      <c r="P953" s="394"/>
      <c r="Q953" s="394"/>
      <c r="R953" s="394"/>
    </row>
    <row r="954">
      <c r="H954" s="394"/>
      <c r="I954" s="394"/>
      <c r="J954" s="394"/>
      <c r="P954" s="394"/>
      <c r="Q954" s="394"/>
      <c r="R954" s="394"/>
    </row>
    <row r="955">
      <c r="H955" s="394"/>
      <c r="I955" s="394"/>
      <c r="J955" s="394"/>
      <c r="P955" s="394"/>
      <c r="Q955" s="394"/>
      <c r="R955" s="394"/>
    </row>
    <row r="956">
      <c r="H956" s="394"/>
      <c r="I956" s="394"/>
      <c r="J956" s="394"/>
      <c r="P956" s="394"/>
      <c r="Q956" s="394"/>
      <c r="R956" s="394"/>
    </row>
    <row r="957">
      <c r="H957" s="394"/>
      <c r="I957" s="394"/>
      <c r="J957" s="394"/>
      <c r="P957" s="394"/>
      <c r="Q957" s="394"/>
      <c r="R957" s="394"/>
    </row>
    <row r="958">
      <c r="H958" s="394"/>
      <c r="I958" s="394"/>
      <c r="J958" s="394"/>
      <c r="P958" s="394"/>
      <c r="Q958" s="394"/>
      <c r="R958" s="394"/>
    </row>
    <row r="959">
      <c r="H959" s="394"/>
      <c r="I959" s="394"/>
      <c r="J959" s="394"/>
      <c r="P959" s="394"/>
      <c r="Q959" s="394"/>
      <c r="R959" s="394"/>
    </row>
    <row r="960">
      <c r="H960" s="394"/>
      <c r="I960" s="394"/>
      <c r="J960" s="394"/>
      <c r="P960" s="394"/>
      <c r="Q960" s="394"/>
      <c r="R960" s="394"/>
    </row>
    <row r="961">
      <c r="H961" s="394"/>
      <c r="I961" s="394"/>
      <c r="J961" s="394"/>
      <c r="P961" s="394"/>
      <c r="Q961" s="394"/>
      <c r="R961" s="394"/>
    </row>
    <row r="962">
      <c r="H962" s="394"/>
      <c r="I962" s="394"/>
      <c r="J962" s="394"/>
      <c r="P962" s="394"/>
      <c r="Q962" s="394"/>
      <c r="R962" s="394"/>
    </row>
    <row r="963">
      <c r="H963" s="394"/>
      <c r="I963" s="394"/>
      <c r="J963" s="394"/>
      <c r="P963" s="394"/>
      <c r="Q963" s="394"/>
      <c r="R963" s="394"/>
    </row>
    <row r="964">
      <c r="H964" s="394"/>
      <c r="I964" s="394"/>
      <c r="J964" s="394"/>
      <c r="P964" s="394"/>
      <c r="Q964" s="394"/>
      <c r="R964" s="394"/>
    </row>
    <row r="965">
      <c r="H965" s="394"/>
      <c r="I965" s="394"/>
      <c r="J965" s="394"/>
      <c r="P965" s="394"/>
      <c r="Q965" s="394"/>
      <c r="R965" s="394"/>
    </row>
    <row r="966">
      <c r="H966" s="394"/>
      <c r="I966" s="394"/>
      <c r="J966" s="394"/>
      <c r="P966" s="394"/>
      <c r="Q966" s="394"/>
      <c r="R966" s="394"/>
    </row>
    <row r="967">
      <c r="H967" s="394"/>
      <c r="I967" s="394"/>
      <c r="J967" s="394"/>
      <c r="P967" s="394"/>
      <c r="Q967" s="394"/>
      <c r="R967" s="394"/>
    </row>
    <row r="968">
      <c r="H968" s="394"/>
      <c r="I968" s="394"/>
      <c r="J968" s="394"/>
      <c r="P968" s="394"/>
      <c r="Q968" s="394"/>
      <c r="R968" s="394"/>
    </row>
    <row r="969">
      <c r="H969" s="394"/>
      <c r="I969" s="394"/>
      <c r="J969" s="394"/>
      <c r="P969" s="394"/>
      <c r="Q969" s="394"/>
      <c r="R969" s="394"/>
    </row>
    <row r="970">
      <c r="H970" s="394"/>
      <c r="I970" s="394"/>
      <c r="J970" s="394"/>
      <c r="P970" s="394"/>
      <c r="Q970" s="394"/>
      <c r="R970" s="394"/>
    </row>
    <row r="971">
      <c r="H971" s="394"/>
      <c r="I971" s="394"/>
      <c r="J971" s="394"/>
      <c r="P971" s="394"/>
      <c r="Q971" s="394"/>
      <c r="R971" s="394"/>
    </row>
    <row r="972">
      <c r="H972" s="394"/>
      <c r="I972" s="394"/>
      <c r="J972" s="394"/>
      <c r="P972" s="394"/>
      <c r="Q972" s="394"/>
      <c r="R972" s="394"/>
    </row>
    <row r="973">
      <c r="H973" s="394"/>
      <c r="I973" s="394"/>
      <c r="J973" s="394"/>
      <c r="P973" s="394"/>
      <c r="Q973" s="394"/>
      <c r="R973" s="394"/>
    </row>
    <row r="974">
      <c r="H974" s="394"/>
      <c r="I974" s="394"/>
      <c r="J974" s="394"/>
      <c r="P974" s="394"/>
      <c r="Q974" s="394"/>
      <c r="R974" s="394"/>
    </row>
    <row r="975">
      <c r="H975" s="394"/>
      <c r="I975" s="394"/>
      <c r="J975" s="394"/>
      <c r="P975" s="394"/>
      <c r="Q975" s="394"/>
      <c r="R975" s="394"/>
    </row>
    <row r="976">
      <c r="H976" s="394"/>
      <c r="I976" s="394"/>
      <c r="J976" s="394"/>
      <c r="P976" s="394"/>
      <c r="Q976" s="394"/>
      <c r="R976" s="394"/>
    </row>
    <row r="977">
      <c r="H977" s="394"/>
      <c r="I977" s="394"/>
      <c r="J977" s="394"/>
      <c r="P977" s="394"/>
      <c r="Q977" s="394"/>
      <c r="R977" s="394"/>
    </row>
    <row r="978">
      <c r="H978" s="394"/>
      <c r="I978" s="394"/>
      <c r="J978" s="394"/>
      <c r="P978" s="394"/>
      <c r="Q978" s="394"/>
      <c r="R978" s="394"/>
    </row>
    <row r="979">
      <c r="H979" s="394"/>
      <c r="I979" s="394"/>
      <c r="J979" s="394"/>
      <c r="P979" s="394"/>
      <c r="Q979" s="394"/>
      <c r="R979" s="394"/>
    </row>
    <row r="980">
      <c r="H980" s="394"/>
      <c r="I980" s="394"/>
      <c r="J980" s="394"/>
      <c r="P980" s="394"/>
      <c r="Q980" s="394"/>
      <c r="R980" s="394"/>
    </row>
    <row r="981">
      <c r="H981" s="394"/>
      <c r="I981" s="394"/>
      <c r="J981" s="394"/>
      <c r="P981" s="394"/>
      <c r="Q981" s="394"/>
      <c r="R981" s="394"/>
    </row>
    <row r="982">
      <c r="H982" s="394"/>
      <c r="I982" s="394"/>
      <c r="J982" s="394"/>
      <c r="P982" s="394"/>
      <c r="Q982" s="394"/>
      <c r="R982" s="394"/>
    </row>
    <row r="983">
      <c r="H983" s="394"/>
      <c r="I983" s="394"/>
      <c r="J983" s="394"/>
      <c r="P983" s="394"/>
      <c r="Q983" s="394"/>
      <c r="R983" s="394"/>
    </row>
    <row r="984">
      <c r="H984" s="394"/>
      <c r="I984" s="394"/>
      <c r="J984" s="394"/>
      <c r="P984" s="394"/>
      <c r="Q984" s="394"/>
      <c r="R984" s="394"/>
    </row>
    <row r="985">
      <c r="H985" s="394"/>
      <c r="I985" s="394"/>
      <c r="J985" s="394"/>
      <c r="P985" s="394"/>
      <c r="Q985" s="394"/>
      <c r="R985" s="394"/>
    </row>
    <row r="986">
      <c r="H986" s="394"/>
      <c r="I986" s="394"/>
      <c r="J986" s="394"/>
      <c r="P986" s="394"/>
      <c r="Q986" s="394"/>
      <c r="R986" s="394"/>
    </row>
    <row r="987">
      <c r="H987" s="394"/>
      <c r="I987" s="394"/>
      <c r="J987" s="394"/>
      <c r="P987" s="394"/>
      <c r="Q987" s="394"/>
      <c r="R987" s="394"/>
    </row>
    <row r="988">
      <c r="H988" s="394"/>
      <c r="I988" s="394"/>
      <c r="J988" s="394"/>
      <c r="P988" s="394"/>
      <c r="Q988" s="394"/>
      <c r="R988" s="394"/>
    </row>
    <row r="989">
      <c r="H989" s="394"/>
      <c r="I989" s="394"/>
      <c r="J989" s="394"/>
      <c r="P989" s="394"/>
      <c r="Q989" s="394"/>
      <c r="R989" s="394"/>
    </row>
    <row r="990">
      <c r="H990" s="394"/>
      <c r="I990" s="394"/>
      <c r="J990" s="394"/>
      <c r="P990" s="394"/>
      <c r="Q990" s="394"/>
      <c r="R990" s="394"/>
    </row>
    <row r="991">
      <c r="H991" s="394"/>
      <c r="I991" s="394"/>
      <c r="J991" s="394"/>
      <c r="P991" s="394"/>
      <c r="Q991" s="394"/>
      <c r="R991" s="394"/>
    </row>
    <row r="992">
      <c r="H992" s="394"/>
      <c r="I992" s="394"/>
      <c r="J992" s="394"/>
      <c r="P992" s="394"/>
      <c r="Q992" s="394"/>
      <c r="R992" s="394"/>
    </row>
    <row r="993">
      <c r="H993" s="394"/>
      <c r="I993" s="394"/>
      <c r="J993" s="394"/>
      <c r="P993" s="394"/>
      <c r="Q993" s="394"/>
      <c r="R993" s="394"/>
    </row>
    <row r="994">
      <c r="H994" s="394"/>
      <c r="I994" s="394"/>
      <c r="J994" s="394"/>
      <c r="P994" s="394"/>
      <c r="Q994" s="394"/>
      <c r="R994" s="394"/>
    </row>
    <row r="995">
      <c r="H995" s="394"/>
      <c r="I995" s="394"/>
      <c r="J995" s="394"/>
      <c r="P995" s="394"/>
      <c r="Q995" s="394"/>
      <c r="R995" s="394"/>
    </row>
    <row r="996">
      <c r="H996" s="394"/>
      <c r="I996" s="394"/>
      <c r="J996" s="394"/>
      <c r="P996" s="394"/>
      <c r="Q996" s="394"/>
      <c r="R996" s="394"/>
    </row>
    <row r="997">
      <c r="H997" s="394"/>
      <c r="I997" s="394"/>
      <c r="J997" s="394"/>
      <c r="P997" s="394"/>
      <c r="Q997" s="394"/>
      <c r="R997" s="394"/>
    </row>
    <row r="998">
      <c r="H998" s="394"/>
      <c r="I998" s="394"/>
      <c r="J998" s="394"/>
      <c r="P998" s="394"/>
      <c r="Q998" s="394"/>
      <c r="R998" s="394"/>
    </row>
    <row r="999">
      <c r="H999" s="394"/>
      <c r="I999" s="394"/>
      <c r="J999" s="394"/>
      <c r="P999" s="394"/>
      <c r="Q999" s="394"/>
      <c r="R999" s="394"/>
    </row>
    <row r="1000">
      <c r="H1000" s="394"/>
      <c r="I1000" s="394"/>
      <c r="J1000" s="394"/>
      <c r="P1000" s="394"/>
      <c r="Q1000" s="394"/>
      <c r="R1000" s="394"/>
    </row>
  </sheetData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388" t="s">
        <v>2009</v>
      </c>
      <c r="B1" s="388" t="s">
        <v>1954</v>
      </c>
      <c r="C1" s="388" t="s">
        <v>1974</v>
      </c>
      <c r="D1" s="388" t="s">
        <v>1975</v>
      </c>
      <c r="E1" s="388" t="s">
        <v>2027</v>
      </c>
      <c r="F1" s="388" t="s">
        <v>2028</v>
      </c>
      <c r="G1" s="388" t="s">
        <v>2010</v>
      </c>
      <c r="H1" s="388" t="s">
        <v>2029</v>
      </c>
      <c r="I1" s="388" t="s">
        <v>2030</v>
      </c>
      <c r="J1" s="388" t="s">
        <v>2031</v>
      </c>
      <c r="K1" s="388" t="s">
        <v>2032</v>
      </c>
      <c r="L1" s="388" t="s">
        <v>2033</v>
      </c>
      <c r="M1" s="388" t="s">
        <v>2034</v>
      </c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</row>
    <row r="2">
      <c r="A2" s="37" t="s">
        <v>8</v>
      </c>
      <c r="B2" s="37" t="s">
        <v>137</v>
      </c>
      <c r="C2" s="37" t="s">
        <v>51</v>
      </c>
      <c r="D2" s="38">
        <v>1.0</v>
      </c>
      <c r="E2" s="38">
        <v>1.0</v>
      </c>
      <c r="F2" s="38">
        <v>2.0</v>
      </c>
      <c r="G2" s="38">
        <v>5.0</v>
      </c>
      <c r="H2" s="38">
        <v>78132.0</v>
      </c>
      <c r="I2" s="38">
        <v>0.9205</v>
      </c>
      <c r="J2" s="38">
        <v>1.0</v>
      </c>
      <c r="K2" s="38">
        <v>1.0</v>
      </c>
      <c r="L2" s="38">
        <v>1.0</v>
      </c>
      <c r="M2" s="38">
        <v>0.9209</v>
      </c>
    </row>
    <row r="3">
      <c r="A3" s="37" t="s">
        <v>8</v>
      </c>
      <c r="B3" s="37" t="s">
        <v>137</v>
      </c>
      <c r="C3" s="37" t="s">
        <v>51</v>
      </c>
      <c r="D3" s="38">
        <v>1.0</v>
      </c>
      <c r="E3" s="38">
        <v>2.0</v>
      </c>
      <c r="F3" s="38">
        <v>2.0</v>
      </c>
      <c r="G3" s="38">
        <v>5.0</v>
      </c>
      <c r="H3" s="38">
        <v>78132.0</v>
      </c>
      <c r="I3" s="38">
        <v>1.0</v>
      </c>
      <c r="J3" s="38">
        <v>1.0</v>
      </c>
      <c r="K3" s="38">
        <v>1.0</v>
      </c>
      <c r="L3" s="38">
        <v>1.0</v>
      </c>
      <c r="M3" s="38">
        <v>1.0</v>
      </c>
    </row>
    <row r="4">
      <c r="A4" s="37" t="s">
        <v>8</v>
      </c>
      <c r="B4" s="37" t="s">
        <v>339</v>
      </c>
      <c r="C4" s="37" t="s">
        <v>51</v>
      </c>
      <c r="D4" s="38">
        <v>1.0</v>
      </c>
      <c r="E4" s="38">
        <v>1.0</v>
      </c>
      <c r="F4" s="38">
        <v>2.0</v>
      </c>
      <c r="G4" s="38">
        <v>5.0</v>
      </c>
      <c r="H4" s="38">
        <v>58165.0</v>
      </c>
      <c r="I4" s="38">
        <v>0.9198</v>
      </c>
      <c r="J4" s="38">
        <v>1.0</v>
      </c>
      <c r="K4" s="38">
        <v>1.0</v>
      </c>
      <c r="L4" s="38">
        <v>1.0</v>
      </c>
      <c r="M4" s="38">
        <v>0.92</v>
      </c>
    </row>
    <row r="5">
      <c r="A5" s="37" t="s">
        <v>8</v>
      </c>
      <c r="B5" s="37" t="s">
        <v>339</v>
      </c>
      <c r="C5" s="37" t="s">
        <v>51</v>
      </c>
      <c r="D5" s="38">
        <v>1.0</v>
      </c>
      <c r="E5" s="38">
        <v>2.0</v>
      </c>
      <c r="F5" s="38">
        <v>2.0</v>
      </c>
      <c r="G5" s="38">
        <v>5.0</v>
      </c>
      <c r="H5" s="38">
        <v>58165.0</v>
      </c>
      <c r="I5" s="38">
        <v>1.0</v>
      </c>
      <c r="J5" s="38">
        <v>1.0</v>
      </c>
      <c r="K5" s="38">
        <v>1.0</v>
      </c>
      <c r="L5" s="38">
        <v>1.0</v>
      </c>
      <c r="M5" s="38">
        <v>1.0</v>
      </c>
    </row>
    <row r="6">
      <c r="A6" s="37" t="s">
        <v>8</v>
      </c>
      <c r="B6" s="37" t="s">
        <v>137</v>
      </c>
      <c r="C6" s="37" t="s">
        <v>52</v>
      </c>
      <c r="D6" s="38">
        <v>2.0</v>
      </c>
      <c r="E6" s="38">
        <v>1.0</v>
      </c>
      <c r="F6" s="38">
        <v>2.0</v>
      </c>
      <c r="G6" s="38">
        <v>5.0</v>
      </c>
      <c r="H6" s="38">
        <v>71954.0</v>
      </c>
      <c r="I6" s="38">
        <v>0.9257</v>
      </c>
      <c r="J6" s="38">
        <v>1.0</v>
      </c>
      <c r="K6" s="38">
        <v>1.0</v>
      </c>
      <c r="L6" s="38">
        <v>1.0</v>
      </c>
      <c r="M6" s="38">
        <v>0.9263</v>
      </c>
    </row>
    <row r="7">
      <c r="A7" s="37" t="s">
        <v>8</v>
      </c>
      <c r="B7" s="37" t="s">
        <v>137</v>
      </c>
      <c r="C7" s="37" t="s">
        <v>52</v>
      </c>
      <c r="D7" s="38">
        <v>2.0</v>
      </c>
      <c r="E7" s="38">
        <v>2.0</v>
      </c>
      <c r="F7" s="38">
        <v>2.0</v>
      </c>
      <c r="G7" s="38">
        <v>5.0</v>
      </c>
      <c r="H7" s="38">
        <v>71954.0</v>
      </c>
      <c r="I7" s="38">
        <v>1.0</v>
      </c>
      <c r="J7" s="38">
        <v>1.0</v>
      </c>
      <c r="K7" s="38">
        <v>1.0</v>
      </c>
      <c r="L7" s="38">
        <v>1.0</v>
      </c>
      <c r="M7" s="38">
        <v>1.0</v>
      </c>
    </row>
    <row r="8">
      <c r="A8" s="37" t="s">
        <v>8</v>
      </c>
      <c r="B8" s="37" t="s">
        <v>339</v>
      </c>
      <c r="C8" s="37" t="s">
        <v>52</v>
      </c>
      <c r="D8" s="38">
        <v>2.0</v>
      </c>
      <c r="E8" s="38">
        <v>1.0</v>
      </c>
      <c r="F8" s="38">
        <v>2.0</v>
      </c>
      <c r="G8" s="38">
        <v>5.0</v>
      </c>
      <c r="H8" s="38">
        <v>42952.0</v>
      </c>
      <c r="I8" s="38">
        <v>0.9189</v>
      </c>
      <c r="J8" s="38">
        <v>1.0</v>
      </c>
      <c r="K8" s="38">
        <v>1.0</v>
      </c>
      <c r="L8" s="38">
        <v>1.0</v>
      </c>
      <c r="M8" s="38">
        <v>0.9193</v>
      </c>
    </row>
    <row r="9">
      <c r="A9" s="37" t="s">
        <v>8</v>
      </c>
      <c r="B9" s="37" t="s">
        <v>339</v>
      </c>
      <c r="C9" s="37" t="s">
        <v>52</v>
      </c>
      <c r="D9" s="38">
        <v>2.0</v>
      </c>
      <c r="E9" s="38">
        <v>2.0</v>
      </c>
      <c r="F9" s="38">
        <v>2.0</v>
      </c>
      <c r="G9" s="38">
        <v>5.0</v>
      </c>
      <c r="H9" s="38">
        <v>42952.0</v>
      </c>
      <c r="I9" s="38">
        <v>1.0</v>
      </c>
      <c r="J9" s="38">
        <v>1.0</v>
      </c>
      <c r="K9" s="38">
        <v>1.0</v>
      </c>
      <c r="L9" s="38">
        <v>1.0</v>
      </c>
      <c r="M9" s="38">
        <v>1.0</v>
      </c>
    </row>
    <row r="10">
      <c r="A10" s="37" t="s">
        <v>8</v>
      </c>
      <c r="B10" s="37" t="s">
        <v>137</v>
      </c>
      <c r="C10" s="37" t="s">
        <v>53</v>
      </c>
      <c r="D10" s="38">
        <v>3.0</v>
      </c>
      <c r="E10" s="38">
        <v>1.0</v>
      </c>
      <c r="F10" s="38">
        <v>2.0</v>
      </c>
      <c r="G10" s="38">
        <v>5.0</v>
      </c>
      <c r="H10" s="38">
        <v>45084.0</v>
      </c>
      <c r="I10" s="38">
        <v>0.9282</v>
      </c>
      <c r="J10" s="38">
        <v>1.0</v>
      </c>
      <c r="K10" s="38">
        <v>0.9961</v>
      </c>
      <c r="L10" s="38">
        <v>1.0</v>
      </c>
      <c r="M10" s="38">
        <v>0.9285</v>
      </c>
    </row>
    <row r="11">
      <c r="A11" s="37" t="s">
        <v>8</v>
      </c>
      <c r="B11" s="37" t="s">
        <v>137</v>
      </c>
      <c r="C11" s="37" t="s">
        <v>53</v>
      </c>
      <c r="D11" s="38">
        <v>3.0</v>
      </c>
      <c r="E11" s="38">
        <v>2.0</v>
      </c>
      <c r="F11" s="38">
        <v>2.0</v>
      </c>
      <c r="G11" s="38">
        <v>5.0</v>
      </c>
      <c r="H11" s="38">
        <v>45084.0</v>
      </c>
      <c r="I11" s="38">
        <v>1.0</v>
      </c>
      <c r="J11" s="38">
        <v>1.0</v>
      </c>
      <c r="K11" s="38">
        <v>1.0</v>
      </c>
      <c r="L11" s="38">
        <v>1.0</v>
      </c>
      <c r="M11" s="38">
        <v>1.0</v>
      </c>
    </row>
    <row r="12">
      <c r="A12" s="37" t="s">
        <v>8</v>
      </c>
      <c r="B12" s="37" t="s">
        <v>339</v>
      </c>
      <c r="C12" s="37" t="s">
        <v>53</v>
      </c>
      <c r="D12" s="38">
        <v>3.0</v>
      </c>
      <c r="E12" s="38">
        <v>1.0</v>
      </c>
      <c r="F12" s="38">
        <v>2.0</v>
      </c>
      <c r="G12" s="38">
        <v>5.0</v>
      </c>
      <c r="H12" s="38">
        <v>25482.0</v>
      </c>
      <c r="I12" s="38">
        <v>0.9162</v>
      </c>
      <c r="J12" s="38">
        <v>1.0</v>
      </c>
      <c r="K12" s="38">
        <v>0.9989</v>
      </c>
      <c r="L12" s="38">
        <v>1.0</v>
      </c>
      <c r="M12" s="38">
        <v>0.9164</v>
      </c>
    </row>
    <row r="13">
      <c r="A13" s="37" t="s">
        <v>8</v>
      </c>
      <c r="B13" s="37" t="s">
        <v>339</v>
      </c>
      <c r="C13" s="37" t="s">
        <v>53</v>
      </c>
      <c r="D13" s="38">
        <v>3.0</v>
      </c>
      <c r="E13" s="38">
        <v>2.0</v>
      </c>
      <c r="F13" s="38">
        <v>2.0</v>
      </c>
      <c r="G13" s="38">
        <v>5.0</v>
      </c>
      <c r="H13" s="38">
        <v>25482.0</v>
      </c>
      <c r="I13" s="38">
        <v>1.0</v>
      </c>
      <c r="J13" s="38">
        <v>1.0</v>
      </c>
      <c r="K13" s="38">
        <v>1.0</v>
      </c>
      <c r="L13" s="38">
        <v>1.0</v>
      </c>
      <c r="M13" s="38">
        <v>1.0</v>
      </c>
    </row>
    <row r="14">
      <c r="A14" s="37" t="s">
        <v>8</v>
      </c>
      <c r="B14" s="37" t="s">
        <v>137</v>
      </c>
      <c r="C14" s="37" t="s">
        <v>54</v>
      </c>
      <c r="D14" s="38">
        <v>4.0</v>
      </c>
      <c r="E14" s="38">
        <v>1.0</v>
      </c>
      <c r="F14" s="38">
        <v>2.0</v>
      </c>
      <c r="G14" s="38">
        <v>5.0</v>
      </c>
      <c r="H14" s="38">
        <v>20293.0</v>
      </c>
      <c r="I14" s="38">
        <v>0.9315</v>
      </c>
      <c r="J14" s="38">
        <v>1.0</v>
      </c>
      <c r="K14" s="38">
        <v>0.9803</v>
      </c>
      <c r="L14" s="38">
        <v>1.0</v>
      </c>
      <c r="M14" s="38">
        <v>0.9312</v>
      </c>
    </row>
    <row r="15">
      <c r="A15" s="37" t="s">
        <v>8</v>
      </c>
      <c r="B15" s="37" t="s">
        <v>137</v>
      </c>
      <c r="C15" s="37" t="s">
        <v>54</v>
      </c>
      <c r="D15" s="38">
        <v>4.0</v>
      </c>
      <c r="E15" s="38">
        <v>2.0</v>
      </c>
      <c r="F15" s="38">
        <v>2.0</v>
      </c>
      <c r="G15" s="38">
        <v>5.0</v>
      </c>
      <c r="H15" s="38">
        <v>20293.0</v>
      </c>
      <c r="I15" s="38">
        <v>1.0</v>
      </c>
      <c r="J15" s="38">
        <v>1.0</v>
      </c>
      <c r="K15" s="38">
        <v>1.0</v>
      </c>
      <c r="L15" s="38">
        <v>1.0</v>
      </c>
      <c r="M15" s="38">
        <v>1.0</v>
      </c>
    </row>
    <row r="16">
      <c r="A16" s="37" t="s">
        <v>8</v>
      </c>
      <c r="B16" s="37" t="s">
        <v>339</v>
      </c>
      <c r="C16" s="37" t="s">
        <v>54</v>
      </c>
      <c r="D16" s="38">
        <v>4.0</v>
      </c>
      <c r="E16" s="38">
        <v>1.0</v>
      </c>
      <c r="F16" s="38">
        <v>2.0</v>
      </c>
      <c r="G16" s="38">
        <v>5.0</v>
      </c>
      <c r="H16" s="38">
        <v>11542.0</v>
      </c>
      <c r="I16" s="38">
        <v>0.9188</v>
      </c>
      <c r="J16" s="38">
        <v>1.0</v>
      </c>
      <c r="K16" s="38">
        <v>0.9809</v>
      </c>
      <c r="L16" s="38">
        <v>1.0</v>
      </c>
      <c r="M16" s="38">
        <v>0.9187</v>
      </c>
    </row>
    <row r="17">
      <c r="A17" s="37" t="s">
        <v>8</v>
      </c>
      <c r="B17" s="37" t="s">
        <v>339</v>
      </c>
      <c r="C17" s="37" t="s">
        <v>54</v>
      </c>
      <c r="D17" s="38">
        <v>4.0</v>
      </c>
      <c r="E17" s="38">
        <v>2.0</v>
      </c>
      <c r="F17" s="38">
        <v>2.0</v>
      </c>
      <c r="G17" s="38">
        <v>5.0</v>
      </c>
      <c r="H17" s="38">
        <v>11542.0</v>
      </c>
      <c r="I17" s="38">
        <v>1.0</v>
      </c>
      <c r="J17" s="38">
        <v>1.0</v>
      </c>
      <c r="K17" s="38">
        <v>1.0</v>
      </c>
      <c r="L17" s="38">
        <v>1.0</v>
      </c>
      <c r="M17" s="38">
        <v>1.0</v>
      </c>
    </row>
    <row r="18">
      <c r="A18" s="37" t="s">
        <v>8</v>
      </c>
      <c r="B18" s="37" t="s">
        <v>137</v>
      </c>
      <c r="C18" s="37" t="s">
        <v>55</v>
      </c>
      <c r="D18" s="38">
        <v>5.0</v>
      </c>
      <c r="E18" s="38">
        <v>1.0</v>
      </c>
      <c r="F18" s="38">
        <v>2.0</v>
      </c>
      <c r="G18" s="38">
        <v>5.0</v>
      </c>
      <c r="H18" s="38">
        <v>3321.0</v>
      </c>
      <c r="I18" s="38">
        <v>0.9333</v>
      </c>
      <c r="J18" s="38">
        <v>1.0</v>
      </c>
      <c r="K18" s="38">
        <v>0.9578</v>
      </c>
      <c r="L18" s="38">
        <v>1.0</v>
      </c>
      <c r="M18" s="38">
        <v>0.9341</v>
      </c>
    </row>
    <row r="19">
      <c r="A19" s="37" t="s">
        <v>8</v>
      </c>
      <c r="B19" s="37" t="s">
        <v>137</v>
      </c>
      <c r="C19" s="37" t="s">
        <v>55</v>
      </c>
      <c r="D19" s="38">
        <v>5.0</v>
      </c>
      <c r="E19" s="38">
        <v>2.0</v>
      </c>
      <c r="F19" s="38">
        <v>2.0</v>
      </c>
      <c r="G19" s="38">
        <v>5.0</v>
      </c>
      <c r="H19" s="38">
        <v>3321.0</v>
      </c>
      <c r="I19" s="38">
        <v>1.0</v>
      </c>
      <c r="J19" s="38">
        <v>1.0</v>
      </c>
      <c r="K19" s="38">
        <v>1.0</v>
      </c>
      <c r="L19" s="38">
        <v>1.0</v>
      </c>
      <c r="M19" s="38">
        <v>1.0</v>
      </c>
    </row>
    <row r="20">
      <c r="A20" s="37" t="s">
        <v>8</v>
      </c>
      <c r="B20" s="37" t="s">
        <v>339</v>
      </c>
      <c r="C20" s="37" t="s">
        <v>55</v>
      </c>
      <c r="D20" s="38">
        <v>5.0</v>
      </c>
      <c r="E20" s="38">
        <v>1.0</v>
      </c>
      <c r="F20" s="38">
        <v>2.0</v>
      </c>
      <c r="G20" s="38">
        <v>5.0</v>
      </c>
      <c r="H20" s="38">
        <v>1876.0</v>
      </c>
      <c r="I20" s="38">
        <v>0.9149</v>
      </c>
      <c r="J20" s="38">
        <v>1.0</v>
      </c>
      <c r="K20" s="38">
        <v>0.945</v>
      </c>
      <c r="L20" s="38">
        <v>1.0</v>
      </c>
      <c r="M20" s="38">
        <v>0.9156</v>
      </c>
    </row>
    <row r="21">
      <c r="A21" s="37" t="s">
        <v>8</v>
      </c>
      <c r="B21" s="37" t="s">
        <v>339</v>
      </c>
      <c r="C21" s="37" t="s">
        <v>55</v>
      </c>
      <c r="D21" s="38">
        <v>5.0</v>
      </c>
      <c r="E21" s="38">
        <v>2.0</v>
      </c>
      <c r="F21" s="38">
        <v>2.0</v>
      </c>
      <c r="G21" s="38">
        <v>5.0</v>
      </c>
      <c r="H21" s="38">
        <v>1876.0</v>
      </c>
      <c r="I21" s="38">
        <v>1.0</v>
      </c>
      <c r="J21" s="38">
        <v>1.0</v>
      </c>
      <c r="K21" s="38">
        <v>1.0</v>
      </c>
      <c r="L21" s="38">
        <v>1.0</v>
      </c>
      <c r="M21" s="38">
        <v>1.0</v>
      </c>
    </row>
    <row r="22">
      <c r="A22" s="37" t="s">
        <v>2024</v>
      </c>
      <c r="B22" s="37" t="s">
        <v>137</v>
      </c>
      <c r="C22" s="37" t="s">
        <v>51</v>
      </c>
      <c r="D22" s="38">
        <v>1.0</v>
      </c>
      <c r="E22" s="38">
        <v>1.0</v>
      </c>
      <c r="F22" s="38">
        <v>5.0</v>
      </c>
      <c r="G22" s="38">
        <v>1.0</v>
      </c>
      <c r="H22" s="38">
        <v>56137.0</v>
      </c>
      <c r="I22" s="38">
        <v>0.2431</v>
      </c>
      <c r="J22" s="38">
        <v>0.0266</v>
      </c>
      <c r="K22" s="38">
        <v>0.0</v>
      </c>
      <c r="L22" s="38">
        <v>0.3983</v>
      </c>
      <c r="M22" s="38">
        <v>0.2431</v>
      </c>
    </row>
    <row r="23">
      <c r="A23" s="37" t="s">
        <v>2024</v>
      </c>
      <c r="B23" s="37" t="s">
        <v>137</v>
      </c>
      <c r="C23" s="37" t="s">
        <v>51</v>
      </c>
      <c r="D23" s="38">
        <v>1.0</v>
      </c>
      <c r="E23" s="38">
        <v>2.0</v>
      </c>
      <c r="F23" s="38">
        <v>5.0</v>
      </c>
      <c r="G23" s="38">
        <v>1.0</v>
      </c>
      <c r="H23" s="38">
        <v>56137.0</v>
      </c>
      <c r="I23" s="38">
        <v>0.4841</v>
      </c>
      <c r="J23" s="38">
        <v>0.4659</v>
      </c>
      <c r="K23" s="38">
        <v>0.0209</v>
      </c>
      <c r="L23" s="38">
        <v>0.9541</v>
      </c>
      <c r="M23" s="38">
        <v>0.4841</v>
      </c>
    </row>
    <row r="24">
      <c r="A24" s="37" t="s">
        <v>2024</v>
      </c>
      <c r="B24" s="37" t="s">
        <v>137</v>
      </c>
      <c r="C24" s="37" t="s">
        <v>51</v>
      </c>
      <c r="D24" s="38">
        <v>1.0</v>
      </c>
      <c r="E24" s="38">
        <v>3.0</v>
      </c>
      <c r="F24" s="38">
        <v>5.0</v>
      </c>
      <c r="G24" s="38">
        <v>1.0</v>
      </c>
      <c r="H24" s="38">
        <v>56137.0</v>
      </c>
      <c r="I24" s="38">
        <v>0.7327</v>
      </c>
      <c r="J24" s="38">
        <v>0.9358</v>
      </c>
      <c r="K24" s="38">
        <v>0.528</v>
      </c>
      <c r="L24" s="38">
        <v>1.0</v>
      </c>
      <c r="M24" s="38">
        <v>0.7327</v>
      </c>
    </row>
    <row r="25">
      <c r="A25" s="37" t="s">
        <v>2024</v>
      </c>
      <c r="B25" s="37" t="s">
        <v>137</v>
      </c>
      <c r="C25" s="37" t="s">
        <v>51</v>
      </c>
      <c r="D25" s="38">
        <v>1.0</v>
      </c>
      <c r="E25" s="38">
        <v>4.0</v>
      </c>
      <c r="F25" s="38">
        <v>5.0</v>
      </c>
      <c r="G25" s="38">
        <v>1.0</v>
      </c>
      <c r="H25" s="38">
        <v>56137.0</v>
      </c>
      <c r="I25" s="38">
        <v>0.9815</v>
      </c>
      <c r="J25" s="38">
        <v>1.0</v>
      </c>
      <c r="K25" s="38">
        <v>1.0</v>
      </c>
      <c r="L25" s="38">
        <v>1.0</v>
      </c>
      <c r="M25" s="38">
        <v>0.9815</v>
      </c>
    </row>
    <row r="26">
      <c r="A26" s="37" t="s">
        <v>2024</v>
      </c>
      <c r="B26" s="37" t="s">
        <v>137</v>
      </c>
      <c r="C26" s="37" t="s">
        <v>51</v>
      </c>
      <c r="D26" s="38">
        <v>1.0</v>
      </c>
      <c r="E26" s="38">
        <v>5.0</v>
      </c>
      <c r="F26" s="38">
        <v>5.0</v>
      </c>
      <c r="G26" s="38">
        <v>1.0</v>
      </c>
      <c r="H26" s="38">
        <v>56137.0</v>
      </c>
      <c r="I26" s="38">
        <v>1.0</v>
      </c>
      <c r="J26" s="38">
        <v>1.0</v>
      </c>
      <c r="K26" s="38">
        <v>1.0</v>
      </c>
      <c r="L26" s="38">
        <v>1.0</v>
      </c>
      <c r="M26" s="38">
        <v>1.0</v>
      </c>
    </row>
    <row r="27">
      <c r="A27" s="37" t="s">
        <v>2024</v>
      </c>
      <c r="B27" s="37" t="s">
        <v>339</v>
      </c>
      <c r="C27" s="37" t="s">
        <v>51</v>
      </c>
      <c r="D27" s="38">
        <v>1.0</v>
      </c>
      <c r="E27" s="38">
        <v>1.0</v>
      </c>
      <c r="F27" s="38">
        <v>5.0</v>
      </c>
      <c r="G27" s="38">
        <v>1.0</v>
      </c>
      <c r="H27" s="38">
        <v>43503.0</v>
      </c>
      <c r="I27" s="38">
        <v>0.254</v>
      </c>
      <c r="J27" s="38">
        <v>0.0259</v>
      </c>
      <c r="K27" s="38">
        <v>0.0</v>
      </c>
      <c r="L27" s="38">
        <v>0.4417</v>
      </c>
      <c r="M27" s="38">
        <v>0.2539</v>
      </c>
    </row>
    <row r="28">
      <c r="A28" s="37" t="s">
        <v>2024</v>
      </c>
      <c r="B28" s="37" t="s">
        <v>339</v>
      </c>
      <c r="C28" s="37" t="s">
        <v>51</v>
      </c>
      <c r="D28" s="38">
        <v>1.0</v>
      </c>
      <c r="E28" s="38">
        <v>2.0</v>
      </c>
      <c r="F28" s="38">
        <v>5.0</v>
      </c>
      <c r="G28" s="38">
        <v>1.0</v>
      </c>
      <c r="H28" s="38">
        <v>43503.0</v>
      </c>
      <c r="I28" s="38">
        <v>0.4986</v>
      </c>
      <c r="J28" s="38">
        <v>0.4904</v>
      </c>
      <c r="K28" s="38">
        <v>0.0265</v>
      </c>
      <c r="L28" s="38">
        <v>0.9818</v>
      </c>
      <c r="M28" s="38">
        <v>0.4986</v>
      </c>
    </row>
    <row r="29">
      <c r="A29" s="37" t="s">
        <v>2024</v>
      </c>
      <c r="B29" s="37" t="s">
        <v>339</v>
      </c>
      <c r="C29" s="37" t="s">
        <v>51</v>
      </c>
      <c r="D29" s="38">
        <v>1.0</v>
      </c>
      <c r="E29" s="38">
        <v>3.0</v>
      </c>
      <c r="F29" s="38">
        <v>5.0</v>
      </c>
      <c r="G29" s="38">
        <v>1.0</v>
      </c>
      <c r="H29" s="38">
        <v>43503.0</v>
      </c>
      <c r="I29" s="38">
        <v>0.7439</v>
      </c>
      <c r="J29" s="38">
        <v>0.9741</v>
      </c>
      <c r="K29" s="38">
        <v>0.5447</v>
      </c>
      <c r="L29" s="38">
        <v>1.0</v>
      </c>
      <c r="M29" s="38">
        <v>0.7439</v>
      </c>
    </row>
    <row r="30">
      <c r="A30" s="37" t="s">
        <v>2024</v>
      </c>
      <c r="B30" s="37" t="s">
        <v>339</v>
      </c>
      <c r="C30" s="37" t="s">
        <v>51</v>
      </c>
      <c r="D30" s="38">
        <v>1.0</v>
      </c>
      <c r="E30" s="38">
        <v>4.0</v>
      </c>
      <c r="F30" s="38">
        <v>5.0</v>
      </c>
      <c r="G30" s="38">
        <v>1.0</v>
      </c>
      <c r="H30" s="38">
        <v>43503.0</v>
      </c>
      <c r="I30" s="38">
        <v>0.983</v>
      </c>
      <c r="J30" s="38">
        <v>1.0</v>
      </c>
      <c r="K30" s="38">
        <v>1.0</v>
      </c>
      <c r="L30" s="38">
        <v>1.0</v>
      </c>
      <c r="M30" s="38">
        <v>0.983</v>
      </c>
    </row>
    <row r="31">
      <c r="A31" s="37" t="s">
        <v>2024</v>
      </c>
      <c r="B31" s="37" t="s">
        <v>339</v>
      </c>
      <c r="C31" s="37" t="s">
        <v>51</v>
      </c>
      <c r="D31" s="38">
        <v>1.0</v>
      </c>
      <c r="E31" s="38">
        <v>5.0</v>
      </c>
      <c r="F31" s="38">
        <v>5.0</v>
      </c>
      <c r="G31" s="38">
        <v>1.0</v>
      </c>
      <c r="H31" s="38">
        <v>43503.0</v>
      </c>
      <c r="I31" s="38">
        <v>1.0</v>
      </c>
      <c r="J31" s="38">
        <v>1.0</v>
      </c>
      <c r="K31" s="38">
        <v>1.0</v>
      </c>
      <c r="L31" s="38">
        <v>1.0</v>
      </c>
      <c r="M31" s="38">
        <v>1.0</v>
      </c>
    </row>
    <row r="32">
      <c r="A32" s="37" t="s">
        <v>2024</v>
      </c>
      <c r="B32" s="37" t="s">
        <v>137</v>
      </c>
      <c r="C32" s="37" t="s">
        <v>52</v>
      </c>
      <c r="D32" s="38">
        <v>2.0</v>
      </c>
      <c r="E32" s="38">
        <v>1.0</v>
      </c>
      <c r="F32" s="38">
        <v>5.0</v>
      </c>
      <c r="G32" s="38">
        <v>1.0</v>
      </c>
      <c r="H32" s="38">
        <v>40432.0</v>
      </c>
      <c r="I32" s="38">
        <v>0.2621</v>
      </c>
      <c r="J32" s="38">
        <v>0.1528</v>
      </c>
      <c r="K32" s="38">
        <v>0.0</v>
      </c>
      <c r="L32" s="38">
        <v>0.4184</v>
      </c>
      <c r="M32" s="38">
        <v>0.262</v>
      </c>
    </row>
    <row r="33">
      <c r="A33" s="37" t="s">
        <v>2024</v>
      </c>
      <c r="B33" s="37" t="s">
        <v>137</v>
      </c>
      <c r="C33" s="37" t="s">
        <v>52</v>
      </c>
      <c r="D33" s="38">
        <v>2.0</v>
      </c>
      <c r="E33" s="38">
        <v>2.0</v>
      </c>
      <c r="F33" s="38">
        <v>5.0</v>
      </c>
      <c r="G33" s="38">
        <v>1.0</v>
      </c>
      <c r="H33" s="38">
        <v>40432.0</v>
      </c>
      <c r="I33" s="38">
        <v>0.5091</v>
      </c>
      <c r="J33" s="38">
        <v>0.5106</v>
      </c>
      <c r="K33" s="38">
        <v>0.2084</v>
      </c>
      <c r="L33" s="38">
        <v>0.8273</v>
      </c>
      <c r="M33" s="38">
        <v>0.509</v>
      </c>
    </row>
    <row r="34">
      <c r="A34" s="37" t="s">
        <v>2024</v>
      </c>
      <c r="B34" s="37" t="s">
        <v>137</v>
      </c>
      <c r="C34" s="37" t="s">
        <v>52</v>
      </c>
      <c r="D34" s="38">
        <v>2.0</v>
      </c>
      <c r="E34" s="38">
        <v>3.0</v>
      </c>
      <c r="F34" s="38">
        <v>5.0</v>
      </c>
      <c r="G34" s="38">
        <v>1.0</v>
      </c>
      <c r="H34" s="38">
        <v>40432.0</v>
      </c>
      <c r="I34" s="38">
        <v>0.7503</v>
      </c>
      <c r="J34" s="38">
        <v>0.8586</v>
      </c>
      <c r="K34" s="38">
        <v>0.6029</v>
      </c>
      <c r="L34" s="38">
        <v>1.0</v>
      </c>
      <c r="M34" s="38">
        <v>0.7503</v>
      </c>
    </row>
    <row r="35">
      <c r="A35" s="37" t="s">
        <v>2024</v>
      </c>
      <c r="B35" s="37" t="s">
        <v>137</v>
      </c>
      <c r="C35" s="37" t="s">
        <v>52</v>
      </c>
      <c r="D35" s="38">
        <v>2.0</v>
      </c>
      <c r="E35" s="38">
        <v>4.0</v>
      </c>
      <c r="F35" s="38">
        <v>5.0</v>
      </c>
      <c r="G35" s="38">
        <v>1.0</v>
      </c>
      <c r="H35" s="38">
        <v>40432.0</v>
      </c>
      <c r="I35" s="38">
        <v>0.9851</v>
      </c>
      <c r="J35" s="38">
        <v>1.0</v>
      </c>
      <c r="K35" s="38">
        <v>1.0</v>
      </c>
      <c r="L35" s="38">
        <v>1.0</v>
      </c>
      <c r="M35" s="38">
        <v>0.9851</v>
      </c>
    </row>
    <row r="36">
      <c r="A36" s="37" t="s">
        <v>2024</v>
      </c>
      <c r="B36" s="37" t="s">
        <v>137</v>
      </c>
      <c r="C36" s="37" t="s">
        <v>52</v>
      </c>
      <c r="D36" s="38">
        <v>2.0</v>
      </c>
      <c r="E36" s="38">
        <v>5.0</v>
      </c>
      <c r="F36" s="38">
        <v>5.0</v>
      </c>
      <c r="G36" s="38">
        <v>1.0</v>
      </c>
      <c r="H36" s="38">
        <v>40432.0</v>
      </c>
      <c r="I36" s="38">
        <v>1.0</v>
      </c>
      <c r="J36" s="38">
        <v>1.0</v>
      </c>
      <c r="K36" s="38">
        <v>1.0</v>
      </c>
      <c r="L36" s="38">
        <v>1.0</v>
      </c>
      <c r="M36" s="38">
        <v>1.0</v>
      </c>
    </row>
    <row r="37">
      <c r="A37" s="37" t="s">
        <v>2024</v>
      </c>
      <c r="B37" s="37" t="s">
        <v>339</v>
      </c>
      <c r="C37" s="37" t="s">
        <v>52</v>
      </c>
      <c r="D37" s="38">
        <v>2.0</v>
      </c>
      <c r="E37" s="38">
        <v>1.0</v>
      </c>
      <c r="F37" s="38">
        <v>5.0</v>
      </c>
      <c r="G37" s="38">
        <v>1.0</v>
      </c>
      <c r="H37" s="38">
        <v>23687.0</v>
      </c>
      <c r="I37" s="38">
        <v>0.2661</v>
      </c>
      <c r="J37" s="38">
        <v>0.1315</v>
      </c>
      <c r="K37" s="38">
        <v>0.0</v>
      </c>
      <c r="L37" s="38">
        <v>0.4405</v>
      </c>
      <c r="M37" s="38">
        <v>0.2661</v>
      </c>
    </row>
    <row r="38">
      <c r="A38" s="37" t="s">
        <v>2024</v>
      </c>
      <c r="B38" s="37" t="s">
        <v>339</v>
      </c>
      <c r="C38" s="37" t="s">
        <v>52</v>
      </c>
      <c r="D38" s="38">
        <v>2.0</v>
      </c>
      <c r="E38" s="38">
        <v>2.0</v>
      </c>
      <c r="F38" s="38">
        <v>5.0</v>
      </c>
      <c r="G38" s="38">
        <v>1.0</v>
      </c>
      <c r="H38" s="38">
        <v>23687.0</v>
      </c>
      <c r="I38" s="38">
        <v>0.5163</v>
      </c>
      <c r="J38" s="38">
        <v>0.523</v>
      </c>
      <c r="K38" s="38">
        <v>0.1844</v>
      </c>
      <c r="L38" s="38">
        <v>0.8696</v>
      </c>
      <c r="M38" s="38">
        <v>0.5162</v>
      </c>
    </row>
    <row r="39">
      <c r="A39" s="37" t="s">
        <v>2024</v>
      </c>
      <c r="B39" s="37" t="s">
        <v>339</v>
      </c>
      <c r="C39" s="37" t="s">
        <v>52</v>
      </c>
      <c r="D39" s="38">
        <v>2.0</v>
      </c>
      <c r="E39" s="38">
        <v>3.0</v>
      </c>
      <c r="F39" s="38">
        <v>5.0</v>
      </c>
      <c r="G39" s="38">
        <v>1.0</v>
      </c>
      <c r="H39" s="38">
        <v>23687.0</v>
      </c>
      <c r="I39" s="38">
        <v>0.7525</v>
      </c>
      <c r="J39" s="38">
        <v>0.8893</v>
      </c>
      <c r="K39" s="38">
        <v>0.599</v>
      </c>
      <c r="L39" s="38">
        <v>1.0</v>
      </c>
      <c r="M39" s="38">
        <v>0.7524</v>
      </c>
    </row>
    <row r="40">
      <c r="A40" s="37" t="s">
        <v>2024</v>
      </c>
      <c r="B40" s="37" t="s">
        <v>339</v>
      </c>
      <c r="C40" s="37" t="s">
        <v>52</v>
      </c>
      <c r="D40" s="38">
        <v>2.0</v>
      </c>
      <c r="E40" s="38">
        <v>4.0</v>
      </c>
      <c r="F40" s="38">
        <v>5.0</v>
      </c>
      <c r="G40" s="38">
        <v>1.0</v>
      </c>
      <c r="H40" s="38">
        <v>23687.0</v>
      </c>
      <c r="I40" s="38">
        <v>0.9851</v>
      </c>
      <c r="J40" s="38">
        <v>1.0</v>
      </c>
      <c r="K40" s="38">
        <v>1.0</v>
      </c>
      <c r="L40" s="38">
        <v>1.0</v>
      </c>
      <c r="M40" s="38">
        <v>0.9851</v>
      </c>
    </row>
    <row r="41">
      <c r="A41" s="37" t="s">
        <v>2024</v>
      </c>
      <c r="B41" s="37" t="s">
        <v>339</v>
      </c>
      <c r="C41" s="37" t="s">
        <v>52</v>
      </c>
      <c r="D41" s="38">
        <v>2.0</v>
      </c>
      <c r="E41" s="38">
        <v>5.0</v>
      </c>
      <c r="F41" s="38">
        <v>5.0</v>
      </c>
      <c r="G41" s="38">
        <v>1.0</v>
      </c>
      <c r="H41" s="38">
        <v>23687.0</v>
      </c>
      <c r="I41" s="38">
        <v>1.0</v>
      </c>
      <c r="J41" s="38">
        <v>1.0</v>
      </c>
      <c r="K41" s="38">
        <v>1.0</v>
      </c>
      <c r="L41" s="38">
        <v>1.0</v>
      </c>
      <c r="M41" s="38">
        <v>1.0</v>
      </c>
    </row>
    <row r="42">
      <c r="A42" s="37" t="s">
        <v>2024</v>
      </c>
      <c r="B42" s="37" t="s">
        <v>137</v>
      </c>
      <c r="C42" s="37" t="s">
        <v>53</v>
      </c>
      <c r="D42" s="38">
        <v>3.0</v>
      </c>
      <c r="E42" s="38">
        <v>1.0</v>
      </c>
      <c r="F42" s="38">
        <v>5.0</v>
      </c>
      <c r="G42" s="38">
        <v>1.0</v>
      </c>
      <c r="H42" s="38">
        <v>23256.0</v>
      </c>
      <c r="I42" s="38">
        <v>0.2637</v>
      </c>
      <c r="J42" s="38">
        <v>0.1898</v>
      </c>
      <c r="K42" s="38">
        <v>4.0E-4</v>
      </c>
      <c r="L42" s="38">
        <v>0.4002</v>
      </c>
      <c r="M42" s="38">
        <v>0.2636</v>
      </c>
    </row>
    <row r="43">
      <c r="A43" s="37" t="s">
        <v>2024</v>
      </c>
      <c r="B43" s="37" t="s">
        <v>137</v>
      </c>
      <c r="C43" s="37" t="s">
        <v>53</v>
      </c>
      <c r="D43" s="38">
        <v>3.0</v>
      </c>
      <c r="E43" s="38">
        <v>2.0</v>
      </c>
      <c r="F43" s="38">
        <v>5.0</v>
      </c>
      <c r="G43" s="38">
        <v>1.0</v>
      </c>
      <c r="H43" s="38">
        <v>23256.0</v>
      </c>
      <c r="I43" s="38">
        <v>0.5212</v>
      </c>
      <c r="J43" s="38">
        <v>0.522</v>
      </c>
      <c r="K43" s="38">
        <v>0.2871</v>
      </c>
      <c r="L43" s="38">
        <v>0.7851</v>
      </c>
      <c r="M43" s="38">
        <v>0.5211</v>
      </c>
    </row>
    <row r="44">
      <c r="A44" s="37" t="s">
        <v>2024</v>
      </c>
      <c r="B44" s="37" t="s">
        <v>137</v>
      </c>
      <c r="C44" s="37" t="s">
        <v>53</v>
      </c>
      <c r="D44" s="38">
        <v>3.0</v>
      </c>
      <c r="E44" s="38">
        <v>3.0</v>
      </c>
      <c r="F44" s="38">
        <v>5.0</v>
      </c>
      <c r="G44" s="38">
        <v>1.0</v>
      </c>
      <c r="H44" s="38">
        <v>23256.0</v>
      </c>
      <c r="I44" s="38">
        <v>0.7575</v>
      </c>
      <c r="J44" s="38">
        <v>0.837</v>
      </c>
      <c r="K44" s="38">
        <v>0.6385</v>
      </c>
      <c r="L44" s="38">
        <v>0.9997</v>
      </c>
      <c r="M44" s="38">
        <v>0.7574</v>
      </c>
    </row>
    <row r="45">
      <c r="A45" s="37" t="s">
        <v>2024</v>
      </c>
      <c r="B45" s="37" t="s">
        <v>137</v>
      </c>
      <c r="C45" s="37" t="s">
        <v>53</v>
      </c>
      <c r="D45" s="38">
        <v>3.0</v>
      </c>
      <c r="E45" s="38">
        <v>4.0</v>
      </c>
      <c r="F45" s="38">
        <v>5.0</v>
      </c>
      <c r="G45" s="38">
        <v>1.0</v>
      </c>
      <c r="H45" s="38">
        <v>23256.0</v>
      </c>
      <c r="I45" s="38">
        <v>0.9869</v>
      </c>
      <c r="J45" s="38">
        <v>1.0</v>
      </c>
      <c r="K45" s="38">
        <v>1.0</v>
      </c>
      <c r="L45" s="38">
        <v>1.0</v>
      </c>
      <c r="M45" s="38">
        <v>0.9869</v>
      </c>
    </row>
    <row r="46">
      <c r="A46" s="37" t="s">
        <v>2024</v>
      </c>
      <c r="B46" s="37" t="s">
        <v>137</v>
      </c>
      <c r="C46" s="37" t="s">
        <v>53</v>
      </c>
      <c r="D46" s="38">
        <v>3.0</v>
      </c>
      <c r="E46" s="38">
        <v>5.0</v>
      </c>
      <c r="F46" s="38">
        <v>5.0</v>
      </c>
      <c r="G46" s="38">
        <v>1.0</v>
      </c>
      <c r="H46" s="38">
        <v>23256.0</v>
      </c>
      <c r="I46" s="38">
        <v>1.0</v>
      </c>
      <c r="J46" s="38">
        <v>1.0</v>
      </c>
      <c r="K46" s="38">
        <v>1.0</v>
      </c>
      <c r="L46" s="38">
        <v>1.0</v>
      </c>
      <c r="M46" s="38">
        <v>1.0</v>
      </c>
    </row>
    <row r="47">
      <c r="A47" s="37" t="s">
        <v>2024</v>
      </c>
      <c r="B47" s="37" t="s">
        <v>339</v>
      </c>
      <c r="C47" s="37" t="s">
        <v>53</v>
      </c>
      <c r="D47" s="38">
        <v>3.0</v>
      </c>
      <c r="E47" s="38">
        <v>1.0</v>
      </c>
      <c r="F47" s="38">
        <v>5.0</v>
      </c>
      <c r="G47" s="38">
        <v>1.0</v>
      </c>
      <c r="H47" s="38">
        <v>12778.0</v>
      </c>
      <c r="I47" s="38">
        <v>0.2705</v>
      </c>
      <c r="J47" s="38">
        <v>0.1666</v>
      </c>
      <c r="K47" s="38">
        <v>0.0</v>
      </c>
      <c r="L47" s="38">
        <v>0.431</v>
      </c>
      <c r="M47" s="38">
        <v>0.2706</v>
      </c>
    </row>
    <row r="48">
      <c r="A48" s="37" t="s">
        <v>2024</v>
      </c>
      <c r="B48" s="37" t="s">
        <v>339</v>
      </c>
      <c r="C48" s="37" t="s">
        <v>53</v>
      </c>
      <c r="D48" s="38">
        <v>3.0</v>
      </c>
      <c r="E48" s="38">
        <v>2.0</v>
      </c>
      <c r="F48" s="38">
        <v>5.0</v>
      </c>
      <c r="G48" s="38">
        <v>1.0</v>
      </c>
      <c r="H48" s="38">
        <v>12778.0</v>
      </c>
      <c r="I48" s="38">
        <v>0.5151</v>
      </c>
      <c r="J48" s="38">
        <v>0.522</v>
      </c>
      <c r="K48" s="38">
        <v>0.2201</v>
      </c>
      <c r="L48" s="38">
        <v>0.8335</v>
      </c>
      <c r="M48" s="38">
        <v>0.5152</v>
      </c>
    </row>
    <row r="49">
      <c r="A49" s="37" t="s">
        <v>2024</v>
      </c>
      <c r="B49" s="37" t="s">
        <v>339</v>
      </c>
      <c r="C49" s="37" t="s">
        <v>53</v>
      </c>
      <c r="D49" s="38">
        <v>3.0</v>
      </c>
      <c r="E49" s="38">
        <v>3.0</v>
      </c>
      <c r="F49" s="38">
        <v>5.0</v>
      </c>
      <c r="G49" s="38">
        <v>1.0</v>
      </c>
      <c r="H49" s="38">
        <v>12778.0</v>
      </c>
      <c r="I49" s="38">
        <v>0.7511</v>
      </c>
      <c r="J49" s="38">
        <v>0.8632</v>
      </c>
      <c r="K49" s="38">
        <v>0.6192</v>
      </c>
      <c r="L49" s="38">
        <v>1.0</v>
      </c>
      <c r="M49" s="38">
        <v>0.7511</v>
      </c>
    </row>
    <row r="50">
      <c r="A50" s="37" t="s">
        <v>2024</v>
      </c>
      <c r="B50" s="37" t="s">
        <v>339</v>
      </c>
      <c r="C50" s="37" t="s">
        <v>53</v>
      </c>
      <c r="D50" s="38">
        <v>3.0</v>
      </c>
      <c r="E50" s="38">
        <v>4.0</v>
      </c>
      <c r="F50" s="38">
        <v>5.0</v>
      </c>
      <c r="G50" s="38">
        <v>1.0</v>
      </c>
      <c r="H50" s="38">
        <v>12778.0</v>
      </c>
      <c r="I50" s="38">
        <v>0.9864</v>
      </c>
      <c r="J50" s="38">
        <v>1.0</v>
      </c>
      <c r="K50" s="38">
        <v>1.0</v>
      </c>
      <c r="L50" s="38">
        <v>1.0</v>
      </c>
      <c r="M50" s="38">
        <v>0.9864</v>
      </c>
    </row>
    <row r="51">
      <c r="A51" s="37" t="s">
        <v>2024</v>
      </c>
      <c r="B51" s="37" t="s">
        <v>339</v>
      </c>
      <c r="C51" s="37" t="s">
        <v>53</v>
      </c>
      <c r="D51" s="38">
        <v>3.0</v>
      </c>
      <c r="E51" s="38">
        <v>5.0</v>
      </c>
      <c r="F51" s="38">
        <v>5.0</v>
      </c>
      <c r="G51" s="38">
        <v>1.0</v>
      </c>
      <c r="H51" s="38">
        <v>12778.0</v>
      </c>
      <c r="I51" s="38">
        <v>1.0</v>
      </c>
      <c r="J51" s="38">
        <v>1.0</v>
      </c>
      <c r="K51" s="38">
        <v>1.0</v>
      </c>
      <c r="L51" s="38">
        <v>1.0</v>
      </c>
      <c r="M51" s="38">
        <v>1.0</v>
      </c>
    </row>
    <row r="52">
      <c r="A52" s="37" t="s">
        <v>2024</v>
      </c>
      <c r="B52" s="37" t="s">
        <v>137</v>
      </c>
      <c r="C52" s="37" t="s">
        <v>54</v>
      </c>
      <c r="D52" s="38">
        <v>4.0</v>
      </c>
      <c r="E52" s="38">
        <v>1.0</v>
      </c>
      <c r="F52" s="38">
        <v>5.0</v>
      </c>
      <c r="G52" s="38">
        <v>1.0</v>
      </c>
      <c r="H52" s="38">
        <v>9665.0</v>
      </c>
      <c r="I52" s="38">
        <v>0.2929</v>
      </c>
      <c r="J52" s="38">
        <v>0.2475</v>
      </c>
      <c r="K52" s="38">
        <v>0.0211</v>
      </c>
      <c r="L52" s="38">
        <v>0.425</v>
      </c>
      <c r="M52" s="38">
        <v>0.2929</v>
      </c>
    </row>
    <row r="53">
      <c r="A53" s="37" t="s">
        <v>2024</v>
      </c>
      <c r="B53" s="37" t="s">
        <v>137</v>
      </c>
      <c r="C53" s="37" t="s">
        <v>54</v>
      </c>
      <c r="D53" s="38">
        <v>4.0</v>
      </c>
      <c r="E53" s="38">
        <v>2.0</v>
      </c>
      <c r="F53" s="38">
        <v>5.0</v>
      </c>
      <c r="G53" s="38">
        <v>1.0</v>
      </c>
      <c r="H53" s="38">
        <v>9665.0</v>
      </c>
      <c r="I53" s="38">
        <v>0.5466</v>
      </c>
      <c r="J53" s="38">
        <v>0.5583</v>
      </c>
      <c r="K53" s="38">
        <v>0.3586</v>
      </c>
      <c r="L53" s="38">
        <v>0.7799</v>
      </c>
      <c r="M53" s="38">
        <v>0.5468</v>
      </c>
    </row>
    <row r="54">
      <c r="A54" s="37" t="s">
        <v>2024</v>
      </c>
      <c r="B54" s="37" t="s">
        <v>137</v>
      </c>
      <c r="C54" s="37" t="s">
        <v>54</v>
      </c>
      <c r="D54" s="38">
        <v>4.0</v>
      </c>
      <c r="E54" s="38">
        <v>3.0</v>
      </c>
      <c r="F54" s="38">
        <v>5.0</v>
      </c>
      <c r="G54" s="38">
        <v>1.0</v>
      </c>
      <c r="H54" s="38">
        <v>9665.0</v>
      </c>
      <c r="I54" s="38">
        <v>0.7773</v>
      </c>
      <c r="J54" s="38">
        <v>0.8448</v>
      </c>
      <c r="K54" s="38">
        <v>0.6748</v>
      </c>
      <c r="L54" s="38">
        <v>1.0</v>
      </c>
      <c r="M54" s="38">
        <v>0.7774</v>
      </c>
    </row>
    <row r="55">
      <c r="A55" s="37" t="s">
        <v>2024</v>
      </c>
      <c r="B55" s="37" t="s">
        <v>137</v>
      </c>
      <c r="C55" s="37" t="s">
        <v>54</v>
      </c>
      <c r="D55" s="38">
        <v>4.0</v>
      </c>
      <c r="E55" s="38">
        <v>4.0</v>
      </c>
      <c r="F55" s="38">
        <v>5.0</v>
      </c>
      <c r="G55" s="38">
        <v>1.0</v>
      </c>
      <c r="H55" s="38">
        <v>9665.0</v>
      </c>
      <c r="I55" s="38">
        <v>0.9902</v>
      </c>
      <c r="J55" s="38">
        <v>1.0</v>
      </c>
      <c r="K55" s="38">
        <v>1.0</v>
      </c>
      <c r="L55" s="38">
        <v>1.0</v>
      </c>
      <c r="M55" s="38">
        <v>0.9902</v>
      </c>
    </row>
    <row r="56">
      <c r="A56" s="37" t="s">
        <v>2024</v>
      </c>
      <c r="B56" s="37" t="s">
        <v>137</v>
      </c>
      <c r="C56" s="37" t="s">
        <v>54</v>
      </c>
      <c r="D56" s="38">
        <v>4.0</v>
      </c>
      <c r="E56" s="38">
        <v>5.0</v>
      </c>
      <c r="F56" s="38">
        <v>5.0</v>
      </c>
      <c r="G56" s="38">
        <v>1.0</v>
      </c>
      <c r="H56" s="38">
        <v>9665.0</v>
      </c>
      <c r="I56" s="38">
        <v>1.0</v>
      </c>
      <c r="J56" s="38">
        <v>1.0</v>
      </c>
      <c r="K56" s="38">
        <v>1.0</v>
      </c>
      <c r="L56" s="38">
        <v>1.0</v>
      </c>
      <c r="M56" s="38">
        <v>1.0</v>
      </c>
    </row>
    <row r="57">
      <c r="A57" s="37" t="s">
        <v>2024</v>
      </c>
      <c r="B57" s="37" t="s">
        <v>339</v>
      </c>
      <c r="C57" s="37" t="s">
        <v>54</v>
      </c>
      <c r="D57" s="38">
        <v>4.0</v>
      </c>
      <c r="E57" s="38">
        <v>1.0</v>
      </c>
      <c r="F57" s="38">
        <v>5.0</v>
      </c>
      <c r="G57" s="38">
        <v>1.0</v>
      </c>
      <c r="H57" s="38">
        <v>5210.0</v>
      </c>
      <c r="I57" s="38">
        <v>0.2911</v>
      </c>
      <c r="J57" s="38">
        <v>0.2278</v>
      </c>
      <c r="K57" s="38">
        <v>0.0</v>
      </c>
      <c r="L57" s="38">
        <v>0.448</v>
      </c>
      <c r="M57" s="38">
        <v>0.2912</v>
      </c>
    </row>
    <row r="58">
      <c r="A58" s="37" t="s">
        <v>2024</v>
      </c>
      <c r="B58" s="37" t="s">
        <v>339</v>
      </c>
      <c r="C58" s="37" t="s">
        <v>54</v>
      </c>
      <c r="D58" s="38">
        <v>4.0</v>
      </c>
      <c r="E58" s="38">
        <v>2.0</v>
      </c>
      <c r="F58" s="38">
        <v>5.0</v>
      </c>
      <c r="G58" s="38">
        <v>1.0</v>
      </c>
      <c r="H58" s="38">
        <v>5210.0</v>
      </c>
      <c r="I58" s="38">
        <v>0.538</v>
      </c>
      <c r="J58" s="38">
        <v>0.5633</v>
      </c>
      <c r="K58" s="38">
        <v>0.2811</v>
      </c>
      <c r="L58" s="38">
        <v>0.8418</v>
      </c>
      <c r="M58" s="38">
        <v>0.5381</v>
      </c>
    </row>
    <row r="59">
      <c r="A59" s="37" t="s">
        <v>2024</v>
      </c>
      <c r="B59" s="37" t="s">
        <v>339</v>
      </c>
      <c r="C59" s="37" t="s">
        <v>54</v>
      </c>
      <c r="D59" s="38">
        <v>4.0</v>
      </c>
      <c r="E59" s="38">
        <v>3.0</v>
      </c>
      <c r="F59" s="38">
        <v>5.0</v>
      </c>
      <c r="G59" s="38">
        <v>1.0</v>
      </c>
      <c r="H59" s="38">
        <v>5210.0</v>
      </c>
      <c r="I59" s="38">
        <v>0.759</v>
      </c>
      <c r="J59" s="38">
        <v>0.8649</v>
      </c>
      <c r="K59" s="38">
        <v>0.6486</v>
      </c>
      <c r="L59" s="38">
        <v>1.0</v>
      </c>
      <c r="M59" s="38">
        <v>0.759</v>
      </c>
    </row>
    <row r="60">
      <c r="A60" s="37" t="s">
        <v>2024</v>
      </c>
      <c r="B60" s="37" t="s">
        <v>339</v>
      </c>
      <c r="C60" s="37" t="s">
        <v>54</v>
      </c>
      <c r="D60" s="38">
        <v>4.0</v>
      </c>
      <c r="E60" s="38">
        <v>4.0</v>
      </c>
      <c r="F60" s="38">
        <v>5.0</v>
      </c>
      <c r="G60" s="38">
        <v>1.0</v>
      </c>
      <c r="H60" s="38">
        <v>5210.0</v>
      </c>
      <c r="I60" s="38">
        <v>0.9889</v>
      </c>
      <c r="J60" s="38">
        <v>1.0</v>
      </c>
      <c r="K60" s="38">
        <v>1.0</v>
      </c>
      <c r="L60" s="38">
        <v>1.0</v>
      </c>
      <c r="M60" s="38">
        <v>0.9889</v>
      </c>
    </row>
    <row r="61">
      <c r="A61" s="37" t="s">
        <v>2024</v>
      </c>
      <c r="B61" s="37" t="s">
        <v>339</v>
      </c>
      <c r="C61" s="37" t="s">
        <v>54</v>
      </c>
      <c r="D61" s="38">
        <v>4.0</v>
      </c>
      <c r="E61" s="38">
        <v>5.0</v>
      </c>
      <c r="F61" s="38">
        <v>5.0</v>
      </c>
      <c r="G61" s="38">
        <v>1.0</v>
      </c>
      <c r="H61" s="38">
        <v>5210.0</v>
      </c>
      <c r="I61" s="38">
        <v>1.0</v>
      </c>
      <c r="J61" s="38">
        <v>1.0</v>
      </c>
      <c r="K61" s="38">
        <v>1.0</v>
      </c>
      <c r="L61" s="38">
        <v>1.0</v>
      </c>
      <c r="M61" s="38">
        <v>1.0</v>
      </c>
    </row>
    <row r="62">
      <c r="A62" s="37" t="s">
        <v>2024</v>
      </c>
      <c r="B62" s="37" t="s">
        <v>137</v>
      </c>
      <c r="C62" s="37" t="s">
        <v>55</v>
      </c>
      <c r="D62" s="38">
        <v>5.0</v>
      </c>
      <c r="E62" s="38">
        <v>1.0</v>
      </c>
      <c r="F62" s="38">
        <v>5.0</v>
      </c>
      <c r="G62" s="38">
        <v>1.0</v>
      </c>
      <c r="H62" s="38">
        <v>1256.0</v>
      </c>
      <c r="I62" s="38">
        <v>0.3378</v>
      </c>
      <c r="J62" s="38">
        <v>0.2929</v>
      </c>
      <c r="K62" s="38">
        <v>0.0</v>
      </c>
      <c r="L62" s="38">
        <v>0.5904</v>
      </c>
      <c r="M62" s="38">
        <v>0.3382</v>
      </c>
    </row>
    <row r="63">
      <c r="A63" s="37" t="s">
        <v>2024</v>
      </c>
      <c r="B63" s="37" t="s">
        <v>137</v>
      </c>
      <c r="C63" s="37" t="s">
        <v>55</v>
      </c>
      <c r="D63" s="38">
        <v>5.0</v>
      </c>
      <c r="E63" s="38">
        <v>2.0</v>
      </c>
      <c r="F63" s="38">
        <v>5.0</v>
      </c>
      <c r="G63" s="38">
        <v>1.0</v>
      </c>
      <c r="H63" s="38">
        <v>1256.0</v>
      </c>
      <c r="I63" s="38">
        <v>0.6039</v>
      </c>
      <c r="J63" s="38">
        <v>0.7397</v>
      </c>
      <c r="K63" s="38">
        <v>0.0873</v>
      </c>
      <c r="L63" s="38">
        <v>1.0</v>
      </c>
      <c r="M63" s="38">
        <v>0.6045</v>
      </c>
    </row>
    <row r="64">
      <c r="A64" s="37" t="s">
        <v>2024</v>
      </c>
      <c r="B64" s="37" t="s">
        <v>137</v>
      </c>
      <c r="C64" s="37" t="s">
        <v>55</v>
      </c>
      <c r="D64" s="38">
        <v>5.0</v>
      </c>
      <c r="E64" s="38">
        <v>3.0</v>
      </c>
      <c r="F64" s="38">
        <v>5.0</v>
      </c>
      <c r="G64" s="38">
        <v>1.0</v>
      </c>
      <c r="H64" s="38">
        <v>1256.0</v>
      </c>
      <c r="I64" s="38">
        <v>0.8105</v>
      </c>
      <c r="J64" s="38">
        <v>1.0</v>
      </c>
      <c r="K64" s="38">
        <v>0.7705</v>
      </c>
      <c r="L64" s="38">
        <v>1.0</v>
      </c>
      <c r="M64" s="38">
        <v>0.8111</v>
      </c>
    </row>
    <row r="65">
      <c r="A65" s="37" t="s">
        <v>2024</v>
      </c>
      <c r="B65" s="37" t="s">
        <v>137</v>
      </c>
      <c r="C65" s="37" t="s">
        <v>55</v>
      </c>
      <c r="D65" s="38">
        <v>5.0</v>
      </c>
      <c r="E65" s="38">
        <v>4.0</v>
      </c>
      <c r="F65" s="38">
        <v>5.0</v>
      </c>
      <c r="G65" s="38">
        <v>1.0</v>
      </c>
      <c r="H65" s="38">
        <v>1256.0</v>
      </c>
      <c r="I65" s="38">
        <v>0.9872</v>
      </c>
      <c r="J65" s="38">
        <v>1.0</v>
      </c>
      <c r="K65" s="38">
        <v>1.0</v>
      </c>
      <c r="L65" s="38">
        <v>1.0</v>
      </c>
      <c r="M65" s="38">
        <v>0.9873</v>
      </c>
    </row>
    <row r="66">
      <c r="A66" s="37" t="s">
        <v>2024</v>
      </c>
      <c r="B66" s="37" t="s">
        <v>137</v>
      </c>
      <c r="C66" s="37" t="s">
        <v>55</v>
      </c>
      <c r="D66" s="38">
        <v>5.0</v>
      </c>
      <c r="E66" s="38">
        <v>5.0</v>
      </c>
      <c r="F66" s="38">
        <v>5.0</v>
      </c>
      <c r="G66" s="38">
        <v>1.0</v>
      </c>
      <c r="H66" s="38">
        <v>1256.0</v>
      </c>
      <c r="I66" s="38">
        <v>1.0</v>
      </c>
      <c r="J66" s="38">
        <v>1.0</v>
      </c>
      <c r="K66" s="38">
        <v>1.0</v>
      </c>
      <c r="L66" s="38">
        <v>1.0</v>
      </c>
      <c r="M66" s="38">
        <v>1.0</v>
      </c>
    </row>
    <row r="67">
      <c r="A67" s="37" t="s">
        <v>2024</v>
      </c>
      <c r="B67" s="37" t="s">
        <v>339</v>
      </c>
      <c r="C67" s="37" t="s">
        <v>55</v>
      </c>
      <c r="D67" s="38">
        <v>5.0</v>
      </c>
      <c r="E67" s="38">
        <v>1.0</v>
      </c>
      <c r="F67" s="38">
        <v>5.0</v>
      </c>
      <c r="G67" s="38">
        <v>1.0</v>
      </c>
      <c r="H67" s="38">
        <v>655.0</v>
      </c>
      <c r="I67" s="38">
        <v>0.3293</v>
      </c>
      <c r="J67" s="38">
        <v>0.2578</v>
      </c>
      <c r="K67" s="38">
        <v>0.0</v>
      </c>
      <c r="L67" s="38">
        <v>0.5925</v>
      </c>
      <c r="M67" s="38">
        <v>0.3296</v>
      </c>
    </row>
    <row r="68">
      <c r="A68" s="37" t="s">
        <v>2024</v>
      </c>
      <c r="B68" s="37" t="s">
        <v>339</v>
      </c>
      <c r="C68" s="37" t="s">
        <v>55</v>
      </c>
      <c r="D68" s="38">
        <v>5.0</v>
      </c>
      <c r="E68" s="38">
        <v>2.0</v>
      </c>
      <c r="F68" s="38">
        <v>5.0</v>
      </c>
      <c r="G68" s="38">
        <v>1.0</v>
      </c>
      <c r="H68" s="38">
        <v>655.0</v>
      </c>
      <c r="I68" s="38">
        <v>0.5772</v>
      </c>
      <c r="J68" s="38">
        <v>0.6935</v>
      </c>
      <c r="K68" s="38">
        <v>2.0E-4</v>
      </c>
      <c r="L68" s="38">
        <v>1.0</v>
      </c>
      <c r="M68" s="38">
        <v>0.5776</v>
      </c>
    </row>
    <row r="69">
      <c r="A69" s="37" t="s">
        <v>2024</v>
      </c>
      <c r="B69" s="37" t="s">
        <v>339</v>
      </c>
      <c r="C69" s="37" t="s">
        <v>55</v>
      </c>
      <c r="D69" s="38">
        <v>5.0</v>
      </c>
      <c r="E69" s="38">
        <v>3.0</v>
      </c>
      <c r="F69" s="38">
        <v>5.0</v>
      </c>
      <c r="G69" s="38">
        <v>1.0</v>
      </c>
      <c r="H69" s="38">
        <v>655.0</v>
      </c>
      <c r="I69" s="38">
        <v>0.7834</v>
      </c>
      <c r="J69" s="38">
        <v>0.9996</v>
      </c>
      <c r="K69" s="38">
        <v>0.6988</v>
      </c>
      <c r="L69" s="38">
        <v>1.0</v>
      </c>
      <c r="M69" s="38">
        <v>0.7839</v>
      </c>
    </row>
    <row r="70">
      <c r="A70" s="37" t="s">
        <v>2024</v>
      </c>
      <c r="B70" s="37" t="s">
        <v>339</v>
      </c>
      <c r="C70" s="37" t="s">
        <v>55</v>
      </c>
      <c r="D70" s="38">
        <v>5.0</v>
      </c>
      <c r="E70" s="38">
        <v>4.0</v>
      </c>
      <c r="F70" s="38">
        <v>5.0</v>
      </c>
      <c r="G70" s="38">
        <v>1.0</v>
      </c>
      <c r="H70" s="38">
        <v>655.0</v>
      </c>
      <c r="I70" s="38">
        <v>0.9822</v>
      </c>
      <c r="J70" s="38">
        <v>1.0</v>
      </c>
      <c r="K70" s="38">
        <v>1.0</v>
      </c>
      <c r="L70" s="38">
        <v>1.0</v>
      </c>
      <c r="M70" s="38">
        <v>0.9823</v>
      </c>
    </row>
    <row r="71">
      <c r="A71" s="37" t="s">
        <v>2024</v>
      </c>
      <c r="B71" s="37" t="s">
        <v>339</v>
      </c>
      <c r="C71" s="37" t="s">
        <v>55</v>
      </c>
      <c r="D71" s="38">
        <v>5.0</v>
      </c>
      <c r="E71" s="38">
        <v>5.0</v>
      </c>
      <c r="F71" s="38">
        <v>5.0</v>
      </c>
      <c r="G71" s="38">
        <v>1.0</v>
      </c>
      <c r="H71" s="38">
        <v>655.0</v>
      </c>
      <c r="I71" s="38">
        <v>1.0</v>
      </c>
      <c r="J71" s="38">
        <v>1.0</v>
      </c>
      <c r="K71" s="38">
        <v>1.0</v>
      </c>
      <c r="L71" s="38">
        <v>1.0</v>
      </c>
      <c r="M71" s="38">
        <v>1.0</v>
      </c>
    </row>
    <row r="72">
      <c r="A72" s="37" t="s">
        <v>7</v>
      </c>
      <c r="B72" s="37" t="s">
        <v>137</v>
      </c>
      <c r="C72" s="37" t="s">
        <v>51</v>
      </c>
      <c r="D72" s="38">
        <v>1.0</v>
      </c>
      <c r="E72" s="38">
        <v>1.0</v>
      </c>
      <c r="F72" s="38">
        <v>2.0</v>
      </c>
      <c r="G72" s="38">
        <v>4.0</v>
      </c>
      <c r="H72" s="38">
        <v>81656.0</v>
      </c>
      <c r="I72" s="38">
        <v>0.9179</v>
      </c>
      <c r="J72" s="38">
        <v>1.0</v>
      </c>
      <c r="K72" s="38">
        <v>1.0</v>
      </c>
      <c r="L72" s="38">
        <v>1.0</v>
      </c>
      <c r="M72" s="38">
        <v>0.9179</v>
      </c>
    </row>
    <row r="73">
      <c r="A73" s="37" t="s">
        <v>7</v>
      </c>
      <c r="B73" s="37" t="s">
        <v>137</v>
      </c>
      <c r="C73" s="37" t="s">
        <v>51</v>
      </c>
      <c r="D73" s="38">
        <v>1.0</v>
      </c>
      <c r="E73" s="38">
        <v>2.0</v>
      </c>
      <c r="F73" s="38">
        <v>2.0</v>
      </c>
      <c r="G73" s="38">
        <v>4.0</v>
      </c>
      <c r="H73" s="38">
        <v>81656.0</v>
      </c>
      <c r="I73" s="38">
        <v>1.0</v>
      </c>
      <c r="J73" s="38">
        <v>1.0</v>
      </c>
      <c r="K73" s="38">
        <v>1.0</v>
      </c>
      <c r="L73" s="38">
        <v>1.0</v>
      </c>
      <c r="M73" s="38">
        <v>1.0</v>
      </c>
    </row>
    <row r="74">
      <c r="A74" s="37" t="s">
        <v>7</v>
      </c>
      <c r="B74" s="37" t="s">
        <v>339</v>
      </c>
      <c r="C74" s="37" t="s">
        <v>51</v>
      </c>
      <c r="D74" s="38">
        <v>1.0</v>
      </c>
      <c r="E74" s="38">
        <v>1.0</v>
      </c>
      <c r="F74" s="38">
        <v>2.0</v>
      </c>
      <c r="G74" s="38">
        <v>4.0</v>
      </c>
      <c r="H74" s="38">
        <v>61185.0</v>
      </c>
      <c r="I74" s="38">
        <v>0.9135</v>
      </c>
      <c r="J74" s="38">
        <v>1.0</v>
      </c>
      <c r="K74" s="38">
        <v>1.0</v>
      </c>
      <c r="L74" s="38">
        <v>1.0</v>
      </c>
      <c r="M74" s="38">
        <v>0.9134</v>
      </c>
    </row>
    <row r="75">
      <c r="A75" s="37" t="s">
        <v>7</v>
      </c>
      <c r="B75" s="37" t="s">
        <v>339</v>
      </c>
      <c r="C75" s="37" t="s">
        <v>51</v>
      </c>
      <c r="D75" s="38">
        <v>1.0</v>
      </c>
      <c r="E75" s="38">
        <v>2.0</v>
      </c>
      <c r="F75" s="38">
        <v>2.0</v>
      </c>
      <c r="G75" s="38">
        <v>4.0</v>
      </c>
      <c r="H75" s="38">
        <v>61185.0</v>
      </c>
      <c r="I75" s="38">
        <v>1.0</v>
      </c>
      <c r="J75" s="38">
        <v>1.0</v>
      </c>
      <c r="K75" s="38">
        <v>1.0</v>
      </c>
      <c r="L75" s="38">
        <v>1.0</v>
      </c>
      <c r="M75" s="38">
        <v>1.0</v>
      </c>
    </row>
    <row r="76">
      <c r="A76" s="37" t="s">
        <v>7</v>
      </c>
      <c r="B76" s="37" t="s">
        <v>137</v>
      </c>
      <c r="C76" s="37" t="s">
        <v>52</v>
      </c>
      <c r="D76" s="38">
        <v>2.0</v>
      </c>
      <c r="E76" s="38">
        <v>1.0</v>
      </c>
      <c r="F76" s="38">
        <v>2.0</v>
      </c>
      <c r="G76" s="38">
        <v>4.0</v>
      </c>
      <c r="H76" s="38">
        <v>69459.0</v>
      </c>
      <c r="I76" s="38">
        <v>0.9247</v>
      </c>
      <c r="J76" s="38">
        <v>1.0</v>
      </c>
      <c r="K76" s="38">
        <v>0.9998</v>
      </c>
      <c r="L76" s="38">
        <v>1.0</v>
      </c>
      <c r="M76" s="38">
        <v>0.9245</v>
      </c>
    </row>
    <row r="77">
      <c r="A77" s="37" t="s">
        <v>7</v>
      </c>
      <c r="B77" s="37" t="s">
        <v>137</v>
      </c>
      <c r="C77" s="37" t="s">
        <v>52</v>
      </c>
      <c r="D77" s="38">
        <v>2.0</v>
      </c>
      <c r="E77" s="38">
        <v>2.0</v>
      </c>
      <c r="F77" s="38">
        <v>2.0</v>
      </c>
      <c r="G77" s="38">
        <v>4.0</v>
      </c>
      <c r="H77" s="38">
        <v>69459.0</v>
      </c>
      <c r="I77" s="38">
        <v>1.0</v>
      </c>
      <c r="J77" s="38">
        <v>1.0</v>
      </c>
      <c r="K77" s="38">
        <v>1.0</v>
      </c>
      <c r="L77" s="38">
        <v>1.0</v>
      </c>
      <c r="M77" s="38">
        <v>1.0</v>
      </c>
    </row>
    <row r="78">
      <c r="A78" s="37" t="s">
        <v>7</v>
      </c>
      <c r="B78" s="37" t="s">
        <v>339</v>
      </c>
      <c r="C78" s="37" t="s">
        <v>52</v>
      </c>
      <c r="D78" s="38">
        <v>2.0</v>
      </c>
      <c r="E78" s="38">
        <v>1.0</v>
      </c>
      <c r="F78" s="38">
        <v>2.0</v>
      </c>
      <c r="G78" s="38">
        <v>4.0</v>
      </c>
      <c r="H78" s="38">
        <v>41047.0</v>
      </c>
      <c r="I78" s="38">
        <v>0.9153</v>
      </c>
      <c r="J78" s="38">
        <v>1.0</v>
      </c>
      <c r="K78" s="38">
        <v>0.9986</v>
      </c>
      <c r="L78" s="38">
        <v>1.0</v>
      </c>
      <c r="M78" s="38">
        <v>0.9152</v>
      </c>
    </row>
    <row r="79">
      <c r="A79" s="37" t="s">
        <v>7</v>
      </c>
      <c r="B79" s="37" t="s">
        <v>339</v>
      </c>
      <c r="C79" s="37" t="s">
        <v>52</v>
      </c>
      <c r="D79" s="38">
        <v>2.0</v>
      </c>
      <c r="E79" s="38">
        <v>2.0</v>
      </c>
      <c r="F79" s="38">
        <v>2.0</v>
      </c>
      <c r="G79" s="38">
        <v>4.0</v>
      </c>
      <c r="H79" s="38">
        <v>41047.0</v>
      </c>
      <c r="I79" s="38">
        <v>1.0</v>
      </c>
      <c r="J79" s="38">
        <v>1.0</v>
      </c>
      <c r="K79" s="38">
        <v>1.0</v>
      </c>
      <c r="L79" s="38">
        <v>1.0</v>
      </c>
      <c r="M79" s="38">
        <v>1.0</v>
      </c>
    </row>
    <row r="80">
      <c r="A80" s="37" t="s">
        <v>7</v>
      </c>
      <c r="B80" s="37" t="s">
        <v>137</v>
      </c>
      <c r="C80" s="37" t="s">
        <v>53</v>
      </c>
      <c r="D80" s="38">
        <v>3.0</v>
      </c>
      <c r="E80" s="38">
        <v>1.0</v>
      </c>
      <c r="F80" s="38">
        <v>2.0</v>
      </c>
      <c r="G80" s="38">
        <v>4.0</v>
      </c>
      <c r="H80" s="38">
        <v>40566.0</v>
      </c>
      <c r="I80" s="38">
        <v>0.9239</v>
      </c>
      <c r="J80" s="38">
        <v>1.0</v>
      </c>
      <c r="K80" s="38">
        <v>0.989</v>
      </c>
      <c r="L80" s="38">
        <v>1.0</v>
      </c>
      <c r="M80" s="38">
        <v>0.9239</v>
      </c>
    </row>
    <row r="81">
      <c r="A81" s="37" t="s">
        <v>7</v>
      </c>
      <c r="B81" s="37" t="s">
        <v>137</v>
      </c>
      <c r="C81" s="37" t="s">
        <v>53</v>
      </c>
      <c r="D81" s="38">
        <v>3.0</v>
      </c>
      <c r="E81" s="38">
        <v>2.0</v>
      </c>
      <c r="F81" s="38">
        <v>2.0</v>
      </c>
      <c r="G81" s="38">
        <v>4.0</v>
      </c>
      <c r="H81" s="38">
        <v>40566.0</v>
      </c>
      <c r="I81" s="38">
        <v>1.0</v>
      </c>
      <c r="J81" s="38">
        <v>1.0</v>
      </c>
      <c r="K81" s="38">
        <v>1.0</v>
      </c>
      <c r="L81" s="38">
        <v>1.0</v>
      </c>
      <c r="M81" s="38">
        <v>1.0</v>
      </c>
    </row>
    <row r="82">
      <c r="A82" s="37" t="s">
        <v>7</v>
      </c>
      <c r="B82" s="37" t="s">
        <v>339</v>
      </c>
      <c r="C82" s="37" t="s">
        <v>53</v>
      </c>
      <c r="D82" s="38">
        <v>3.0</v>
      </c>
      <c r="E82" s="38">
        <v>1.0</v>
      </c>
      <c r="F82" s="38">
        <v>2.0</v>
      </c>
      <c r="G82" s="38">
        <v>4.0</v>
      </c>
      <c r="H82" s="38">
        <v>23009.0</v>
      </c>
      <c r="I82" s="38">
        <v>0.9105</v>
      </c>
      <c r="J82" s="38">
        <v>1.0</v>
      </c>
      <c r="K82" s="38">
        <v>0.9818</v>
      </c>
      <c r="L82" s="38">
        <v>1.0</v>
      </c>
      <c r="M82" s="38">
        <v>0.9104</v>
      </c>
    </row>
    <row r="83">
      <c r="A83" s="37" t="s">
        <v>7</v>
      </c>
      <c r="B83" s="37" t="s">
        <v>339</v>
      </c>
      <c r="C83" s="37" t="s">
        <v>53</v>
      </c>
      <c r="D83" s="38">
        <v>3.0</v>
      </c>
      <c r="E83" s="38">
        <v>2.0</v>
      </c>
      <c r="F83" s="38">
        <v>2.0</v>
      </c>
      <c r="G83" s="38">
        <v>4.0</v>
      </c>
      <c r="H83" s="38">
        <v>23009.0</v>
      </c>
      <c r="I83" s="38">
        <v>1.0</v>
      </c>
      <c r="J83" s="38">
        <v>1.0</v>
      </c>
      <c r="K83" s="38">
        <v>1.0</v>
      </c>
      <c r="L83" s="38">
        <v>1.0</v>
      </c>
      <c r="M83" s="38">
        <v>1.0</v>
      </c>
    </row>
    <row r="84">
      <c r="A84" s="37" t="s">
        <v>7</v>
      </c>
      <c r="B84" s="37" t="s">
        <v>137</v>
      </c>
      <c r="C84" s="37" t="s">
        <v>54</v>
      </c>
      <c r="D84" s="38">
        <v>4.0</v>
      </c>
      <c r="E84" s="38">
        <v>1.0</v>
      </c>
      <c r="F84" s="38">
        <v>2.0</v>
      </c>
      <c r="G84" s="38">
        <v>4.0</v>
      </c>
      <c r="H84" s="38">
        <v>17858.0</v>
      </c>
      <c r="I84" s="38">
        <v>0.931</v>
      </c>
      <c r="J84" s="38">
        <v>1.0</v>
      </c>
      <c r="K84" s="38">
        <v>0.9756</v>
      </c>
      <c r="L84" s="38">
        <v>1.0</v>
      </c>
      <c r="M84" s="38">
        <v>0.9312</v>
      </c>
    </row>
    <row r="85">
      <c r="A85" s="37" t="s">
        <v>7</v>
      </c>
      <c r="B85" s="37" t="s">
        <v>137</v>
      </c>
      <c r="C85" s="37" t="s">
        <v>54</v>
      </c>
      <c r="D85" s="38">
        <v>4.0</v>
      </c>
      <c r="E85" s="38">
        <v>2.0</v>
      </c>
      <c r="F85" s="38">
        <v>2.0</v>
      </c>
      <c r="G85" s="38">
        <v>4.0</v>
      </c>
      <c r="H85" s="38">
        <v>17858.0</v>
      </c>
      <c r="I85" s="38">
        <v>1.0</v>
      </c>
      <c r="J85" s="38">
        <v>1.0</v>
      </c>
      <c r="K85" s="38">
        <v>1.0</v>
      </c>
      <c r="L85" s="38">
        <v>1.0</v>
      </c>
      <c r="M85" s="38">
        <v>1.0</v>
      </c>
    </row>
    <row r="86">
      <c r="A86" s="37" t="s">
        <v>7</v>
      </c>
      <c r="B86" s="37" t="s">
        <v>339</v>
      </c>
      <c r="C86" s="37" t="s">
        <v>54</v>
      </c>
      <c r="D86" s="38">
        <v>4.0</v>
      </c>
      <c r="E86" s="38">
        <v>1.0</v>
      </c>
      <c r="F86" s="38">
        <v>2.0</v>
      </c>
      <c r="G86" s="38">
        <v>4.0</v>
      </c>
      <c r="H86" s="38">
        <v>10127.0</v>
      </c>
      <c r="I86" s="38">
        <v>0.9175</v>
      </c>
      <c r="J86" s="38">
        <v>1.0</v>
      </c>
      <c r="K86" s="38">
        <v>0.971</v>
      </c>
      <c r="L86" s="38">
        <v>1.0</v>
      </c>
      <c r="M86" s="38">
        <v>0.9176</v>
      </c>
    </row>
    <row r="87">
      <c r="A87" s="37" t="s">
        <v>7</v>
      </c>
      <c r="B87" s="37" t="s">
        <v>339</v>
      </c>
      <c r="C87" s="37" t="s">
        <v>54</v>
      </c>
      <c r="D87" s="38">
        <v>4.0</v>
      </c>
      <c r="E87" s="38">
        <v>2.0</v>
      </c>
      <c r="F87" s="38">
        <v>2.0</v>
      </c>
      <c r="G87" s="38">
        <v>4.0</v>
      </c>
      <c r="H87" s="38">
        <v>10127.0</v>
      </c>
      <c r="I87" s="38">
        <v>1.0</v>
      </c>
      <c r="J87" s="38">
        <v>1.0</v>
      </c>
      <c r="K87" s="38">
        <v>1.0</v>
      </c>
      <c r="L87" s="38">
        <v>1.0</v>
      </c>
      <c r="M87" s="38">
        <v>1.0</v>
      </c>
    </row>
    <row r="88">
      <c r="A88" s="37" t="s">
        <v>7</v>
      </c>
      <c r="B88" s="37" t="s">
        <v>137</v>
      </c>
      <c r="C88" s="37" t="s">
        <v>55</v>
      </c>
      <c r="D88" s="38">
        <v>5.0</v>
      </c>
      <c r="E88" s="38">
        <v>1.0</v>
      </c>
      <c r="F88" s="38">
        <v>2.0</v>
      </c>
      <c r="G88" s="38">
        <v>4.0</v>
      </c>
      <c r="H88" s="38">
        <v>2784.0</v>
      </c>
      <c r="I88" s="38">
        <v>0.9285</v>
      </c>
      <c r="J88" s="38">
        <v>0.9995</v>
      </c>
      <c r="K88" s="38">
        <v>0.9294</v>
      </c>
      <c r="L88" s="38">
        <v>1.0</v>
      </c>
      <c r="M88" s="38">
        <v>0.9292</v>
      </c>
    </row>
    <row r="89">
      <c r="A89" s="37" t="s">
        <v>7</v>
      </c>
      <c r="B89" s="37" t="s">
        <v>137</v>
      </c>
      <c r="C89" s="37" t="s">
        <v>55</v>
      </c>
      <c r="D89" s="38">
        <v>5.0</v>
      </c>
      <c r="E89" s="38">
        <v>2.0</v>
      </c>
      <c r="F89" s="38">
        <v>2.0</v>
      </c>
      <c r="G89" s="38">
        <v>4.0</v>
      </c>
      <c r="H89" s="38">
        <v>2784.0</v>
      </c>
      <c r="I89" s="38">
        <v>1.0</v>
      </c>
      <c r="J89" s="38">
        <v>1.0</v>
      </c>
      <c r="K89" s="38">
        <v>1.0</v>
      </c>
      <c r="L89" s="38">
        <v>1.0</v>
      </c>
      <c r="M89" s="38">
        <v>1.0</v>
      </c>
    </row>
    <row r="90">
      <c r="A90" s="37" t="s">
        <v>7</v>
      </c>
      <c r="B90" s="37" t="s">
        <v>339</v>
      </c>
      <c r="C90" s="37" t="s">
        <v>55</v>
      </c>
      <c r="D90" s="38">
        <v>5.0</v>
      </c>
      <c r="E90" s="38">
        <v>1.0</v>
      </c>
      <c r="F90" s="38">
        <v>2.0</v>
      </c>
      <c r="G90" s="38">
        <v>4.0</v>
      </c>
      <c r="H90" s="38">
        <v>1569.0</v>
      </c>
      <c r="I90" s="38">
        <v>0.9107</v>
      </c>
      <c r="J90" s="38">
        <v>1.0</v>
      </c>
      <c r="K90" s="38">
        <v>0.9353</v>
      </c>
      <c r="L90" s="38">
        <v>1.0</v>
      </c>
      <c r="M90" s="38">
        <v>0.9115</v>
      </c>
    </row>
    <row r="91">
      <c r="A91" s="37" t="s">
        <v>7</v>
      </c>
      <c r="B91" s="37" t="s">
        <v>339</v>
      </c>
      <c r="C91" s="37" t="s">
        <v>55</v>
      </c>
      <c r="D91" s="38">
        <v>5.0</v>
      </c>
      <c r="E91" s="38">
        <v>2.0</v>
      </c>
      <c r="F91" s="38">
        <v>2.0</v>
      </c>
      <c r="G91" s="38">
        <v>4.0</v>
      </c>
      <c r="H91" s="38">
        <v>1569.0</v>
      </c>
      <c r="I91" s="38">
        <v>1.0</v>
      </c>
      <c r="J91" s="38">
        <v>1.0</v>
      </c>
      <c r="K91" s="38">
        <v>1.0</v>
      </c>
      <c r="L91" s="38">
        <v>1.0</v>
      </c>
      <c r="M91" s="38">
        <v>1.0</v>
      </c>
    </row>
    <row r="92">
      <c r="A92" s="37" t="s">
        <v>2025</v>
      </c>
      <c r="B92" s="37" t="s">
        <v>137</v>
      </c>
      <c r="C92" s="37" t="s">
        <v>51</v>
      </c>
      <c r="D92" s="38">
        <v>1.0</v>
      </c>
      <c r="E92" s="38">
        <v>1.0</v>
      </c>
      <c r="F92" s="38">
        <v>2.0</v>
      </c>
      <c r="G92" s="38">
        <v>45.0</v>
      </c>
      <c r="H92" s="38">
        <v>73420.0</v>
      </c>
      <c r="I92" s="38">
        <v>0.9424</v>
      </c>
      <c r="J92" s="38">
        <v>1.0</v>
      </c>
      <c r="K92" s="38">
        <v>1.0</v>
      </c>
      <c r="L92" s="38">
        <v>1.0</v>
      </c>
      <c r="M92" s="38">
        <v>0.9456</v>
      </c>
    </row>
    <row r="93">
      <c r="A93" s="37" t="s">
        <v>2025</v>
      </c>
      <c r="B93" s="37" t="s">
        <v>137</v>
      </c>
      <c r="C93" s="37" t="s">
        <v>51</v>
      </c>
      <c r="D93" s="38">
        <v>1.0</v>
      </c>
      <c r="E93" s="38">
        <v>2.0</v>
      </c>
      <c r="F93" s="38">
        <v>2.0</v>
      </c>
      <c r="G93" s="38">
        <v>45.0</v>
      </c>
      <c r="H93" s="38">
        <v>73420.0</v>
      </c>
      <c r="I93" s="38">
        <v>1.0</v>
      </c>
      <c r="J93" s="38">
        <v>1.0</v>
      </c>
      <c r="K93" s="38">
        <v>1.0</v>
      </c>
      <c r="L93" s="38">
        <v>1.0</v>
      </c>
      <c r="M93" s="38">
        <v>1.0</v>
      </c>
    </row>
    <row r="94">
      <c r="A94" s="37" t="s">
        <v>2025</v>
      </c>
      <c r="B94" s="37" t="s">
        <v>339</v>
      </c>
      <c r="C94" s="37" t="s">
        <v>51</v>
      </c>
      <c r="D94" s="38">
        <v>1.0</v>
      </c>
      <c r="E94" s="38">
        <v>1.0</v>
      </c>
      <c r="F94" s="38">
        <v>2.0</v>
      </c>
      <c r="G94" s="38">
        <v>44.0</v>
      </c>
      <c r="H94" s="38">
        <v>58548.0</v>
      </c>
      <c r="I94" s="38">
        <v>0.9429</v>
      </c>
      <c r="J94" s="38">
        <v>1.0</v>
      </c>
      <c r="K94" s="38">
        <v>1.0</v>
      </c>
      <c r="L94" s="38">
        <v>1.0</v>
      </c>
      <c r="M94" s="38">
        <v>0.9451</v>
      </c>
    </row>
    <row r="95">
      <c r="A95" s="37" t="s">
        <v>2025</v>
      </c>
      <c r="B95" s="37" t="s">
        <v>339</v>
      </c>
      <c r="C95" s="37" t="s">
        <v>51</v>
      </c>
      <c r="D95" s="38">
        <v>1.0</v>
      </c>
      <c r="E95" s="38">
        <v>2.0</v>
      </c>
      <c r="F95" s="38">
        <v>2.0</v>
      </c>
      <c r="G95" s="38">
        <v>44.0</v>
      </c>
      <c r="H95" s="38">
        <v>58548.0</v>
      </c>
      <c r="I95" s="38">
        <v>1.0</v>
      </c>
      <c r="J95" s="38">
        <v>1.0</v>
      </c>
      <c r="K95" s="38">
        <v>1.0</v>
      </c>
      <c r="L95" s="38">
        <v>1.0</v>
      </c>
      <c r="M95" s="38">
        <v>1.0</v>
      </c>
    </row>
    <row r="96">
      <c r="A96" s="37" t="s">
        <v>2025</v>
      </c>
      <c r="B96" s="37" t="s">
        <v>137</v>
      </c>
      <c r="C96" s="37" t="s">
        <v>52</v>
      </c>
      <c r="D96" s="38">
        <v>2.0</v>
      </c>
      <c r="E96" s="38">
        <v>1.0</v>
      </c>
      <c r="F96" s="38">
        <v>2.0</v>
      </c>
      <c r="G96" s="38">
        <v>46.0</v>
      </c>
      <c r="H96" s="38">
        <v>63115.0</v>
      </c>
      <c r="I96" s="38">
        <v>0.9454</v>
      </c>
      <c r="J96" s="38">
        <v>1.0</v>
      </c>
      <c r="K96" s="38">
        <v>1.0</v>
      </c>
      <c r="L96" s="38">
        <v>1.0</v>
      </c>
      <c r="M96" s="38">
        <v>0.9499</v>
      </c>
    </row>
    <row r="97">
      <c r="A97" s="37" t="s">
        <v>2025</v>
      </c>
      <c r="B97" s="37" t="s">
        <v>137</v>
      </c>
      <c r="C97" s="37" t="s">
        <v>52</v>
      </c>
      <c r="D97" s="38">
        <v>2.0</v>
      </c>
      <c r="E97" s="38">
        <v>2.0</v>
      </c>
      <c r="F97" s="38">
        <v>2.0</v>
      </c>
      <c r="G97" s="38">
        <v>46.0</v>
      </c>
      <c r="H97" s="38">
        <v>63115.0</v>
      </c>
      <c r="I97" s="38">
        <v>1.0</v>
      </c>
      <c r="J97" s="38">
        <v>1.0</v>
      </c>
      <c r="K97" s="38">
        <v>1.0</v>
      </c>
      <c r="L97" s="38">
        <v>1.0</v>
      </c>
      <c r="M97" s="38">
        <v>1.0</v>
      </c>
    </row>
    <row r="98">
      <c r="A98" s="37" t="s">
        <v>2025</v>
      </c>
      <c r="B98" s="37" t="s">
        <v>339</v>
      </c>
      <c r="C98" s="37" t="s">
        <v>52</v>
      </c>
      <c r="D98" s="38">
        <v>2.0</v>
      </c>
      <c r="E98" s="38">
        <v>1.0</v>
      </c>
      <c r="F98" s="38">
        <v>2.0</v>
      </c>
      <c r="G98" s="38">
        <v>46.0</v>
      </c>
      <c r="H98" s="38">
        <v>42016.0</v>
      </c>
      <c r="I98" s="38">
        <v>0.9419</v>
      </c>
      <c r="J98" s="38">
        <v>1.0</v>
      </c>
      <c r="K98" s="38">
        <v>1.0</v>
      </c>
      <c r="L98" s="38">
        <v>1.0</v>
      </c>
      <c r="M98" s="38">
        <v>0.9455</v>
      </c>
    </row>
    <row r="99">
      <c r="A99" s="37" t="s">
        <v>2025</v>
      </c>
      <c r="B99" s="37" t="s">
        <v>339</v>
      </c>
      <c r="C99" s="37" t="s">
        <v>52</v>
      </c>
      <c r="D99" s="38">
        <v>2.0</v>
      </c>
      <c r="E99" s="38">
        <v>2.0</v>
      </c>
      <c r="F99" s="38">
        <v>2.0</v>
      </c>
      <c r="G99" s="38">
        <v>46.0</v>
      </c>
      <c r="H99" s="38">
        <v>42016.0</v>
      </c>
      <c r="I99" s="38">
        <v>1.0</v>
      </c>
      <c r="J99" s="38">
        <v>1.0</v>
      </c>
      <c r="K99" s="38">
        <v>1.0</v>
      </c>
      <c r="L99" s="38">
        <v>1.0</v>
      </c>
      <c r="M99" s="38">
        <v>1.0</v>
      </c>
    </row>
    <row r="100">
      <c r="A100" s="37" t="s">
        <v>2025</v>
      </c>
      <c r="B100" s="37" t="s">
        <v>137</v>
      </c>
      <c r="C100" s="37" t="s">
        <v>53</v>
      </c>
      <c r="D100" s="38">
        <v>3.0</v>
      </c>
      <c r="E100" s="38">
        <v>1.0</v>
      </c>
      <c r="F100" s="38">
        <v>2.0</v>
      </c>
      <c r="G100" s="38">
        <v>47.0</v>
      </c>
      <c r="H100" s="38">
        <v>37858.0</v>
      </c>
      <c r="I100" s="38">
        <v>0.9475</v>
      </c>
      <c r="J100" s="38">
        <v>1.0</v>
      </c>
      <c r="K100" s="38">
        <v>1.0</v>
      </c>
      <c r="L100" s="38">
        <v>1.0</v>
      </c>
      <c r="M100" s="38">
        <v>0.9536</v>
      </c>
    </row>
    <row r="101">
      <c r="A101" s="37" t="s">
        <v>2025</v>
      </c>
      <c r="B101" s="37" t="s">
        <v>137</v>
      </c>
      <c r="C101" s="37" t="s">
        <v>53</v>
      </c>
      <c r="D101" s="38">
        <v>3.0</v>
      </c>
      <c r="E101" s="38">
        <v>2.0</v>
      </c>
      <c r="F101" s="38">
        <v>2.0</v>
      </c>
      <c r="G101" s="38">
        <v>47.0</v>
      </c>
      <c r="H101" s="38">
        <v>37858.0</v>
      </c>
      <c r="I101" s="38">
        <v>1.0</v>
      </c>
      <c r="J101" s="38">
        <v>1.0</v>
      </c>
      <c r="K101" s="38">
        <v>1.0</v>
      </c>
      <c r="L101" s="38">
        <v>1.0</v>
      </c>
      <c r="M101" s="38">
        <v>1.0</v>
      </c>
    </row>
    <row r="102">
      <c r="A102" s="37" t="s">
        <v>2025</v>
      </c>
      <c r="B102" s="37" t="s">
        <v>339</v>
      </c>
      <c r="C102" s="37" t="s">
        <v>53</v>
      </c>
      <c r="D102" s="38">
        <v>3.0</v>
      </c>
      <c r="E102" s="38">
        <v>1.0</v>
      </c>
      <c r="F102" s="38">
        <v>2.0</v>
      </c>
      <c r="G102" s="38">
        <v>46.0</v>
      </c>
      <c r="H102" s="38">
        <v>24642.0</v>
      </c>
      <c r="I102" s="38">
        <v>0.9432</v>
      </c>
      <c r="J102" s="38">
        <v>1.0</v>
      </c>
      <c r="K102" s="38">
        <v>1.0</v>
      </c>
      <c r="L102" s="38">
        <v>1.0</v>
      </c>
      <c r="M102" s="38">
        <v>0.9483</v>
      </c>
    </row>
    <row r="103">
      <c r="A103" s="37" t="s">
        <v>2025</v>
      </c>
      <c r="B103" s="37" t="s">
        <v>339</v>
      </c>
      <c r="C103" s="37" t="s">
        <v>53</v>
      </c>
      <c r="D103" s="38">
        <v>3.0</v>
      </c>
      <c r="E103" s="38">
        <v>2.0</v>
      </c>
      <c r="F103" s="38">
        <v>2.0</v>
      </c>
      <c r="G103" s="38">
        <v>46.0</v>
      </c>
      <c r="H103" s="38">
        <v>24642.0</v>
      </c>
      <c r="I103" s="38">
        <v>1.0</v>
      </c>
      <c r="J103" s="38">
        <v>1.0</v>
      </c>
      <c r="K103" s="38">
        <v>1.0</v>
      </c>
      <c r="L103" s="38">
        <v>1.0</v>
      </c>
      <c r="M103" s="38">
        <v>1.0</v>
      </c>
    </row>
    <row r="104">
      <c r="A104" s="37" t="s">
        <v>2025</v>
      </c>
      <c r="B104" s="37" t="s">
        <v>137</v>
      </c>
      <c r="C104" s="37" t="s">
        <v>54</v>
      </c>
      <c r="D104" s="38">
        <v>4.0</v>
      </c>
      <c r="E104" s="38">
        <v>1.0</v>
      </c>
      <c r="F104" s="38">
        <v>2.0</v>
      </c>
      <c r="G104" s="38">
        <v>46.0</v>
      </c>
      <c r="H104" s="38">
        <v>14153.0</v>
      </c>
      <c r="I104" s="38">
        <v>0.9631</v>
      </c>
      <c r="J104" s="38">
        <v>1.0</v>
      </c>
      <c r="K104" s="38">
        <v>1.0</v>
      </c>
      <c r="L104" s="38">
        <v>1.0</v>
      </c>
      <c r="M104" s="38">
        <v>0.9681</v>
      </c>
    </row>
    <row r="105">
      <c r="A105" s="37" t="s">
        <v>2025</v>
      </c>
      <c r="B105" s="37" t="s">
        <v>137</v>
      </c>
      <c r="C105" s="37" t="s">
        <v>54</v>
      </c>
      <c r="D105" s="38">
        <v>4.0</v>
      </c>
      <c r="E105" s="38">
        <v>2.0</v>
      </c>
      <c r="F105" s="38">
        <v>2.0</v>
      </c>
      <c r="G105" s="38">
        <v>46.0</v>
      </c>
      <c r="H105" s="38">
        <v>14153.0</v>
      </c>
      <c r="I105" s="38">
        <v>1.0</v>
      </c>
      <c r="J105" s="38">
        <v>1.0</v>
      </c>
      <c r="K105" s="38">
        <v>1.0</v>
      </c>
      <c r="L105" s="38">
        <v>1.0</v>
      </c>
      <c r="M105" s="38">
        <v>1.0</v>
      </c>
    </row>
    <row r="106">
      <c r="A106" s="37" t="s">
        <v>2025</v>
      </c>
      <c r="B106" s="37" t="s">
        <v>339</v>
      </c>
      <c r="C106" s="37" t="s">
        <v>54</v>
      </c>
      <c r="D106" s="38">
        <v>4.0</v>
      </c>
      <c r="E106" s="38">
        <v>1.0</v>
      </c>
      <c r="F106" s="38">
        <v>2.0</v>
      </c>
      <c r="G106" s="38">
        <v>46.0</v>
      </c>
      <c r="H106" s="38">
        <v>9756.0</v>
      </c>
      <c r="I106" s="38">
        <v>0.9564</v>
      </c>
      <c r="J106" s="38">
        <v>1.0</v>
      </c>
      <c r="K106" s="38">
        <v>1.0</v>
      </c>
      <c r="L106" s="38">
        <v>1.0</v>
      </c>
      <c r="M106" s="38">
        <v>0.9611</v>
      </c>
    </row>
    <row r="107">
      <c r="A107" s="37" t="s">
        <v>2025</v>
      </c>
      <c r="B107" s="37" t="s">
        <v>339</v>
      </c>
      <c r="C107" s="37" t="s">
        <v>54</v>
      </c>
      <c r="D107" s="38">
        <v>4.0</v>
      </c>
      <c r="E107" s="38">
        <v>2.0</v>
      </c>
      <c r="F107" s="38">
        <v>2.0</v>
      </c>
      <c r="G107" s="38">
        <v>46.0</v>
      </c>
      <c r="H107" s="38">
        <v>9756.0</v>
      </c>
      <c r="I107" s="38">
        <v>1.0</v>
      </c>
      <c r="J107" s="38">
        <v>1.0</v>
      </c>
      <c r="K107" s="38">
        <v>1.0</v>
      </c>
      <c r="L107" s="38">
        <v>1.0</v>
      </c>
      <c r="M107" s="38">
        <v>1.0</v>
      </c>
    </row>
    <row r="108">
      <c r="A108" s="37" t="s">
        <v>2025</v>
      </c>
      <c r="B108" s="37" t="s">
        <v>137</v>
      </c>
      <c r="C108" s="37" t="s">
        <v>55</v>
      </c>
      <c r="D108" s="38">
        <v>5.0</v>
      </c>
      <c r="E108" s="38">
        <v>1.0</v>
      </c>
      <c r="F108" s="38">
        <v>2.0</v>
      </c>
      <c r="G108" s="38">
        <v>45.0</v>
      </c>
      <c r="H108" s="38">
        <v>1640.0</v>
      </c>
      <c r="I108" s="38">
        <v>0.9779</v>
      </c>
      <c r="J108" s="38">
        <v>1.0</v>
      </c>
      <c r="K108" s="38">
        <v>1.0</v>
      </c>
      <c r="L108" s="38">
        <v>1.0</v>
      </c>
      <c r="M108" s="38">
        <v>0.9805</v>
      </c>
    </row>
    <row r="109">
      <c r="A109" s="37" t="s">
        <v>2025</v>
      </c>
      <c r="B109" s="37" t="s">
        <v>137</v>
      </c>
      <c r="C109" s="37" t="s">
        <v>55</v>
      </c>
      <c r="D109" s="38">
        <v>5.0</v>
      </c>
      <c r="E109" s="38">
        <v>2.0</v>
      </c>
      <c r="F109" s="38">
        <v>2.0</v>
      </c>
      <c r="G109" s="38">
        <v>45.0</v>
      </c>
      <c r="H109" s="38">
        <v>1640.0</v>
      </c>
      <c r="I109" s="38">
        <v>1.0</v>
      </c>
      <c r="J109" s="38">
        <v>1.0</v>
      </c>
      <c r="K109" s="38">
        <v>1.0</v>
      </c>
      <c r="L109" s="38">
        <v>1.0</v>
      </c>
      <c r="M109" s="38">
        <v>1.0</v>
      </c>
    </row>
    <row r="110">
      <c r="A110" s="37" t="s">
        <v>2025</v>
      </c>
      <c r="B110" s="37" t="s">
        <v>339</v>
      </c>
      <c r="C110" s="37" t="s">
        <v>55</v>
      </c>
      <c r="D110" s="38">
        <v>5.0</v>
      </c>
      <c r="E110" s="38">
        <v>1.0</v>
      </c>
      <c r="F110" s="38">
        <v>2.0</v>
      </c>
      <c r="G110" s="38">
        <v>45.0</v>
      </c>
      <c r="H110" s="38">
        <v>1264.0</v>
      </c>
      <c r="I110" s="38">
        <v>0.9706</v>
      </c>
      <c r="J110" s="38">
        <v>1.0</v>
      </c>
      <c r="K110" s="38">
        <v>1.0</v>
      </c>
      <c r="L110" s="38">
        <v>1.0</v>
      </c>
      <c r="M110" s="38">
        <v>0.973</v>
      </c>
    </row>
    <row r="111">
      <c r="A111" s="37" t="s">
        <v>2025</v>
      </c>
      <c r="B111" s="37" t="s">
        <v>339</v>
      </c>
      <c r="C111" s="37" t="s">
        <v>55</v>
      </c>
      <c r="D111" s="38">
        <v>5.0</v>
      </c>
      <c r="E111" s="38">
        <v>2.0</v>
      </c>
      <c r="F111" s="38">
        <v>2.0</v>
      </c>
      <c r="G111" s="38">
        <v>45.0</v>
      </c>
      <c r="H111" s="38">
        <v>1264.0</v>
      </c>
      <c r="I111" s="38">
        <v>1.0</v>
      </c>
      <c r="J111" s="38">
        <v>1.0</v>
      </c>
      <c r="K111" s="38">
        <v>1.0</v>
      </c>
      <c r="L111" s="38">
        <v>1.0</v>
      </c>
      <c r="M111" s="38">
        <v>1.0</v>
      </c>
    </row>
    <row r="112">
      <c r="A112" s="37" t="s">
        <v>2026</v>
      </c>
      <c r="B112" s="37" t="s">
        <v>137</v>
      </c>
      <c r="C112" s="37" t="s">
        <v>52</v>
      </c>
      <c r="D112" s="38">
        <v>2.0</v>
      </c>
      <c r="E112" s="38">
        <v>1.0</v>
      </c>
      <c r="F112" s="38">
        <v>2.0</v>
      </c>
      <c r="G112" s="38">
        <v>1.0</v>
      </c>
      <c r="H112" s="38">
        <v>1.0</v>
      </c>
      <c r="I112" s="38">
        <v>1.0</v>
      </c>
      <c r="J112" s="38">
        <v>1.0</v>
      </c>
      <c r="K112" s="38">
        <v>1.0</v>
      </c>
      <c r="L112" s="38">
        <v>1.0</v>
      </c>
      <c r="M112" s="38">
        <v>1.0</v>
      </c>
    </row>
    <row r="113">
      <c r="A113" s="37" t="s">
        <v>2026</v>
      </c>
      <c r="B113" s="37" t="s">
        <v>137</v>
      </c>
      <c r="C113" s="37" t="s">
        <v>52</v>
      </c>
      <c r="D113" s="38">
        <v>2.0</v>
      </c>
      <c r="E113" s="38">
        <v>2.0</v>
      </c>
      <c r="F113" s="38">
        <v>2.0</v>
      </c>
      <c r="G113" s="38">
        <v>1.0</v>
      </c>
      <c r="H113" s="38">
        <v>1.0</v>
      </c>
      <c r="I113" s="38">
        <v>1.0</v>
      </c>
      <c r="J113" s="38">
        <v>1.0</v>
      </c>
      <c r="K113" s="38">
        <v>1.0</v>
      </c>
      <c r="L113" s="38">
        <v>1.0</v>
      </c>
      <c r="M113" s="38">
        <v>1.0</v>
      </c>
    </row>
    <row r="114">
      <c r="A114" s="37" t="s">
        <v>41</v>
      </c>
      <c r="B114" s="37" t="s">
        <v>137</v>
      </c>
      <c r="C114" s="37" t="s">
        <v>51</v>
      </c>
      <c r="D114" s="38">
        <v>1.0</v>
      </c>
      <c r="E114" s="38">
        <v>1.0</v>
      </c>
      <c r="F114" s="38">
        <v>2.0</v>
      </c>
      <c r="G114" s="38">
        <v>15.0</v>
      </c>
      <c r="H114" s="38">
        <v>86781.0</v>
      </c>
      <c r="I114" s="38">
        <v>0.8062</v>
      </c>
      <c r="J114" s="38">
        <v>1.0</v>
      </c>
      <c r="K114" s="38">
        <v>0.8252</v>
      </c>
      <c r="L114" s="38">
        <v>1.0</v>
      </c>
      <c r="M114" s="38">
        <v>0.8062</v>
      </c>
    </row>
    <row r="115">
      <c r="A115" s="37" t="s">
        <v>41</v>
      </c>
      <c r="B115" s="37" t="s">
        <v>137</v>
      </c>
      <c r="C115" s="37" t="s">
        <v>51</v>
      </c>
      <c r="D115" s="38">
        <v>1.0</v>
      </c>
      <c r="E115" s="38">
        <v>2.0</v>
      </c>
      <c r="F115" s="38">
        <v>2.0</v>
      </c>
      <c r="G115" s="38">
        <v>15.0</v>
      </c>
      <c r="H115" s="38">
        <v>86781.0</v>
      </c>
      <c r="I115" s="38">
        <v>1.0</v>
      </c>
      <c r="J115" s="38">
        <v>1.0</v>
      </c>
      <c r="K115" s="38">
        <v>1.0</v>
      </c>
      <c r="L115" s="38">
        <v>1.0</v>
      </c>
      <c r="M115" s="38">
        <v>1.0</v>
      </c>
    </row>
    <row r="116">
      <c r="A116" s="37" t="s">
        <v>41</v>
      </c>
      <c r="B116" s="37" t="s">
        <v>339</v>
      </c>
      <c r="C116" s="37" t="s">
        <v>51</v>
      </c>
      <c r="D116" s="38">
        <v>1.0</v>
      </c>
      <c r="E116" s="38">
        <v>1.0</v>
      </c>
      <c r="F116" s="38">
        <v>2.0</v>
      </c>
      <c r="G116" s="38">
        <v>14.0</v>
      </c>
      <c r="H116" s="38">
        <v>67399.0</v>
      </c>
      <c r="I116" s="38">
        <v>0.7862</v>
      </c>
      <c r="J116" s="38">
        <v>1.0</v>
      </c>
      <c r="K116" s="38">
        <v>0.719</v>
      </c>
      <c r="L116" s="38">
        <v>1.0</v>
      </c>
      <c r="M116" s="38">
        <v>0.7862</v>
      </c>
    </row>
    <row r="117">
      <c r="A117" s="37" t="s">
        <v>41</v>
      </c>
      <c r="B117" s="37" t="s">
        <v>339</v>
      </c>
      <c r="C117" s="37" t="s">
        <v>51</v>
      </c>
      <c r="D117" s="38">
        <v>1.0</v>
      </c>
      <c r="E117" s="38">
        <v>2.0</v>
      </c>
      <c r="F117" s="38">
        <v>2.0</v>
      </c>
      <c r="G117" s="38">
        <v>14.0</v>
      </c>
      <c r="H117" s="38">
        <v>67399.0</v>
      </c>
      <c r="I117" s="38">
        <v>1.0</v>
      </c>
      <c r="J117" s="38">
        <v>1.0</v>
      </c>
      <c r="K117" s="38">
        <v>1.0</v>
      </c>
      <c r="L117" s="38">
        <v>1.0</v>
      </c>
      <c r="M117" s="38">
        <v>1.0</v>
      </c>
    </row>
    <row r="118">
      <c r="A118" s="37" t="s">
        <v>41</v>
      </c>
      <c r="B118" s="37" t="s">
        <v>137</v>
      </c>
      <c r="C118" s="37" t="s">
        <v>52</v>
      </c>
      <c r="D118" s="38">
        <v>2.0</v>
      </c>
      <c r="E118" s="38">
        <v>1.0</v>
      </c>
      <c r="F118" s="38">
        <v>2.0</v>
      </c>
      <c r="G118" s="38">
        <v>14.0</v>
      </c>
      <c r="H118" s="38">
        <v>90101.0</v>
      </c>
      <c r="I118" s="38">
        <v>0.8258</v>
      </c>
      <c r="J118" s="38">
        <v>1.0</v>
      </c>
      <c r="K118" s="38">
        <v>0.8932</v>
      </c>
      <c r="L118" s="38">
        <v>1.0</v>
      </c>
      <c r="M118" s="38">
        <v>0.8258</v>
      </c>
    </row>
    <row r="119">
      <c r="A119" s="37" t="s">
        <v>41</v>
      </c>
      <c r="B119" s="37" t="s">
        <v>137</v>
      </c>
      <c r="C119" s="37" t="s">
        <v>52</v>
      </c>
      <c r="D119" s="38">
        <v>2.0</v>
      </c>
      <c r="E119" s="38">
        <v>2.0</v>
      </c>
      <c r="F119" s="38">
        <v>2.0</v>
      </c>
      <c r="G119" s="38">
        <v>14.0</v>
      </c>
      <c r="H119" s="38">
        <v>90101.0</v>
      </c>
      <c r="I119" s="38">
        <v>1.0</v>
      </c>
      <c r="J119" s="38">
        <v>1.0</v>
      </c>
      <c r="K119" s="38">
        <v>1.0</v>
      </c>
      <c r="L119" s="38">
        <v>1.0</v>
      </c>
      <c r="M119" s="38">
        <v>1.0</v>
      </c>
    </row>
    <row r="120">
      <c r="A120" s="37" t="s">
        <v>41</v>
      </c>
      <c r="B120" s="37" t="s">
        <v>339</v>
      </c>
      <c r="C120" s="37" t="s">
        <v>52</v>
      </c>
      <c r="D120" s="38">
        <v>2.0</v>
      </c>
      <c r="E120" s="38">
        <v>1.0</v>
      </c>
      <c r="F120" s="38">
        <v>2.0</v>
      </c>
      <c r="G120" s="38">
        <v>14.0</v>
      </c>
      <c r="H120" s="38">
        <v>57163.0</v>
      </c>
      <c r="I120" s="38">
        <v>0.8065</v>
      </c>
      <c r="J120" s="38">
        <v>1.0</v>
      </c>
      <c r="K120" s="38">
        <v>0.8189</v>
      </c>
      <c r="L120" s="38">
        <v>1.0</v>
      </c>
      <c r="M120" s="38">
        <v>0.8065</v>
      </c>
    </row>
    <row r="121">
      <c r="A121" s="37" t="s">
        <v>41</v>
      </c>
      <c r="B121" s="37" t="s">
        <v>339</v>
      </c>
      <c r="C121" s="37" t="s">
        <v>52</v>
      </c>
      <c r="D121" s="38">
        <v>2.0</v>
      </c>
      <c r="E121" s="38">
        <v>2.0</v>
      </c>
      <c r="F121" s="38">
        <v>2.0</v>
      </c>
      <c r="G121" s="38">
        <v>14.0</v>
      </c>
      <c r="H121" s="38">
        <v>57163.0</v>
      </c>
      <c r="I121" s="38">
        <v>1.0</v>
      </c>
      <c r="J121" s="38">
        <v>1.0</v>
      </c>
      <c r="K121" s="38">
        <v>1.0</v>
      </c>
      <c r="L121" s="38">
        <v>1.0</v>
      </c>
      <c r="M121" s="38">
        <v>1.0</v>
      </c>
    </row>
    <row r="122">
      <c r="A122" s="37" t="s">
        <v>41</v>
      </c>
      <c r="B122" s="37" t="s">
        <v>137</v>
      </c>
      <c r="C122" s="37" t="s">
        <v>53</v>
      </c>
      <c r="D122" s="38">
        <v>3.0</v>
      </c>
      <c r="E122" s="38">
        <v>1.0</v>
      </c>
      <c r="F122" s="38">
        <v>2.0</v>
      </c>
      <c r="G122" s="38">
        <v>15.0</v>
      </c>
      <c r="H122" s="38">
        <v>61288.0</v>
      </c>
      <c r="I122" s="38">
        <v>0.8554</v>
      </c>
      <c r="J122" s="38">
        <v>1.0</v>
      </c>
      <c r="K122" s="38">
        <v>0.982</v>
      </c>
      <c r="L122" s="38">
        <v>1.0</v>
      </c>
      <c r="M122" s="38">
        <v>0.8554</v>
      </c>
    </row>
    <row r="123">
      <c r="A123" s="37" t="s">
        <v>41</v>
      </c>
      <c r="B123" s="37" t="s">
        <v>137</v>
      </c>
      <c r="C123" s="37" t="s">
        <v>53</v>
      </c>
      <c r="D123" s="38">
        <v>3.0</v>
      </c>
      <c r="E123" s="38">
        <v>2.0</v>
      </c>
      <c r="F123" s="38">
        <v>2.0</v>
      </c>
      <c r="G123" s="38">
        <v>15.0</v>
      </c>
      <c r="H123" s="38">
        <v>61288.0</v>
      </c>
      <c r="I123" s="38">
        <v>1.0</v>
      </c>
      <c r="J123" s="38">
        <v>1.0</v>
      </c>
      <c r="K123" s="38">
        <v>1.0</v>
      </c>
      <c r="L123" s="38">
        <v>1.0</v>
      </c>
      <c r="M123" s="38">
        <v>1.0</v>
      </c>
    </row>
    <row r="124">
      <c r="A124" s="37" t="s">
        <v>41</v>
      </c>
      <c r="B124" s="37" t="s">
        <v>339</v>
      </c>
      <c r="C124" s="37" t="s">
        <v>53</v>
      </c>
      <c r="D124" s="38">
        <v>3.0</v>
      </c>
      <c r="E124" s="38">
        <v>1.0</v>
      </c>
      <c r="F124" s="38">
        <v>2.0</v>
      </c>
      <c r="G124" s="38">
        <v>15.0</v>
      </c>
      <c r="H124" s="38">
        <v>36714.0</v>
      </c>
      <c r="I124" s="38">
        <v>0.8347</v>
      </c>
      <c r="J124" s="38">
        <v>1.0</v>
      </c>
      <c r="K124" s="38">
        <v>0.9708</v>
      </c>
      <c r="L124" s="38">
        <v>1.0</v>
      </c>
      <c r="M124" s="38">
        <v>0.8347</v>
      </c>
    </row>
    <row r="125">
      <c r="A125" s="37" t="s">
        <v>41</v>
      </c>
      <c r="B125" s="37" t="s">
        <v>339</v>
      </c>
      <c r="C125" s="37" t="s">
        <v>53</v>
      </c>
      <c r="D125" s="38">
        <v>3.0</v>
      </c>
      <c r="E125" s="38">
        <v>2.0</v>
      </c>
      <c r="F125" s="38">
        <v>2.0</v>
      </c>
      <c r="G125" s="38">
        <v>15.0</v>
      </c>
      <c r="H125" s="38">
        <v>36714.0</v>
      </c>
      <c r="I125" s="38">
        <v>1.0</v>
      </c>
      <c r="J125" s="38">
        <v>1.0</v>
      </c>
      <c r="K125" s="38">
        <v>1.0</v>
      </c>
      <c r="L125" s="38">
        <v>1.0</v>
      </c>
      <c r="M125" s="38">
        <v>1.0</v>
      </c>
    </row>
    <row r="126">
      <c r="A126" s="37" t="s">
        <v>41</v>
      </c>
      <c r="B126" s="37" t="s">
        <v>137</v>
      </c>
      <c r="C126" s="37" t="s">
        <v>54</v>
      </c>
      <c r="D126" s="38">
        <v>4.0</v>
      </c>
      <c r="E126" s="38">
        <v>1.0</v>
      </c>
      <c r="F126" s="38">
        <v>2.0</v>
      </c>
      <c r="G126" s="38">
        <v>14.0</v>
      </c>
      <c r="H126" s="38">
        <v>27309.0</v>
      </c>
      <c r="I126" s="38">
        <v>0.8947</v>
      </c>
      <c r="J126" s="38">
        <v>1.0</v>
      </c>
      <c r="K126" s="38">
        <v>1.0</v>
      </c>
      <c r="L126" s="38">
        <v>1.0</v>
      </c>
      <c r="M126" s="38">
        <v>0.8947</v>
      </c>
    </row>
    <row r="127">
      <c r="A127" s="37" t="s">
        <v>41</v>
      </c>
      <c r="B127" s="37" t="s">
        <v>137</v>
      </c>
      <c r="C127" s="37" t="s">
        <v>54</v>
      </c>
      <c r="D127" s="38">
        <v>4.0</v>
      </c>
      <c r="E127" s="38">
        <v>2.0</v>
      </c>
      <c r="F127" s="38">
        <v>2.0</v>
      </c>
      <c r="G127" s="38">
        <v>14.0</v>
      </c>
      <c r="H127" s="38">
        <v>27309.0</v>
      </c>
      <c r="I127" s="38">
        <v>1.0</v>
      </c>
      <c r="J127" s="38">
        <v>1.0</v>
      </c>
      <c r="K127" s="38">
        <v>1.0</v>
      </c>
      <c r="L127" s="38">
        <v>1.0</v>
      </c>
      <c r="M127" s="38">
        <v>1.0</v>
      </c>
    </row>
    <row r="128">
      <c r="A128" s="37" t="s">
        <v>41</v>
      </c>
      <c r="B128" s="37" t="s">
        <v>339</v>
      </c>
      <c r="C128" s="37" t="s">
        <v>54</v>
      </c>
      <c r="D128" s="38">
        <v>4.0</v>
      </c>
      <c r="E128" s="38">
        <v>1.0</v>
      </c>
      <c r="F128" s="38">
        <v>2.0</v>
      </c>
      <c r="G128" s="38">
        <v>14.0</v>
      </c>
      <c r="H128" s="38">
        <v>16905.0</v>
      </c>
      <c r="I128" s="38">
        <v>0.8749</v>
      </c>
      <c r="J128" s="38">
        <v>1.0</v>
      </c>
      <c r="K128" s="38">
        <v>1.0</v>
      </c>
      <c r="L128" s="38">
        <v>1.0</v>
      </c>
      <c r="M128" s="38">
        <v>0.8749</v>
      </c>
    </row>
    <row r="129">
      <c r="A129" s="37" t="s">
        <v>41</v>
      </c>
      <c r="B129" s="37" t="s">
        <v>339</v>
      </c>
      <c r="C129" s="37" t="s">
        <v>54</v>
      </c>
      <c r="D129" s="38">
        <v>4.0</v>
      </c>
      <c r="E129" s="38">
        <v>2.0</v>
      </c>
      <c r="F129" s="38">
        <v>2.0</v>
      </c>
      <c r="G129" s="38">
        <v>14.0</v>
      </c>
      <c r="H129" s="38">
        <v>16905.0</v>
      </c>
      <c r="I129" s="38">
        <v>1.0</v>
      </c>
      <c r="J129" s="38">
        <v>1.0</v>
      </c>
      <c r="K129" s="38">
        <v>1.0</v>
      </c>
      <c r="L129" s="38">
        <v>1.0</v>
      </c>
      <c r="M129" s="38">
        <v>1.0</v>
      </c>
    </row>
    <row r="130">
      <c r="A130" s="37" t="s">
        <v>41</v>
      </c>
      <c r="B130" s="37" t="s">
        <v>137</v>
      </c>
      <c r="C130" s="37" t="s">
        <v>55</v>
      </c>
      <c r="D130" s="38">
        <v>5.0</v>
      </c>
      <c r="E130" s="38">
        <v>1.0</v>
      </c>
      <c r="F130" s="38">
        <v>2.0</v>
      </c>
      <c r="G130" s="38">
        <v>14.0</v>
      </c>
      <c r="H130" s="38">
        <v>4970.0</v>
      </c>
      <c r="I130" s="38">
        <v>0.9252</v>
      </c>
      <c r="J130" s="38">
        <v>1.0</v>
      </c>
      <c r="K130" s="38">
        <v>1.0</v>
      </c>
      <c r="L130" s="38">
        <v>1.0</v>
      </c>
      <c r="M130" s="38">
        <v>0.9252</v>
      </c>
    </row>
    <row r="131">
      <c r="A131" s="37" t="s">
        <v>41</v>
      </c>
      <c r="B131" s="37" t="s">
        <v>137</v>
      </c>
      <c r="C131" s="37" t="s">
        <v>55</v>
      </c>
      <c r="D131" s="38">
        <v>5.0</v>
      </c>
      <c r="E131" s="38">
        <v>2.0</v>
      </c>
      <c r="F131" s="38">
        <v>2.0</v>
      </c>
      <c r="G131" s="38">
        <v>14.0</v>
      </c>
      <c r="H131" s="38">
        <v>4970.0</v>
      </c>
      <c r="I131" s="38">
        <v>1.0</v>
      </c>
      <c r="J131" s="38">
        <v>1.0</v>
      </c>
      <c r="K131" s="38">
        <v>1.0</v>
      </c>
      <c r="L131" s="38">
        <v>1.0</v>
      </c>
      <c r="M131" s="38">
        <v>1.0</v>
      </c>
    </row>
    <row r="132">
      <c r="A132" s="37" t="s">
        <v>41</v>
      </c>
      <c r="B132" s="37" t="s">
        <v>339</v>
      </c>
      <c r="C132" s="37" t="s">
        <v>55</v>
      </c>
      <c r="D132" s="38">
        <v>5.0</v>
      </c>
      <c r="E132" s="38">
        <v>1.0</v>
      </c>
      <c r="F132" s="38">
        <v>2.0</v>
      </c>
      <c r="G132" s="38">
        <v>14.0</v>
      </c>
      <c r="H132" s="38">
        <v>2936.0</v>
      </c>
      <c r="I132" s="38">
        <v>0.9109</v>
      </c>
      <c r="J132" s="38">
        <v>1.0</v>
      </c>
      <c r="K132" s="38">
        <v>1.0</v>
      </c>
      <c r="L132" s="38">
        <v>1.0</v>
      </c>
      <c r="M132" s="38">
        <v>0.9109</v>
      </c>
    </row>
    <row r="133">
      <c r="A133" s="37" t="s">
        <v>41</v>
      </c>
      <c r="B133" s="37" t="s">
        <v>339</v>
      </c>
      <c r="C133" s="37" t="s">
        <v>55</v>
      </c>
      <c r="D133" s="38">
        <v>5.0</v>
      </c>
      <c r="E133" s="38">
        <v>2.0</v>
      </c>
      <c r="F133" s="38">
        <v>2.0</v>
      </c>
      <c r="G133" s="38">
        <v>14.0</v>
      </c>
      <c r="H133" s="38">
        <v>2936.0</v>
      </c>
      <c r="I133" s="38">
        <v>1.0</v>
      </c>
      <c r="J133" s="38">
        <v>1.0</v>
      </c>
      <c r="K133" s="38">
        <v>1.0</v>
      </c>
      <c r="L133" s="38">
        <v>1.0</v>
      </c>
      <c r="M133" s="38">
        <v>1.0</v>
      </c>
    </row>
    <row r="134">
      <c r="A134" s="37" t="s">
        <v>44</v>
      </c>
      <c r="B134" s="37" t="s">
        <v>137</v>
      </c>
      <c r="C134" s="37" t="s">
        <v>51</v>
      </c>
      <c r="D134" s="38">
        <v>1.0</v>
      </c>
      <c r="E134" s="38">
        <v>1.0</v>
      </c>
      <c r="F134" s="38">
        <v>2.0</v>
      </c>
      <c r="G134" s="38">
        <v>19.0</v>
      </c>
      <c r="H134" s="38">
        <v>83839.0</v>
      </c>
      <c r="I134" s="38">
        <v>0.9581</v>
      </c>
      <c r="J134" s="38">
        <v>1.0</v>
      </c>
      <c r="K134" s="38">
        <v>1.0</v>
      </c>
      <c r="L134" s="38">
        <v>1.0</v>
      </c>
      <c r="M134" s="38">
        <v>0.9581</v>
      </c>
    </row>
    <row r="135">
      <c r="A135" s="37" t="s">
        <v>44</v>
      </c>
      <c r="B135" s="37" t="s">
        <v>137</v>
      </c>
      <c r="C135" s="37" t="s">
        <v>51</v>
      </c>
      <c r="D135" s="38">
        <v>1.0</v>
      </c>
      <c r="E135" s="38">
        <v>2.0</v>
      </c>
      <c r="F135" s="38">
        <v>2.0</v>
      </c>
      <c r="G135" s="38">
        <v>19.0</v>
      </c>
      <c r="H135" s="38">
        <v>83839.0</v>
      </c>
      <c r="I135" s="38">
        <v>1.0</v>
      </c>
      <c r="J135" s="38">
        <v>1.0</v>
      </c>
      <c r="K135" s="38">
        <v>1.0</v>
      </c>
      <c r="L135" s="38">
        <v>1.0</v>
      </c>
      <c r="M135" s="38">
        <v>1.0</v>
      </c>
    </row>
    <row r="136">
      <c r="A136" s="37" t="s">
        <v>44</v>
      </c>
      <c r="B136" s="37" t="s">
        <v>339</v>
      </c>
      <c r="C136" s="37" t="s">
        <v>51</v>
      </c>
      <c r="D136" s="38">
        <v>1.0</v>
      </c>
      <c r="E136" s="38">
        <v>1.0</v>
      </c>
      <c r="F136" s="38">
        <v>2.0</v>
      </c>
      <c r="G136" s="38">
        <v>19.0</v>
      </c>
      <c r="H136" s="38">
        <v>65433.0</v>
      </c>
      <c r="I136" s="38">
        <v>0.9587</v>
      </c>
      <c r="J136" s="38">
        <v>1.0</v>
      </c>
      <c r="K136" s="38">
        <v>1.0</v>
      </c>
      <c r="L136" s="38">
        <v>1.0</v>
      </c>
      <c r="M136" s="38">
        <v>0.9586</v>
      </c>
    </row>
    <row r="137">
      <c r="A137" s="37" t="s">
        <v>44</v>
      </c>
      <c r="B137" s="37" t="s">
        <v>339</v>
      </c>
      <c r="C137" s="37" t="s">
        <v>51</v>
      </c>
      <c r="D137" s="38">
        <v>1.0</v>
      </c>
      <c r="E137" s="38">
        <v>2.0</v>
      </c>
      <c r="F137" s="38">
        <v>2.0</v>
      </c>
      <c r="G137" s="38">
        <v>19.0</v>
      </c>
      <c r="H137" s="38">
        <v>65433.0</v>
      </c>
      <c r="I137" s="38">
        <v>1.0</v>
      </c>
      <c r="J137" s="38">
        <v>1.0</v>
      </c>
      <c r="K137" s="38">
        <v>1.0</v>
      </c>
      <c r="L137" s="38">
        <v>1.0</v>
      </c>
      <c r="M137" s="38">
        <v>1.0</v>
      </c>
    </row>
    <row r="138">
      <c r="A138" s="37" t="s">
        <v>44</v>
      </c>
      <c r="B138" s="37" t="s">
        <v>137</v>
      </c>
      <c r="C138" s="37" t="s">
        <v>52</v>
      </c>
      <c r="D138" s="38">
        <v>2.0</v>
      </c>
      <c r="E138" s="38">
        <v>1.0</v>
      </c>
      <c r="F138" s="38">
        <v>2.0</v>
      </c>
      <c r="G138" s="38">
        <v>19.0</v>
      </c>
      <c r="H138" s="38">
        <v>86874.0</v>
      </c>
      <c r="I138" s="38">
        <v>0.967</v>
      </c>
      <c r="J138" s="38">
        <v>1.0</v>
      </c>
      <c r="K138" s="38">
        <v>1.0</v>
      </c>
      <c r="L138" s="38">
        <v>1.0</v>
      </c>
      <c r="M138" s="38">
        <v>0.9671</v>
      </c>
    </row>
    <row r="139">
      <c r="A139" s="37" t="s">
        <v>44</v>
      </c>
      <c r="B139" s="37" t="s">
        <v>137</v>
      </c>
      <c r="C139" s="37" t="s">
        <v>52</v>
      </c>
      <c r="D139" s="38">
        <v>2.0</v>
      </c>
      <c r="E139" s="38">
        <v>2.0</v>
      </c>
      <c r="F139" s="38">
        <v>2.0</v>
      </c>
      <c r="G139" s="38">
        <v>19.0</v>
      </c>
      <c r="H139" s="38">
        <v>86874.0</v>
      </c>
      <c r="I139" s="38">
        <v>1.0</v>
      </c>
      <c r="J139" s="38">
        <v>1.0</v>
      </c>
      <c r="K139" s="38">
        <v>1.0</v>
      </c>
      <c r="L139" s="38">
        <v>1.0</v>
      </c>
      <c r="M139" s="38">
        <v>1.0</v>
      </c>
    </row>
    <row r="140">
      <c r="A140" s="37" t="s">
        <v>44</v>
      </c>
      <c r="B140" s="37" t="s">
        <v>339</v>
      </c>
      <c r="C140" s="37" t="s">
        <v>52</v>
      </c>
      <c r="D140" s="38">
        <v>2.0</v>
      </c>
      <c r="E140" s="38">
        <v>1.0</v>
      </c>
      <c r="F140" s="38">
        <v>2.0</v>
      </c>
      <c r="G140" s="38">
        <v>19.0</v>
      </c>
      <c r="H140" s="38">
        <v>56453.0</v>
      </c>
      <c r="I140" s="38">
        <v>0.9633</v>
      </c>
      <c r="J140" s="38">
        <v>1.0</v>
      </c>
      <c r="K140" s="38">
        <v>1.0</v>
      </c>
      <c r="L140" s="38">
        <v>1.0</v>
      </c>
      <c r="M140" s="38">
        <v>0.9634</v>
      </c>
    </row>
    <row r="141">
      <c r="A141" s="37" t="s">
        <v>44</v>
      </c>
      <c r="B141" s="37" t="s">
        <v>339</v>
      </c>
      <c r="C141" s="37" t="s">
        <v>52</v>
      </c>
      <c r="D141" s="38">
        <v>2.0</v>
      </c>
      <c r="E141" s="38">
        <v>2.0</v>
      </c>
      <c r="F141" s="38">
        <v>2.0</v>
      </c>
      <c r="G141" s="38">
        <v>19.0</v>
      </c>
      <c r="H141" s="38">
        <v>56453.0</v>
      </c>
      <c r="I141" s="38">
        <v>1.0</v>
      </c>
      <c r="J141" s="38">
        <v>1.0</v>
      </c>
      <c r="K141" s="38">
        <v>1.0</v>
      </c>
      <c r="L141" s="38">
        <v>1.0</v>
      </c>
      <c r="M141" s="38">
        <v>1.0</v>
      </c>
    </row>
    <row r="142">
      <c r="A142" s="37" t="s">
        <v>44</v>
      </c>
      <c r="B142" s="37" t="s">
        <v>137</v>
      </c>
      <c r="C142" s="37" t="s">
        <v>53</v>
      </c>
      <c r="D142" s="38">
        <v>3.0</v>
      </c>
      <c r="E142" s="38">
        <v>1.0</v>
      </c>
      <c r="F142" s="38">
        <v>2.0</v>
      </c>
      <c r="G142" s="38">
        <v>19.0</v>
      </c>
      <c r="H142" s="38">
        <v>60154.0</v>
      </c>
      <c r="I142" s="38">
        <v>0.9723</v>
      </c>
      <c r="J142" s="38">
        <v>1.0</v>
      </c>
      <c r="K142" s="38">
        <v>1.0</v>
      </c>
      <c r="L142" s="38">
        <v>1.0</v>
      </c>
      <c r="M142" s="38">
        <v>0.9724</v>
      </c>
    </row>
    <row r="143">
      <c r="A143" s="37" t="s">
        <v>44</v>
      </c>
      <c r="B143" s="37" t="s">
        <v>137</v>
      </c>
      <c r="C143" s="37" t="s">
        <v>53</v>
      </c>
      <c r="D143" s="38">
        <v>3.0</v>
      </c>
      <c r="E143" s="38">
        <v>2.0</v>
      </c>
      <c r="F143" s="38">
        <v>2.0</v>
      </c>
      <c r="G143" s="38">
        <v>19.0</v>
      </c>
      <c r="H143" s="38">
        <v>60154.0</v>
      </c>
      <c r="I143" s="38">
        <v>1.0</v>
      </c>
      <c r="J143" s="38">
        <v>1.0</v>
      </c>
      <c r="K143" s="38">
        <v>1.0</v>
      </c>
      <c r="L143" s="38">
        <v>1.0</v>
      </c>
      <c r="M143" s="38">
        <v>1.0</v>
      </c>
    </row>
    <row r="144">
      <c r="A144" s="37" t="s">
        <v>44</v>
      </c>
      <c r="B144" s="37" t="s">
        <v>339</v>
      </c>
      <c r="C144" s="37" t="s">
        <v>53</v>
      </c>
      <c r="D144" s="38">
        <v>3.0</v>
      </c>
      <c r="E144" s="38">
        <v>1.0</v>
      </c>
      <c r="F144" s="38">
        <v>2.0</v>
      </c>
      <c r="G144" s="38">
        <v>19.0</v>
      </c>
      <c r="H144" s="38">
        <v>37231.0</v>
      </c>
      <c r="I144" s="38">
        <v>0.9654</v>
      </c>
      <c r="J144" s="38">
        <v>1.0</v>
      </c>
      <c r="K144" s="38">
        <v>1.0</v>
      </c>
      <c r="L144" s="38">
        <v>1.0</v>
      </c>
      <c r="M144" s="38">
        <v>0.9656</v>
      </c>
    </row>
    <row r="145">
      <c r="A145" s="37" t="s">
        <v>44</v>
      </c>
      <c r="B145" s="37" t="s">
        <v>339</v>
      </c>
      <c r="C145" s="37" t="s">
        <v>53</v>
      </c>
      <c r="D145" s="38">
        <v>3.0</v>
      </c>
      <c r="E145" s="38">
        <v>2.0</v>
      </c>
      <c r="F145" s="38">
        <v>2.0</v>
      </c>
      <c r="G145" s="38">
        <v>19.0</v>
      </c>
      <c r="H145" s="38">
        <v>37231.0</v>
      </c>
      <c r="I145" s="38">
        <v>1.0</v>
      </c>
      <c r="J145" s="38">
        <v>1.0</v>
      </c>
      <c r="K145" s="38">
        <v>1.0</v>
      </c>
      <c r="L145" s="38">
        <v>1.0</v>
      </c>
      <c r="M145" s="38">
        <v>1.0</v>
      </c>
    </row>
    <row r="146">
      <c r="A146" s="37" t="s">
        <v>44</v>
      </c>
      <c r="B146" s="37" t="s">
        <v>137</v>
      </c>
      <c r="C146" s="37" t="s">
        <v>54</v>
      </c>
      <c r="D146" s="38">
        <v>4.0</v>
      </c>
      <c r="E146" s="38">
        <v>1.0</v>
      </c>
      <c r="F146" s="38">
        <v>2.0</v>
      </c>
      <c r="G146" s="38">
        <v>19.0</v>
      </c>
      <c r="H146" s="38">
        <v>27583.0</v>
      </c>
      <c r="I146" s="38">
        <v>0.9793</v>
      </c>
      <c r="J146" s="38">
        <v>1.0</v>
      </c>
      <c r="K146" s="38">
        <v>1.0</v>
      </c>
      <c r="L146" s="38">
        <v>1.0</v>
      </c>
      <c r="M146" s="38">
        <v>0.9794</v>
      </c>
    </row>
    <row r="147">
      <c r="A147" s="37" t="s">
        <v>44</v>
      </c>
      <c r="B147" s="37" t="s">
        <v>137</v>
      </c>
      <c r="C147" s="37" t="s">
        <v>54</v>
      </c>
      <c r="D147" s="38">
        <v>4.0</v>
      </c>
      <c r="E147" s="38">
        <v>2.0</v>
      </c>
      <c r="F147" s="38">
        <v>2.0</v>
      </c>
      <c r="G147" s="38">
        <v>19.0</v>
      </c>
      <c r="H147" s="38">
        <v>27583.0</v>
      </c>
      <c r="I147" s="38">
        <v>1.0</v>
      </c>
      <c r="J147" s="38">
        <v>1.0</v>
      </c>
      <c r="K147" s="38">
        <v>1.0</v>
      </c>
      <c r="L147" s="38">
        <v>1.0</v>
      </c>
      <c r="M147" s="38">
        <v>1.0</v>
      </c>
    </row>
    <row r="148">
      <c r="A148" s="37" t="s">
        <v>44</v>
      </c>
      <c r="B148" s="37" t="s">
        <v>339</v>
      </c>
      <c r="C148" s="37" t="s">
        <v>54</v>
      </c>
      <c r="D148" s="38">
        <v>4.0</v>
      </c>
      <c r="E148" s="38">
        <v>1.0</v>
      </c>
      <c r="F148" s="38">
        <v>2.0</v>
      </c>
      <c r="G148" s="38">
        <v>19.0</v>
      </c>
      <c r="H148" s="38">
        <v>17319.0</v>
      </c>
      <c r="I148" s="38">
        <v>0.9734</v>
      </c>
      <c r="J148" s="38">
        <v>1.0</v>
      </c>
      <c r="K148" s="38">
        <v>1.0</v>
      </c>
      <c r="L148" s="38">
        <v>1.0</v>
      </c>
      <c r="M148" s="38">
        <v>0.9737</v>
      </c>
    </row>
    <row r="149">
      <c r="A149" s="37" t="s">
        <v>44</v>
      </c>
      <c r="B149" s="37" t="s">
        <v>339</v>
      </c>
      <c r="C149" s="37" t="s">
        <v>54</v>
      </c>
      <c r="D149" s="38">
        <v>4.0</v>
      </c>
      <c r="E149" s="38">
        <v>2.0</v>
      </c>
      <c r="F149" s="38">
        <v>2.0</v>
      </c>
      <c r="G149" s="38">
        <v>19.0</v>
      </c>
      <c r="H149" s="38">
        <v>17319.0</v>
      </c>
      <c r="I149" s="38">
        <v>1.0</v>
      </c>
      <c r="J149" s="38">
        <v>1.0</v>
      </c>
      <c r="K149" s="38">
        <v>1.0</v>
      </c>
      <c r="L149" s="38">
        <v>1.0</v>
      </c>
      <c r="M149" s="38">
        <v>1.0</v>
      </c>
    </row>
    <row r="150">
      <c r="A150" s="37" t="s">
        <v>44</v>
      </c>
      <c r="B150" s="37" t="s">
        <v>137</v>
      </c>
      <c r="C150" s="37" t="s">
        <v>55</v>
      </c>
      <c r="D150" s="38">
        <v>5.0</v>
      </c>
      <c r="E150" s="38">
        <v>1.0</v>
      </c>
      <c r="F150" s="38">
        <v>2.0</v>
      </c>
      <c r="G150" s="38">
        <v>19.0</v>
      </c>
      <c r="H150" s="38">
        <v>4764.0</v>
      </c>
      <c r="I150" s="38">
        <v>0.9813</v>
      </c>
      <c r="J150" s="38">
        <v>1.0</v>
      </c>
      <c r="K150" s="38">
        <v>1.0</v>
      </c>
      <c r="L150" s="38">
        <v>1.0</v>
      </c>
      <c r="M150" s="38">
        <v>0.9814</v>
      </c>
    </row>
    <row r="151">
      <c r="A151" s="37" t="s">
        <v>44</v>
      </c>
      <c r="B151" s="37" t="s">
        <v>137</v>
      </c>
      <c r="C151" s="37" t="s">
        <v>55</v>
      </c>
      <c r="D151" s="38">
        <v>5.0</v>
      </c>
      <c r="E151" s="38">
        <v>2.0</v>
      </c>
      <c r="F151" s="38">
        <v>2.0</v>
      </c>
      <c r="G151" s="38">
        <v>19.0</v>
      </c>
      <c r="H151" s="38">
        <v>4764.0</v>
      </c>
      <c r="I151" s="38">
        <v>1.0</v>
      </c>
      <c r="J151" s="38">
        <v>1.0</v>
      </c>
      <c r="K151" s="38">
        <v>1.0</v>
      </c>
      <c r="L151" s="38">
        <v>1.0</v>
      </c>
      <c r="M151" s="38">
        <v>1.0</v>
      </c>
    </row>
    <row r="152">
      <c r="A152" s="37" t="s">
        <v>44</v>
      </c>
      <c r="B152" s="37" t="s">
        <v>339</v>
      </c>
      <c r="C152" s="37" t="s">
        <v>55</v>
      </c>
      <c r="D152" s="38">
        <v>5.0</v>
      </c>
      <c r="E152" s="38">
        <v>1.0</v>
      </c>
      <c r="F152" s="38">
        <v>2.0</v>
      </c>
      <c r="G152" s="38">
        <v>19.0</v>
      </c>
      <c r="H152" s="38">
        <v>2953.0</v>
      </c>
      <c r="I152" s="38">
        <v>0.9775</v>
      </c>
      <c r="J152" s="38">
        <v>1.0</v>
      </c>
      <c r="K152" s="38">
        <v>1.0</v>
      </c>
      <c r="L152" s="38">
        <v>1.0</v>
      </c>
      <c r="M152" s="38">
        <v>0.9777</v>
      </c>
    </row>
    <row r="153">
      <c r="A153" s="37" t="s">
        <v>44</v>
      </c>
      <c r="B153" s="37" t="s">
        <v>339</v>
      </c>
      <c r="C153" s="37" t="s">
        <v>55</v>
      </c>
      <c r="D153" s="38">
        <v>5.0</v>
      </c>
      <c r="E153" s="38">
        <v>2.0</v>
      </c>
      <c r="F153" s="38">
        <v>2.0</v>
      </c>
      <c r="G153" s="38">
        <v>19.0</v>
      </c>
      <c r="H153" s="38">
        <v>2953.0</v>
      </c>
      <c r="I153" s="38">
        <v>1.0</v>
      </c>
      <c r="J153" s="38">
        <v>1.0</v>
      </c>
      <c r="K153" s="38">
        <v>1.0</v>
      </c>
      <c r="L153" s="38">
        <v>1.0</v>
      </c>
      <c r="M153" s="38">
        <v>1.0</v>
      </c>
    </row>
    <row r="154">
      <c r="A154" s="37" t="s">
        <v>39</v>
      </c>
      <c r="B154" s="37" t="s">
        <v>137</v>
      </c>
      <c r="C154" s="37" t="s">
        <v>51</v>
      </c>
      <c r="D154" s="38">
        <v>1.0</v>
      </c>
      <c r="E154" s="38">
        <v>1.0</v>
      </c>
      <c r="F154" s="38">
        <v>4.0</v>
      </c>
      <c r="G154" s="38">
        <v>4.0</v>
      </c>
      <c r="H154" s="38">
        <v>108540.0</v>
      </c>
      <c r="I154" s="38">
        <v>0.311</v>
      </c>
      <c r="J154" s="38">
        <v>0.1785</v>
      </c>
      <c r="K154" s="38">
        <v>0.0</v>
      </c>
      <c r="L154" s="38">
        <v>0.5383</v>
      </c>
      <c r="M154" s="38">
        <v>0.3101</v>
      </c>
    </row>
    <row r="155">
      <c r="A155" s="37" t="s">
        <v>39</v>
      </c>
      <c r="B155" s="37" t="s">
        <v>137</v>
      </c>
      <c r="C155" s="37" t="s">
        <v>51</v>
      </c>
      <c r="D155" s="38">
        <v>1.0</v>
      </c>
      <c r="E155" s="38">
        <v>2.0</v>
      </c>
      <c r="F155" s="38">
        <v>4.0</v>
      </c>
      <c r="G155" s="38">
        <v>4.0</v>
      </c>
      <c r="H155" s="38">
        <v>108540.0</v>
      </c>
      <c r="I155" s="38">
        <v>0.626</v>
      </c>
      <c r="J155" s="38">
        <v>0.7131</v>
      </c>
      <c r="K155" s="38">
        <v>0.3326</v>
      </c>
      <c r="L155" s="38">
        <v>1.0</v>
      </c>
      <c r="M155" s="38">
        <v>0.625</v>
      </c>
    </row>
    <row r="156">
      <c r="A156" s="37" t="s">
        <v>39</v>
      </c>
      <c r="B156" s="37" t="s">
        <v>137</v>
      </c>
      <c r="C156" s="37" t="s">
        <v>51</v>
      </c>
      <c r="D156" s="38">
        <v>1.0</v>
      </c>
      <c r="E156" s="38">
        <v>3.0</v>
      </c>
      <c r="F156" s="38">
        <v>4.0</v>
      </c>
      <c r="G156" s="38">
        <v>4.0</v>
      </c>
      <c r="H156" s="38">
        <v>108540.0</v>
      </c>
      <c r="I156" s="38">
        <v>0.9751</v>
      </c>
      <c r="J156" s="38">
        <v>1.0</v>
      </c>
      <c r="K156" s="38">
        <v>1.0</v>
      </c>
      <c r="L156" s="38">
        <v>1.0</v>
      </c>
      <c r="M156" s="38">
        <v>0.9747</v>
      </c>
    </row>
    <row r="157">
      <c r="A157" s="37" t="s">
        <v>39</v>
      </c>
      <c r="B157" s="37" t="s">
        <v>137</v>
      </c>
      <c r="C157" s="37" t="s">
        <v>51</v>
      </c>
      <c r="D157" s="38">
        <v>1.0</v>
      </c>
      <c r="E157" s="38">
        <v>4.0</v>
      </c>
      <c r="F157" s="38">
        <v>4.0</v>
      </c>
      <c r="G157" s="38">
        <v>4.0</v>
      </c>
      <c r="H157" s="38">
        <v>108540.0</v>
      </c>
      <c r="I157" s="38">
        <v>1.0</v>
      </c>
      <c r="J157" s="38">
        <v>1.0</v>
      </c>
      <c r="K157" s="38">
        <v>1.0</v>
      </c>
      <c r="L157" s="38">
        <v>1.0</v>
      </c>
      <c r="M157" s="38">
        <v>1.0</v>
      </c>
    </row>
    <row r="158">
      <c r="A158" s="37" t="s">
        <v>39</v>
      </c>
      <c r="B158" s="37" t="s">
        <v>339</v>
      </c>
      <c r="C158" s="37" t="s">
        <v>51</v>
      </c>
      <c r="D158" s="38">
        <v>1.0</v>
      </c>
      <c r="E158" s="38">
        <v>1.0</v>
      </c>
      <c r="F158" s="38">
        <v>4.0</v>
      </c>
      <c r="G158" s="38">
        <v>4.0</v>
      </c>
      <c r="H158" s="38">
        <v>78741.0</v>
      </c>
      <c r="I158" s="38">
        <v>0.3201</v>
      </c>
      <c r="J158" s="38">
        <v>0.2081</v>
      </c>
      <c r="K158" s="38">
        <v>0.0</v>
      </c>
      <c r="L158" s="38">
        <v>0.5553</v>
      </c>
      <c r="M158" s="38">
        <v>0.3191</v>
      </c>
    </row>
    <row r="159">
      <c r="A159" s="37" t="s">
        <v>39</v>
      </c>
      <c r="B159" s="37" t="s">
        <v>339</v>
      </c>
      <c r="C159" s="37" t="s">
        <v>51</v>
      </c>
      <c r="D159" s="38">
        <v>1.0</v>
      </c>
      <c r="E159" s="38">
        <v>2.0</v>
      </c>
      <c r="F159" s="38">
        <v>4.0</v>
      </c>
      <c r="G159" s="38">
        <v>4.0</v>
      </c>
      <c r="H159" s="38">
        <v>78741.0</v>
      </c>
      <c r="I159" s="38">
        <v>0.6373</v>
      </c>
      <c r="J159" s="38">
        <v>0.7246</v>
      </c>
      <c r="K159" s="38">
        <v>0.3702</v>
      </c>
      <c r="L159" s="38">
        <v>1.0</v>
      </c>
      <c r="M159" s="38">
        <v>0.6361</v>
      </c>
    </row>
    <row r="160">
      <c r="A160" s="37" t="s">
        <v>39</v>
      </c>
      <c r="B160" s="37" t="s">
        <v>339</v>
      </c>
      <c r="C160" s="37" t="s">
        <v>51</v>
      </c>
      <c r="D160" s="38">
        <v>1.0</v>
      </c>
      <c r="E160" s="38">
        <v>3.0</v>
      </c>
      <c r="F160" s="38">
        <v>4.0</v>
      </c>
      <c r="G160" s="38">
        <v>4.0</v>
      </c>
      <c r="H160" s="38">
        <v>78741.0</v>
      </c>
      <c r="I160" s="38">
        <v>0.9781</v>
      </c>
      <c r="J160" s="38">
        <v>1.0</v>
      </c>
      <c r="K160" s="38">
        <v>1.0</v>
      </c>
      <c r="L160" s="38">
        <v>1.0</v>
      </c>
      <c r="M160" s="38">
        <v>0.9777</v>
      </c>
    </row>
    <row r="161">
      <c r="A161" s="37" t="s">
        <v>39</v>
      </c>
      <c r="B161" s="37" t="s">
        <v>339</v>
      </c>
      <c r="C161" s="37" t="s">
        <v>51</v>
      </c>
      <c r="D161" s="38">
        <v>1.0</v>
      </c>
      <c r="E161" s="38">
        <v>4.0</v>
      </c>
      <c r="F161" s="38">
        <v>4.0</v>
      </c>
      <c r="G161" s="38">
        <v>4.0</v>
      </c>
      <c r="H161" s="38">
        <v>78741.0</v>
      </c>
      <c r="I161" s="38">
        <v>1.0</v>
      </c>
      <c r="J161" s="38">
        <v>1.0</v>
      </c>
      <c r="K161" s="38">
        <v>1.0</v>
      </c>
      <c r="L161" s="38">
        <v>1.0</v>
      </c>
      <c r="M161" s="38">
        <v>1.0</v>
      </c>
    </row>
    <row r="162">
      <c r="A162" s="37" t="s">
        <v>39</v>
      </c>
      <c r="B162" s="37" t="s">
        <v>137</v>
      </c>
      <c r="C162" s="37" t="s">
        <v>52</v>
      </c>
      <c r="D162" s="38">
        <v>2.0</v>
      </c>
      <c r="E162" s="38">
        <v>1.0</v>
      </c>
      <c r="F162" s="38">
        <v>4.0</v>
      </c>
      <c r="G162" s="38">
        <v>4.0</v>
      </c>
      <c r="H162" s="38">
        <v>93496.0</v>
      </c>
      <c r="I162" s="38">
        <v>0.3315</v>
      </c>
      <c r="J162" s="38">
        <v>0.2566</v>
      </c>
      <c r="K162" s="38">
        <v>0.0</v>
      </c>
      <c r="L162" s="38">
        <v>0.5464</v>
      </c>
      <c r="M162" s="38">
        <v>0.3313</v>
      </c>
    </row>
    <row r="163">
      <c r="A163" s="37" t="s">
        <v>39</v>
      </c>
      <c r="B163" s="37" t="s">
        <v>137</v>
      </c>
      <c r="C163" s="37" t="s">
        <v>52</v>
      </c>
      <c r="D163" s="38">
        <v>2.0</v>
      </c>
      <c r="E163" s="38">
        <v>2.0</v>
      </c>
      <c r="F163" s="38">
        <v>4.0</v>
      </c>
      <c r="G163" s="38">
        <v>4.0</v>
      </c>
      <c r="H163" s="38">
        <v>93496.0</v>
      </c>
      <c r="I163" s="38">
        <v>0.6455</v>
      </c>
      <c r="J163" s="38">
        <v>0.7163</v>
      </c>
      <c r="K163" s="38">
        <v>0.4256</v>
      </c>
      <c r="L163" s="38">
        <v>0.9938</v>
      </c>
      <c r="M163" s="38">
        <v>0.6455</v>
      </c>
    </row>
    <row r="164">
      <c r="A164" s="37" t="s">
        <v>39</v>
      </c>
      <c r="B164" s="37" t="s">
        <v>137</v>
      </c>
      <c r="C164" s="37" t="s">
        <v>52</v>
      </c>
      <c r="D164" s="38">
        <v>2.0</v>
      </c>
      <c r="E164" s="38">
        <v>3.0</v>
      </c>
      <c r="F164" s="38">
        <v>4.0</v>
      </c>
      <c r="G164" s="38">
        <v>4.0</v>
      </c>
      <c r="H164" s="38">
        <v>93496.0</v>
      </c>
      <c r="I164" s="38">
        <v>0.9796</v>
      </c>
      <c r="J164" s="38">
        <v>1.0</v>
      </c>
      <c r="K164" s="38">
        <v>1.0</v>
      </c>
      <c r="L164" s="38">
        <v>1.0</v>
      </c>
      <c r="M164" s="38">
        <v>0.9796</v>
      </c>
    </row>
    <row r="165">
      <c r="A165" s="37" t="s">
        <v>39</v>
      </c>
      <c r="B165" s="37" t="s">
        <v>137</v>
      </c>
      <c r="C165" s="37" t="s">
        <v>52</v>
      </c>
      <c r="D165" s="38">
        <v>2.0</v>
      </c>
      <c r="E165" s="38">
        <v>4.0</v>
      </c>
      <c r="F165" s="38">
        <v>4.0</v>
      </c>
      <c r="G165" s="38">
        <v>4.0</v>
      </c>
      <c r="H165" s="38">
        <v>93496.0</v>
      </c>
      <c r="I165" s="38">
        <v>1.0</v>
      </c>
      <c r="J165" s="38">
        <v>1.0</v>
      </c>
      <c r="K165" s="38">
        <v>1.0</v>
      </c>
      <c r="L165" s="38">
        <v>1.0</v>
      </c>
      <c r="M165" s="38">
        <v>1.0</v>
      </c>
    </row>
    <row r="166">
      <c r="A166" s="37" t="s">
        <v>39</v>
      </c>
      <c r="B166" s="37" t="s">
        <v>339</v>
      </c>
      <c r="C166" s="37" t="s">
        <v>52</v>
      </c>
      <c r="D166" s="38">
        <v>2.0</v>
      </c>
      <c r="E166" s="38">
        <v>1.0</v>
      </c>
      <c r="F166" s="38">
        <v>4.0</v>
      </c>
      <c r="G166" s="38">
        <v>4.0</v>
      </c>
      <c r="H166" s="38">
        <v>56280.0</v>
      </c>
      <c r="I166" s="38">
        <v>0.3357</v>
      </c>
      <c r="J166" s="38">
        <v>0.2546</v>
      </c>
      <c r="K166" s="38">
        <v>6.0E-4</v>
      </c>
      <c r="L166" s="38">
        <v>0.5647</v>
      </c>
      <c r="M166" s="38">
        <v>0.3355</v>
      </c>
    </row>
    <row r="167">
      <c r="A167" s="37" t="s">
        <v>39</v>
      </c>
      <c r="B167" s="37" t="s">
        <v>339</v>
      </c>
      <c r="C167" s="37" t="s">
        <v>52</v>
      </c>
      <c r="D167" s="38">
        <v>2.0</v>
      </c>
      <c r="E167" s="38">
        <v>2.0</v>
      </c>
      <c r="F167" s="38">
        <v>4.0</v>
      </c>
      <c r="G167" s="38">
        <v>4.0</v>
      </c>
      <c r="H167" s="38">
        <v>56280.0</v>
      </c>
      <c r="I167" s="38">
        <v>0.6535</v>
      </c>
      <c r="J167" s="38">
        <v>0.7346</v>
      </c>
      <c r="K167" s="38">
        <v>0.4363</v>
      </c>
      <c r="L167" s="38">
        <v>0.9938</v>
      </c>
      <c r="M167" s="38">
        <v>0.6532</v>
      </c>
    </row>
    <row r="168">
      <c r="A168" s="37" t="s">
        <v>39</v>
      </c>
      <c r="B168" s="37" t="s">
        <v>339</v>
      </c>
      <c r="C168" s="37" t="s">
        <v>52</v>
      </c>
      <c r="D168" s="38">
        <v>2.0</v>
      </c>
      <c r="E168" s="38">
        <v>3.0</v>
      </c>
      <c r="F168" s="38">
        <v>4.0</v>
      </c>
      <c r="G168" s="38">
        <v>4.0</v>
      </c>
      <c r="H168" s="38">
        <v>56280.0</v>
      </c>
      <c r="I168" s="38">
        <v>0.9808</v>
      </c>
      <c r="J168" s="38">
        <v>1.0</v>
      </c>
      <c r="K168" s="38">
        <v>1.0</v>
      </c>
      <c r="L168" s="38">
        <v>1.0</v>
      </c>
      <c r="M168" s="38">
        <v>0.9806</v>
      </c>
    </row>
    <row r="169">
      <c r="A169" s="37" t="s">
        <v>39</v>
      </c>
      <c r="B169" s="37" t="s">
        <v>339</v>
      </c>
      <c r="C169" s="37" t="s">
        <v>52</v>
      </c>
      <c r="D169" s="38">
        <v>2.0</v>
      </c>
      <c r="E169" s="38">
        <v>4.0</v>
      </c>
      <c r="F169" s="38">
        <v>4.0</v>
      </c>
      <c r="G169" s="38">
        <v>4.0</v>
      </c>
      <c r="H169" s="38">
        <v>56280.0</v>
      </c>
      <c r="I169" s="38">
        <v>1.0</v>
      </c>
      <c r="J169" s="38">
        <v>1.0</v>
      </c>
      <c r="K169" s="38">
        <v>1.0</v>
      </c>
      <c r="L169" s="38">
        <v>1.0</v>
      </c>
      <c r="M169" s="38">
        <v>1.0</v>
      </c>
    </row>
    <row r="170">
      <c r="A170" s="37" t="s">
        <v>39</v>
      </c>
      <c r="B170" s="37" t="s">
        <v>137</v>
      </c>
      <c r="C170" s="37" t="s">
        <v>53</v>
      </c>
      <c r="D170" s="38">
        <v>3.0</v>
      </c>
      <c r="E170" s="38">
        <v>1.0</v>
      </c>
      <c r="F170" s="38">
        <v>4.0</v>
      </c>
      <c r="G170" s="38">
        <v>4.0</v>
      </c>
      <c r="H170" s="38">
        <v>57068.0</v>
      </c>
      <c r="I170" s="38">
        <v>0.3407</v>
      </c>
      <c r="J170" s="38">
        <v>0.2851</v>
      </c>
      <c r="K170" s="38">
        <v>0.0016</v>
      </c>
      <c r="L170" s="38">
        <v>0.544</v>
      </c>
      <c r="M170" s="38">
        <v>0.3407</v>
      </c>
    </row>
    <row r="171">
      <c r="A171" s="37" t="s">
        <v>39</v>
      </c>
      <c r="B171" s="37" t="s">
        <v>137</v>
      </c>
      <c r="C171" s="37" t="s">
        <v>53</v>
      </c>
      <c r="D171" s="38">
        <v>3.0</v>
      </c>
      <c r="E171" s="38">
        <v>2.0</v>
      </c>
      <c r="F171" s="38">
        <v>4.0</v>
      </c>
      <c r="G171" s="38">
        <v>4.0</v>
      </c>
      <c r="H171" s="38">
        <v>57068.0</v>
      </c>
      <c r="I171" s="38">
        <v>0.6552</v>
      </c>
      <c r="J171" s="38">
        <v>0.7231</v>
      </c>
      <c r="K171" s="38">
        <v>0.4616</v>
      </c>
      <c r="L171" s="38">
        <v>0.9869</v>
      </c>
      <c r="M171" s="38">
        <v>0.6553</v>
      </c>
    </row>
    <row r="172">
      <c r="A172" s="37" t="s">
        <v>39</v>
      </c>
      <c r="B172" s="37" t="s">
        <v>137</v>
      </c>
      <c r="C172" s="37" t="s">
        <v>53</v>
      </c>
      <c r="D172" s="38">
        <v>3.0</v>
      </c>
      <c r="E172" s="38">
        <v>3.0</v>
      </c>
      <c r="F172" s="38">
        <v>4.0</v>
      </c>
      <c r="G172" s="38">
        <v>4.0</v>
      </c>
      <c r="H172" s="38">
        <v>57068.0</v>
      </c>
      <c r="I172" s="38">
        <v>0.9809</v>
      </c>
      <c r="J172" s="38">
        <v>1.0</v>
      </c>
      <c r="K172" s="38">
        <v>1.0</v>
      </c>
      <c r="L172" s="38">
        <v>1.0</v>
      </c>
      <c r="M172" s="38">
        <v>0.9808</v>
      </c>
    </row>
    <row r="173">
      <c r="A173" s="37" t="s">
        <v>39</v>
      </c>
      <c r="B173" s="37" t="s">
        <v>137</v>
      </c>
      <c r="C173" s="37" t="s">
        <v>53</v>
      </c>
      <c r="D173" s="38">
        <v>3.0</v>
      </c>
      <c r="E173" s="38">
        <v>4.0</v>
      </c>
      <c r="F173" s="38">
        <v>4.0</v>
      </c>
      <c r="G173" s="38">
        <v>4.0</v>
      </c>
      <c r="H173" s="38">
        <v>57068.0</v>
      </c>
      <c r="I173" s="38">
        <v>1.0</v>
      </c>
      <c r="J173" s="38">
        <v>1.0</v>
      </c>
      <c r="K173" s="38">
        <v>1.0</v>
      </c>
      <c r="L173" s="38">
        <v>1.0</v>
      </c>
      <c r="M173" s="38">
        <v>1.0</v>
      </c>
    </row>
    <row r="174">
      <c r="A174" s="37" t="s">
        <v>39</v>
      </c>
      <c r="B174" s="37" t="s">
        <v>339</v>
      </c>
      <c r="C174" s="37" t="s">
        <v>53</v>
      </c>
      <c r="D174" s="38">
        <v>3.0</v>
      </c>
      <c r="E174" s="38">
        <v>1.0</v>
      </c>
      <c r="F174" s="38">
        <v>4.0</v>
      </c>
      <c r="G174" s="38">
        <v>4.0</v>
      </c>
      <c r="H174" s="38">
        <v>33124.0</v>
      </c>
      <c r="I174" s="38">
        <v>0.34</v>
      </c>
      <c r="J174" s="38">
        <v>0.2668</v>
      </c>
      <c r="K174" s="38">
        <v>2.0E-4</v>
      </c>
      <c r="L174" s="38">
        <v>0.5674</v>
      </c>
      <c r="M174" s="38">
        <v>0.3401</v>
      </c>
    </row>
    <row r="175">
      <c r="A175" s="37" t="s">
        <v>39</v>
      </c>
      <c r="B175" s="37" t="s">
        <v>339</v>
      </c>
      <c r="C175" s="37" t="s">
        <v>53</v>
      </c>
      <c r="D175" s="38">
        <v>3.0</v>
      </c>
      <c r="E175" s="38">
        <v>2.0</v>
      </c>
      <c r="F175" s="38">
        <v>4.0</v>
      </c>
      <c r="G175" s="38">
        <v>4.0</v>
      </c>
      <c r="H175" s="38">
        <v>33124.0</v>
      </c>
      <c r="I175" s="38">
        <v>0.6569</v>
      </c>
      <c r="J175" s="38">
        <v>0.7451</v>
      </c>
      <c r="K175" s="38">
        <v>0.4467</v>
      </c>
      <c r="L175" s="38">
        <v>0.9967</v>
      </c>
      <c r="M175" s="38">
        <v>0.6569</v>
      </c>
    </row>
    <row r="176">
      <c r="A176" s="37" t="s">
        <v>39</v>
      </c>
      <c r="B176" s="37" t="s">
        <v>339</v>
      </c>
      <c r="C176" s="37" t="s">
        <v>53</v>
      </c>
      <c r="D176" s="38">
        <v>3.0</v>
      </c>
      <c r="E176" s="38">
        <v>3.0</v>
      </c>
      <c r="F176" s="38">
        <v>4.0</v>
      </c>
      <c r="G176" s="38">
        <v>4.0</v>
      </c>
      <c r="H176" s="38">
        <v>33124.0</v>
      </c>
      <c r="I176" s="38">
        <v>0.9804</v>
      </c>
      <c r="J176" s="38">
        <v>1.0</v>
      </c>
      <c r="K176" s="38">
        <v>1.0</v>
      </c>
      <c r="L176" s="38">
        <v>1.0</v>
      </c>
      <c r="M176" s="38">
        <v>0.9804</v>
      </c>
    </row>
    <row r="177">
      <c r="A177" s="37" t="s">
        <v>39</v>
      </c>
      <c r="B177" s="37" t="s">
        <v>339</v>
      </c>
      <c r="C177" s="37" t="s">
        <v>53</v>
      </c>
      <c r="D177" s="38">
        <v>3.0</v>
      </c>
      <c r="E177" s="38">
        <v>4.0</v>
      </c>
      <c r="F177" s="38">
        <v>4.0</v>
      </c>
      <c r="G177" s="38">
        <v>4.0</v>
      </c>
      <c r="H177" s="38">
        <v>33124.0</v>
      </c>
      <c r="I177" s="38">
        <v>1.0</v>
      </c>
      <c r="J177" s="38">
        <v>1.0</v>
      </c>
      <c r="K177" s="38">
        <v>1.0</v>
      </c>
      <c r="L177" s="38">
        <v>1.0</v>
      </c>
      <c r="M177" s="38">
        <v>1.0</v>
      </c>
    </row>
    <row r="178">
      <c r="A178" s="37" t="s">
        <v>39</v>
      </c>
      <c r="B178" s="37" t="s">
        <v>137</v>
      </c>
      <c r="C178" s="37" t="s">
        <v>54</v>
      </c>
      <c r="D178" s="38">
        <v>4.0</v>
      </c>
      <c r="E178" s="38">
        <v>1.0</v>
      </c>
      <c r="F178" s="38">
        <v>4.0</v>
      </c>
      <c r="G178" s="38">
        <v>4.0</v>
      </c>
      <c r="H178" s="38">
        <v>23828.0</v>
      </c>
      <c r="I178" s="38">
        <v>0.4051</v>
      </c>
      <c r="J178" s="38">
        <v>0.3751</v>
      </c>
      <c r="K178" s="38">
        <v>0.0452</v>
      </c>
      <c r="L178" s="38">
        <v>0.6517</v>
      </c>
      <c r="M178" s="38">
        <v>0.4055</v>
      </c>
    </row>
    <row r="179">
      <c r="A179" s="37" t="s">
        <v>39</v>
      </c>
      <c r="B179" s="37" t="s">
        <v>137</v>
      </c>
      <c r="C179" s="37" t="s">
        <v>54</v>
      </c>
      <c r="D179" s="38">
        <v>4.0</v>
      </c>
      <c r="E179" s="38">
        <v>2.0</v>
      </c>
      <c r="F179" s="38">
        <v>4.0</v>
      </c>
      <c r="G179" s="38">
        <v>4.0</v>
      </c>
      <c r="H179" s="38">
        <v>23828.0</v>
      </c>
      <c r="I179" s="38">
        <v>0.7288</v>
      </c>
      <c r="J179" s="38">
        <v>0.8513</v>
      </c>
      <c r="K179" s="38">
        <v>0.5645</v>
      </c>
      <c r="L179" s="38">
        <v>1.0</v>
      </c>
      <c r="M179" s="38">
        <v>0.7291</v>
      </c>
    </row>
    <row r="180">
      <c r="A180" s="37" t="s">
        <v>39</v>
      </c>
      <c r="B180" s="37" t="s">
        <v>137</v>
      </c>
      <c r="C180" s="37" t="s">
        <v>54</v>
      </c>
      <c r="D180" s="38">
        <v>4.0</v>
      </c>
      <c r="E180" s="38">
        <v>3.0</v>
      </c>
      <c r="F180" s="38">
        <v>4.0</v>
      </c>
      <c r="G180" s="38">
        <v>4.0</v>
      </c>
      <c r="H180" s="38">
        <v>23828.0</v>
      </c>
      <c r="I180" s="38">
        <v>0.9871</v>
      </c>
      <c r="J180" s="38">
        <v>1.0</v>
      </c>
      <c r="K180" s="38">
        <v>1.0</v>
      </c>
      <c r="L180" s="38">
        <v>1.0</v>
      </c>
      <c r="M180" s="38">
        <v>0.987</v>
      </c>
    </row>
    <row r="181">
      <c r="A181" s="37" t="s">
        <v>39</v>
      </c>
      <c r="B181" s="37" t="s">
        <v>137</v>
      </c>
      <c r="C181" s="37" t="s">
        <v>54</v>
      </c>
      <c r="D181" s="38">
        <v>4.0</v>
      </c>
      <c r="E181" s="38">
        <v>4.0</v>
      </c>
      <c r="F181" s="38">
        <v>4.0</v>
      </c>
      <c r="G181" s="38">
        <v>4.0</v>
      </c>
      <c r="H181" s="38">
        <v>23828.0</v>
      </c>
      <c r="I181" s="38">
        <v>1.0</v>
      </c>
      <c r="J181" s="38">
        <v>1.0</v>
      </c>
      <c r="K181" s="38">
        <v>1.0</v>
      </c>
      <c r="L181" s="38">
        <v>1.0</v>
      </c>
      <c r="M181" s="38">
        <v>1.0</v>
      </c>
    </row>
    <row r="182">
      <c r="A182" s="37" t="s">
        <v>39</v>
      </c>
      <c r="B182" s="37" t="s">
        <v>339</v>
      </c>
      <c r="C182" s="37" t="s">
        <v>54</v>
      </c>
      <c r="D182" s="38">
        <v>4.0</v>
      </c>
      <c r="E182" s="38">
        <v>1.0</v>
      </c>
      <c r="F182" s="38">
        <v>4.0</v>
      </c>
      <c r="G182" s="38">
        <v>4.0</v>
      </c>
      <c r="H182" s="38">
        <v>14288.0</v>
      </c>
      <c r="I182" s="38">
        <v>0.3899</v>
      </c>
      <c r="J182" s="38">
        <v>0.3433</v>
      </c>
      <c r="K182" s="38">
        <v>7.0E-4</v>
      </c>
      <c r="L182" s="38">
        <v>0.6741</v>
      </c>
      <c r="M182" s="38">
        <v>0.3903</v>
      </c>
    </row>
    <row r="183">
      <c r="A183" s="37" t="s">
        <v>39</v>
      </c>
      <c r="B183" s="37" t="s">
        <v>339</v>
      </c>
      <c r="C183" s="37" t="s">
        <v>54</v>
      </c>
      <c r="D183" s="38">
        <v>4.0</v>
      </c>
      <c r="E183" s="38">
        <v>2.0</v>
      </c>
      <c r="F183" s="38">
        <v>4.0</v>
      </c>
      <c r="G183" s="38">
        <v>4.0</v>
      </c>
      <c r="H183" s="38">
        <v>14288.0</v>
      </c>
      <c r="I183" s="38">
        <v>0.713</v>
      </c>
      <c r="J183" s="38">
        <v>0.8795</v>
      </c>
      <c r="K183" s="38">
        <v>0.5229</v>
      </c>
      <c r="L183" s="38">
        <v>1.0</v>
      </c>
      <c r="M183" s="38">
        <v>0.7134</v>
      </c>
    </row>
    <row r="184">
      <c r="A184" s="37" t="s">
        <v>39</v>
      </c>
      <c r="B184" s="37" t="s">
        <v>339</v>
      </c>
      <c r="C184" s="37" t="s">
        <v>54</v>
      </c>
      <c r="D184" s="38">
        <v>4.0</v>
      </c>
      <c r="E184" s="38">
        <v>3.0</v>
      </c>
      <c r="F184" s="38">
        <v>4.0</v>
      </c>
      <c r="G184" s="38">
        <v>4.0</v>
      </c>
      <c r="H184" s="38">
        <v>14288.0</v>
      </c>
      <c r="I184" s="38">
        <v>0.9848</v>
      </c>
      <c r="J184" s="38">
        <v>1.0</v>
      </c>
      <c r="K184" s="38">
        <v>1.0</v>
      </c>
      <c r="L184" s="38">
        <v>1.0</v>
      </c>
      <c r="M184" s="38">
        <v>0.9849</v>
      </c>
    </row>
    <row r="185">
      <c r="A185" s="37" t="s">
        <v>39</v>
      </c>
      <c r="B185" s="37" t="s">
        <v>339</v>
      </c>
      <c r="C185" s="37" t="s">
        <v>54</v>
      </c>
      <c r="D185" s="38">
        <v>4.0</v>
      </c>
      <c r="E185" s="38">
        <v>4.0</v>
      </c>
      <c r="F185" s="38">
        <v>4.0</v>
      </c>
      <c r="G185" s="38">
        <v>4.0</v>
      </c>
      <c r="H185" s="38">
        <v>14288.0</v>
      </c>
      <c r="I185" s="38">
        <v>1.0</v>
      </c>
      <c r="J185" s="38">
        <v>1.0</v>
      </c>
      <c r="K185" s="38">
        <v>1.0</v>
      </c>
      <c r="L185" s="38">
        <v>1.0</v>
      </c>
      <c r="M185" s="38">
        <v>1.0</v>
      </c>
    </row>
    <row r="186">
      <c r="A186" s="37" t="s">
        <v>39</v>
      </c>
      <c r="B186" s="37" t="s">
        <v>137</v>
      </c>
      <c r="C186" s="37" t="s">
        <v>55</v>
      </c>
      <c r="D186" s="38">
        <v>5.0</v>
      </c>
      <c r="E186" s="38">
        <v>1.0</v>
      </c>
      <c r="F186" s="38">
        <v>4.0</v>
      </c>
      <c r="G186" s="38">
        <v>4.0</v>
      </c>
      <c r="H186" s="38">
        <v>3850.0</v>
      </c>
      <c r="I186" s="38">
        <v>0.5397</v>
      </c>
      <c r="J186" s="38">
        <v>0.6126</v>
      </c>
      <c r="K186" s="38">
        <v>1.0E-4</v>
      </c>
      <c r="L186" s="38">
        <v>1.0</v>
      </c>
      <c r="M186" s="38">
        <v>0.5404</v>
      </c>
    </row>
    <row r="187">
      <c r="A187" s="37" t="s">
        <v>39</v>
      </c>
      <c r="B187" s="37" t="s">
        <v>137</v>
      </c>
      <c r="C187" s="37" t="s">
        <v>55</v>
      </c>
      <c r="D187" s="38">
        <v>5.0</v>
      </c>
      <c r="E187" s="38">
        <v>2.0</v>
      </c>
      <c r="F187" s="38">
        <v>4.0</v>
      </c>
      <c r="G187" s="38">
        <v>4.0</v>
      </c>
      <c r="H187" s="38">
        <v>3850.0</v>
      </c>
      <c r="I187" s="38">
        <v>0.79</v>
      </c>
      <c r="J187" s="38">
        <v>1.0</v>
      </c>
      <c r="K187" s="38">
        <v>0.7145</v>
      </c>
      <c r="L187" s="38">
        <v>1.0</v>
      </c>
      <c r="M187" s="38">
        <v>0.7905</v>
      </c>
    </row>
    <row r="188">
      <c r="A188" s="37" t="s">
        <v>39</v>
      </c>
      <c r="B188" s="37" t="s">
        <v>137</v>
      </c>
      <c r="C188" s="37" t="s">
        <v>55</v>
      </c>
      <c r="D188" s="38">
        <v>5.0</v>
      </c>
      <c r="E188" s="38">
        <v>3.0</v>
      </c>
      <c r="F188" s="38">
        <v>4.0</v>
      </c>
      <c r="G188" s="38">
        <v>4.0</v>
      </c>
      <c r="H188" s="38">
        <v>3850.0</v>
      </c>
      <c r="I188" s="38">
        <v>0.9897</v>
      </c>
      <c r="J188" s="38">
        <v>1.0</v>
      </c>
      <c r="K188" s="38">
        <v>1.0</v>
      </c>
      <c r="L188" s="38">
        <v>1.0</v>
      </c>
      <c r="M188" s="38">
        <v>0.9899</v>
      </c>
    </row>
    <row r="189">
      <c r="A189" s="37" t="s">
        <v>39</v>
      </c>
      <c r="B189" s="37" t="s">
        <v>137</v>
      </c>
      <c r="C189" s="37" t="s">
        <v>55</v>
      </c>
      <c r="D189" s="38">
        <v>5.0</v>
      </c>
      <c r="E189" s="38">
        <v>4.0</v>
      </c>
      <c r="F189" s="38">
        <v>4.0</v>
      </c>
      <c r="G189" s="38">
        <v>4.0</v>
      </c>
      <c r="H189" s="38">
        <v>3850.0</v>
      </c>
      <c r="I189" s="38">
        <v>1.0</v>
      </c>
      <c r="J189" s="38">
        <v>1.0</v>
      </c>
      <c r="K189" s="38">
        <v>1.0</v>
      </c>
      <c r="L189" s="38">
        <v>1.0</v>
      </c>
      <c r="M189" s="38">
        <v>1.0</v>
      </c>
    </row>
    <row r="190">
      <c r="A190" s="37" t="s">
        <v>39</v>
      </c>
      <c r="B190" s="37" t="s">
        <v>339</v>
      </c>
      <c r="C190" s="37" t="s">
        <v>55</v>
      </c>
      <c r="D190" s="38">
        <v>5.0</v>
      </c>
      <c r="E190" s="38">
        <v>1.0</v>
      </c>
      <c r="F190" s="38">
        <v>4.0</v>
      </c>
      <c r="G190" s="38">
        <v>4.0</v>
      </c>
      <c r="H190" s="38">
        <v>2246.0</v>
      </c>
      <c r="I190" s="38">
        <v>0.5147</v>
      </c>
      <c r="J190" s="38">
        <v>0.5811</v>
      </c>
      <c r="K190" s="38">
        <v>0.0</v>
      </c>
      <c r="L190" s="38">
        <v>1.0</v>
      </c>
      <c r="M190" s="38">
        <v>0.5152</v>
      </c>
    </row>
    <row r="191">
      <c r="A191" s="37" t="s">
        <v>39</v>
      </c>
      <c r="B191" s="37" t="s">
        <v>339</v>
      </c>
      <c r="C191" s="37" t="s">
        <v>55</v>
      </c>
      <c r="D191" s="38">
        <v>5.0</v>
      </c>
      <c r="E191" s="38">
        <v>2.0</v>
      </c>
      <c r="F191" s="38">
        <v>4.0</v>
      </c>
      <c r="G191" s="38">
        <v>4.0</v>
      </c>
      <c r="H191" s="38">
        <v>2246.0</v>
      </c>
      <c r="I191" s="38">
        <v>0.7882</v>
      </c>
      <c r="J191" s="38">
        <v>1.0</v>
      </c>
      <c r="K191" s="38">
        <v>0.746</v>
      </c>
      <c r="L191" s="38">
        <v>1.0</v>
      </c>
      <c r="M191" s="38">
        <v>0.7886</v>
      </c>
    </row>
    <row r="192">
      <c r="A192" s="37" t="s">
        <v>39</v>
      </c>
      <c r="B192" s="37" t="s">
        <v>339</v>
      </c>
      <c r="C192" s="37" t="s">
        <v>55</v>
      </c>
      <c r="D192" s="38">
        <v>5.0</v>
      </c>
      <c r="E192" s="38">
        <v>3.0</v>
      </c>
      <c r="F192" s="38">
        <v>4.0</v>
      </c>
      <c r="G192" s="38">
        <v>4.0</v>
      </c>
      <c r="H192" s="38">
        <v>2246.0</v>
      </c>
      <c r="I192" s="38">
        <v>0.9862</v>
      </c>
      <c r="J192" s="38">
        <v>1.0</v>
      </c>
      <c r="K192" s="38">
        <v>1.0</v>
      </c>
      <c r="L192" s="38">
        <v>1.0</v>
      </c>
      <c r="M192" s="38">
        <v>0.9863</v>
      </c>
    </row>
    <row r="193">
      <c r="A193" s="37" t="s">
        <v>39</v>
      </c>
      <c r="B193" s="37" t="s">
        <v>339</v>
      </c>
      <c r="C193" s="37" t="s">
        <v>55</v>
      </c>
      <c r="D193" s="38">
        <v>5.0</v>
      </c>
      <c r="E193" s="38">
        <v>4.0</v>
      </c>
      <c r="F193" s="38">
        <v>4.0</v>
      </c>
      <c r="G193" s="38">
        <v>4.0</v>
      </c>
      <c r="H193" s="38">
        <v>2246.0</v>
      </c>
      <c r="I193" s="38">
        <v>1.0</v>
      </c>
      <c r="J193" s="38">
        <v>1.0</v>
      </c>
      <c r="K193" s="38">
        <v>1.0</v>
      </c>
      <c r="L193" s="38">
        <v>1.0</v>
      </c>
      <c r="M193" s="38">
        <v>1.0</v>
      </c>
    </row>
    <row r="194">
      <c r="A194" s="37" t="s">
        <v>368</v>
      </c>
      <c r="B194" s="37" t="s">
        <v>137</v>
      </c>
      <c r="C194" s="37" t="s">
        <v>51</v>
      </c>
      <c r="D194" s="38">
        <v>1.0</v>
      </c>
      <c r="E194" s="38">
        <v>1.0</v>
      </c>
      <c r="F194" s="38">
        <v>5.0</v>
      </c>
      <c r="G194" s="38">
        <v>2.0</v>
      </c>
      <c r="H194" s="38">
        <v>90294.0</v>
      </c>
      <c r="I194" s="38">
        <v>0.2228</v>
      </c>
      <c r="J194" s="38">
        <v>0.0568</v>
      </c>
      <c r="K194" s="38">
        <v>0.0</v>
      </c>
      <c r="L194" s="38">
        <v>0.3471</v>
      </c>
      <c r="M194" s="38">
        <v>0.2228</v>
      </c>
    </row>
    <row r="195">
      <c r="A195" s="37" t="s">
        <v>368</v>
      </c>
      <c r="B195" s="37" t="s">
        <v>137</v>
      </c>
      <c r="C195" s="37" t="s">
        <v>51</v>
      </c>
      <c r="D195" s="38">
        <v>1.0</v>
      </c>
      <c r="E195" s="38">
        <v>2.0</v>
      </c>
      <c r="F195" s="38">
        <v>5.0</v>
      </c>
      <c r="G195" s="38">
        <v>2.0</v>
      </c>
      <c r="H195" s="38">
        <v>90294.0</v>
      </c>
      <c r="I195" s="38">
        <v>0.476</v>
      </c>
      <c r="J195" s="38">
        <v>0.4646</v>
      </c>
      <c r="K195" s="38">
        <v>0.0868</v>
      </c>
      <c r="L195" s="38">
        <v>0.8254</v>
      </c>
      <c r="M195" s="38">
        <v>0.476</v>
      </c>
    </row>
    <row r="196">
      <c r="A196" s="37" t="s">
        <v>368</v>
      </c>
      <c r="B196" s="37" t="s">
        <v>137</v>
      </c>
      <c r="C196" s="37" t="s">
        <v>51</v>
      </c>
      <c r="D196" s="38">
        <v>1.0</v>
      </c>
      <c r="E196" s="38">
        <v>3.0</v>
      </c>
      <c r="F196" s="38">
        <v>5.0</v>
      </c>
      <c r="G196" s="38">
        <v>2.0</v>
      </c>
      <c r="H196" s="38">
        <v>90294.0</v>
      </c>
      <c r="I196" s="38">
        <v>0.7254</v>
      </c>
      <c r="J196" s="38">
        <v>0.8557</v>
      </c>
      <c r="K196" s="38">
        <v>0.5501</v>
      </c>
      <c r="L196" s="38">
        <v>1.0</v>
      </c>
      <c r="M196" s="38">
        <v>0.7254</v>
      </c>
    </row>
    <row r="197">
      <c r="A197" s="37" t="s">
        <v>368</v>
      </c>
      <c r="B197" s="37" t="s">
        <v>137</v>
      </c>
      <c r="C197" s="37" t="s">
        <v>51</v>
      </c>
      <c r="D197" s="38">
        <v>1.0</v>
      </c>
      <c r="E197" s="38">
        <v>4.0</v>
      </c>
      <c r="F197" s="38">
        <v>5.0</v>
      </c>
      <c r="G197" s="38">
        <v>2.0</v>
      </c>
      <c r="H197" s="38">
        <v>90294.0</v>
      </c>
      <c r="I197" s="38">
        <v>0.9815</v>
      </c>
      <c r="J197" s="38">
        <v>1.0</v>
      </c>
      <c r="K197" s="38">
        <v>1.0</v>
      </c>
      <c r="L197" s="38">
        <v>1.0</v>
      </c>
      <c r="M197" s="38">
        <v>0.9815</v>
      </c>
    </row>
    <row r="198">
      <c r="A198" s="37" t="s">
        <v>368</v>
      </c>
      <c r="B198" s="37" t="s">
        <v>137</v>
      </c>
      <c r="C198" s="37" t="s">
        <v>51</v>
      </c>
      <c r="D198" s="38">
        <v>1.0</v>
      </c>
      <c r="E198" s="38">
        <v>5.0</v>
      </c>
      <c r="F198" s="38">
        <v>5.0</v>
      </c>
      <c r="G198" s="38">
        <v>2.0</v>
      </c>
      <c r="H198" s="38">
        <v>90294.0</v>
      </c>
      <c r="I198" s="38">
        <v>1.0</v>
      </c>
      <c r="J198" s="38">
        <v>1.0</v>
      </c>
      <c r="K198" s="38">
        <v>1.0</v>
      </c>
      <c r="L198" s="38">
        <v>1.0</v>
      </c>
      <c r="M198" s="38">
        <v>1.0</v>
      </c>
    </row>
    <row r="199">
      <c r="A199" s="37" t="s">
        <v>368</v>
      </c>
      <c r="B199" s="37" t="s">
        <v>339</v>
      </c>
      <c r="C199" s="37" t="s">
        <v>51</v>
      </c>
      <c r="D199" s="38">
        <v>1.0</v>
      </c>
      <c r="E199" s="38">
        <v>1.0</v>
      </c>
      <c r="F199" s="38">
        <v>5.0</v>
      </c>
      <c r="G199" s="38">
        <v>2.0</v>
      </c>
      <c r="H199" s="38">
        <v>66920.0</v>
      </c>
      <c r="I199" s="38">
        <v>0.2343</v>
      </c>
      <c r="J199" s="38">
        <v>0.1013</v>
      </c>
      <c r="K199" s="38">
        <v>0.0</v>
      </c>
      <c r="L199" s="38">
        <v>0.3761</v>
      </c>
      <c r="M199" s="38">
        <v>0.2343</v>
      </c>
    </row>
    <row r="200">
      <c r="A200" s="37" t="s">
        <v>368</v>
      </c>
      <c r="B200" s="37" t="s">
        <v>339</v>
      </c>
      <c r="C200" s="37" t="s">
        <v>51</v>
      </c>
      <c r="D200" s="38">
        <v>1.0</v>
      </c>
      <c r="E200" s="38">
        <v>2.0</v>
      </c>
      <c r="F200" s="38">
        <v>5.0</v>
      </c>
      <c r="G200" s="38">
        <v>2.0</v>
      </c>
      <c r="H200" s="38">
        <v>66920.0</v>
      </c>
      <c r="I200" s="38">
        <v>0.4929</v>
      </c>
      <c r="J200" s="38">
        <v>0.4928</v>
      </c>
      <c r="K200" s="38">
        <v>0.1633</v>
      </c>
      <c r="L200" s="38">
        <v>0.8068</v>
      </c>
      <c r="M200" s="38">
        <v>0.4929</v>
      </c>
    </row>
    <row r="201">
      <c r="A201" s="37" t="s">
        <v>368</v>
      </c>
      <c r="B201" s="37" t="s">
        <v>339</v>
      </c>
      <c r="C201" s="37" t="s">
        <v>51</v>
      </c>
      <c r="D201" s="38">
        <v>1.0</v>
      </c>
      <c r="E201" s="38">
        <v>3.0</v>
      </c>
      <c r="F201" s="38">
        <v>5.0</v>
      </c>
      <c r="G201" s="38">
        <v>2.0</v>
      </c>
      <c r="H201" s="38">
        <v>66920.0</v>
      </c>
      <c r="I201" s="38">
        <v>0.7401</v>
      </c>
      <c r="J201" s="38">
        <v>0.8586</v>
      </c>
      <c r="K201" s="38">
        <v>0.5847</v>
      </c>
      <c r="L201" s="38">
        <v>1.0</v>
      </c>
      <c r="M201" s="38">
        <v>0.7401</v>
      </c>
    </row>
    <row r="202">
      <c r="A202" s="37" t="s">
        <v>368</v>
      </c>
      <c r="B202" s="37" t="s">
        <v>339</v>
      </c>
      <c r="C202" s="37" t="s">
        <v>51</v>
      </c>
      <c r="D202" s="38">
        <v>1.0</v>
      </c>
      <c r="E202" s="38">
        <v>4.0</v>
      </c>
      <c r="F202" s="38">
        <v>5.0</v>
      </c>
      <c r="G202" s="38">
        <v>2.0</v>
      </c>
      <c r="H202" s="38">
        <v>66920.0</v>
      </c>
      <c r="I202" s="38">
        <v>0.9834</v>
      </c>
      <c r="J202" s="38">
        <v>1.0</v>
      </c>
      <c r="K202" s="38">
        <v>1.0</v>
      </c>
      <c r="L202" s="38">
        <v>1.0</v>
      </c>
      <c r="M202" s="38">
        <v>0.9834</v>
      </c>
    </row>
    <row r="203">
      <c r="A203" s="37" t="s">
        <v>368</v>
      </c>
      <c r="B203" s="37" t="s">
        <v>339</v>
      </c>
      <c r="C203" s="37" t="s">
        <v>51</v>
      </c>
      <c r="D203" s="38">
        <v>1.0</v>
      </c>
      <c r="E203" s="38">
        <v>5.0</v>
      </c>
      <c r="F203" s="38">
        <v>5.0</v>
      </c>
      <c r="G203" s="38">
        <v>2.0</v>
      </c>
      <c r="H203" s="38">
        <v>66920.0</v>
      </c>
      <c r="I203" s="38">
        <v>1.0</v>
      </c>
      <c r="J203" s="38">
        <v>1.0</v>
      </c>
      <c r="K203" s="38">
        <v>1.0</v>
      </c>
      <c r="L203" s="38">
        <v>1.0</v>
      </c>
      <c r="M203" s="38">
        <v>1.0</v>
      </c>
    </row>
    <row r="204">
      <c r="A204" s="37" t="s">
        <v>368</v>
      </c>
      <c r="B204" s="37" t="s">
        <v>137</v>
      </c>
      <c r="C204" s="37" t="s">
        <v>52</v>
      </c>
      <c r="D204" s="38">
        <v>2.0</v>
      </c>
      <c r="E204" s="38">
        <v>1.0</v>
      </c>
      <c r="F204" s="38">
        <v>5.0</v>
      </c>
      <c r="G204" s="38">
        <v>2.0</v>
      </c>
      <c r="H204" s="38">
        <v>68591.0</v>
      </c>
      <c r="I204" s="38">
        <v>0.245</v>
      </c>
      <c r="J204" s="38">
        <v>0.1546</v>
      </c>
      <c r="K204" s="38">
        <v>0.0</v>
      </c>
      <c r="L204" s="38">
        <v>0.3769</v>
      </c>
      <c r="M204" s="38">
        <v>0.245</v>
      </c>
    </row>
    <row r="205">
      <c r="A205" s="37" t="s">
        <v>368</v>
      </c>
      <c r="B205" s="37" t="s">
        <v>137</v>
      </c>
      <c r="C205" s="37" t="s">
        <v>52</v>
      </c>
      <c r="D205" s="38">
        <v>2.0</v>
      </c>
      <c r="E205" s="38">
        <v>2.0</v>
      </c>
      <c r="F205" s="38">
        <v>5.0</v>
      </c>
      <c r="G205" s="38">
        <v>2.0</v>
      </c>
      <c r="H205" s="38">
        <v>68591.0</v>
      </c>
      <c r="I205" s="38">
        <v>0.5024</v>
      </c>
      <c r="J205" s="38">
        <v>0.5041</v>
      </c>
      <c r="K205" s="38">
        <v>0.2393</v>
      </c>
      <c r="L205" s="38">
        <v>0.7738</v>
      </c>
      <c r="M205" s="38">
        <v>0.5023</v>
      </c>
    </row>
    <row r="206">
      <c r="A206" s="37" t="s">
        <v>368</v>
      </c>
      <c r="B206" s="37" t="s">
        <v>137</v>
      </c>
      <c r="C206" s="37" t="s">
        <v>52</v>
      </c>
      <c r="D206" s="38">
        <v>2.0</v>
      </c>
      <c r="E206" s="38">
        <v>3.0</v>
      </c>
      <c r="F206" s="38">
        <v>5.0</v>
      </c>
      <c r="G206" s="38">
        <v>2.0</v>
      </c>
      <c r="H206" s="38">
        <v>68591.0</v>
      </c>
      <c r="I206" s="38">
        <v>0.747</v>
      </c>
      <c r="J206" s="38">
        <v>0.8324</v>
      </c>
      <c r="K206" s="38">
        <v>0.6218</v>
      </c>
      <c r="L206" s="38">
        <v>0.9994</v>
      </c>
      <c r="M206" s="38">
        <v>0.747</v>
      </c>
    </row>
    <row r="207">
      <c r="A207" s="37" t="s">
        <v>368</v>
      </c>
      <c r="B207" s="37" t="s">
        <v>137</v>
      </c>
      <c r="C207" s="37" t="s">
        <v>52</v>
      </c>
      <c r="D207" s="38">
        <v>2.0</v>
      </c>
      <c r="E207" s="38">
        <v>4.0</v>
      </c>
      <c r="F207" s="38">
        <v>5.0</v>
      </c>
      <c r="G207" s="38">
        <v>2.0</v>
      </c>
      <c r="H207" s="38">
        <v>68591.0</v>
      </c>
      <c r="I207" s="38">
        <v>0.9853</v>
      </c>
      <c r="J207" s="38">
        <v>1.0</v>
      </c>
      <c r="K207" s="38">
        <v>1.0</v>
      </c>
      <c r="L207" s="38">
        <v>1.0</v>
      </c>
      <c r="M207" s="38">
        <v>0.9853</v>
      </c>
    </row>
    <row r="208">
      <c r="A208" s="37" t="s">
        <v>368</v>
      </c>
      <c r="B208" s="37" t="s">
        <v>137</v>
      </c>
      <c r="C208" s="37" t="s">
        <v>52</v>
      </c>
      <c r="D208" s="38">
        <v>2.0</v>
      </c>
      <c r="E208" s="38">
        <v>5.0</v>
      </c>
      <c r="F208" s="38">
        <v>5.0</v>
      </c>
      <c r="G208" s="38">
        <v>2.0</v>
      </c>
      <c r="H208" s="38">
        <v>68591.0</v>
      </c>
      <c r="I208" s="38">
        <v>1.0</v>
      </c>
      <c r="J208" s="38">
        <v>1.0</v>
      </c>
      <c r="K208" s="38">
        <v>1.0</v>
      </c>
      <c r="L208" s="38">
        <v>1.0</v>
      </c>
      <c r="M208" s="38">
        <v>1.0</v>
      </c>
    </row>
    <row r="209">
      <c r="A209" s="37" t="s">
        <v>368</v>
      </c>
      <c r="B209" s="37" t="s">
        <v>339</v>
      </c>
      <c r="C209" s="37" t="s">
        <v>52</v>
      </c>
      <c r="D209" s="38">
        <v>2.0</v>
      </c>
      <c r="E209" s="38">
        <v>1.0</v>
      </c>
      <c r="F209" s="38">
        <v>5.0</v>
      </c>
      <c r="G209" s="38">
        <v>2.0</v>
      </c>
      <c r="H209" s="38">
        <v>40747.0</v>
      </c>
      <c r="I209" s="38">
        <v>0.2502</v>
      </c>
      <c r="J209" s="38">
        <v>0.154</v>
      </c>
      <c r="K209" s="38">
        <v>0.0</v>
      </c>
      <c r="L209" s="38">
        <v>0.3898</v>
      </c>
      <c r="M209" s="38">
        <v>0.2502</v>
      </c>
    </row>
    <row r="210">
      <c r="A210" s="37" t="s">
        <v>368</v>
      </c>
      <c r="B210" s="37" t="s">
        <v>339</v>
      </c>
      <c r="C210" s="37" t="s">
        <v>52</v>
      </c>
      <c r="D210" s="38">
        <v>2.0</v>
      </c>
      <c r="E210" s="38">
        <v>2.0</v>
      </c>
      <c r="F210" s="38">
        <v>5.0</v>
      </c>
      <c r="G210" s="38">
        <v>2.0</v>
      </c>
      <c r="H210" s="38">
        <v>40747.0</v>
      </c>
      <c r="I210" s="38">
        <v>0.5094</v>
      </c>
      <c r="J210" s="38">
        <v>0.5158</v>
      </c>
      <c r="K210" s="38">
        <v>0.2416</v>
      </c>
      <c r="L210" s="38">
        <v>0.7883</v>
      </c>
      <c r="M210" s="38">
        <v>0.5094</v>
      </c>
    </row>
    <row r="211">
      <c r="A211" s="37" t="s">
        <v>368</v>
      </c>
      <c r="B211" s="37" t="s">
        <v>339</v>
      </c>
      <c r="C211" s="37" t="s">
        <v>52</v>
      </c>
      <c r="D211" s="38">
        <v>2.0</v>
      </c>
      <c r="E211" s="38">
        <v>3.0</v>
      </c>
      <c r="F211" s="38">
        <v>5.0</v>
      </c>
      <c r="G211" s="38">
        <v>2.0</v>
      </c>
      <c r="H211" s="38">
        <v>40747.0</v>
      </c>
      <c r="I211" s="38">
        <v>0.7549</v>
      </c>
      <c r="J211" s="38">
        <v>0.8515</v>
      </c>
      <c r="K211" s="38">
        <v>0.6322</v>
      </c>
      <c r="L211" s="38">
        <v>0.9998</v>
      </c>
      <c r="M211" s="38">
        <v>0.7549</v>
      </c>
    </row>
    <row r="212">
      <c r="A212" s="37" t="s">
        <v>368</v>
      </c>
      <c r="B212" s="37" t="s">
        <v>339</v>
      </c>
      <c r="C212" s="37" t="s">
        <v>52</v>
      </c>
      <c r="D212" s="38">
        <v>2.0</v>
      </c>
      <c r="E212" s="38">
        <v>4.0</v>
      </c>
      <c r="F212" s="38">
        <v>5.0</v>
      </c>
      <c r="G212" s="38">
        <v>2.0</v>
      </c>
      <c r="H212" s="38">
        <v>40747.0</v>
      </c>
      <c r="I212" s="38">
        <v>0.9858</v>
      </c>
      <c r="J212" s="38">
        <v>1.0</v>
      </c>
      <c r="K212" s="38">
        <v>1.0</v>
      </c>
      <c r="L212" s="38">
        <v>1.0</v>
      </c>
      <c r="M212" s="38">
        <v>0.9858</v>
      </c>
    </row>
    <row r="213">
      <c r="A213" s="37" t="s">
        <v>368</v>
      </c>
      <c r="B213" s="37" t="s">
        <v>339</v>
      </c>
      <c r="C213" s="37" t="s">
        <v>52</v>
      </c>
      <c r="D213" s="38">
        <v>2.0</v>
      </c>
      <c r="E213" s="38">
        <v>5.0</v>
      </c>
      <c r="F213" s="38">
        <v>5.0</v>
      </c>
      <c r="G213" s="38">
        <v>2.0</v>
      </c>
      <c r="H213" s="38">
        <v>40747.0</v>
      </c>
      <c r="I213" s="38">
        <v>1.0</v>
      </c>
      <c r="J213" s="38">
        <v>1.0</v>
      </c>
      <c r="K213" s="38">
        <v>1.0</v>
      </c>
      <c r="L213" s="38">
        <v>1.0</v>
      </c>
      <c r="M213" s="38">
        <v>1.0</v>
      </c>
    </row>
    <row r="214">
      <c r="A214" s="37" t="s">
        <v>368</v>
      </c>
      <c r="B214" s="37" t="s">
        <v>137</v>
      </c>
      <c r="C214" s="37" t="s">
        <v>53</v>
      </c>
      <c r="D214" s="38">
        <v>3.0</v>
      </c>
      <c r="E214" s="38">
        <v>1.0</v>
      </c>
      <c r="F214" s="38">
        <v>5.0</v>
      </c>
      <c r="G214" s="38">
        <v>2.0</v>
      </c>
      <c r="H214" s="38">
        <v>41906.0</v>
      </c>
      <c r="I214" s="38">
        <v>0.2564</v>
      </c>
      <c r="J214" s="38">
        <v>0.1893</v>
      </c>
      <c r="K214" s="38">
        <v>0.0</v>
      </c>
      <c r="L214" s="38">
        <v>0.3871</v>
      </c>
      <c r="M214" s="38">
        <v>0.2563</v>
      </c>
    </row>
    <row r="215">
      <c r="A215" s="37" t="s">
        <v>368</v>
      </c>
      <c r="B215" s="37" t="s">
        <v>137</v>
      </c>
      <c r="C215" s="37" t="s">
        <v>53</v>
      </c>
      <c r="D215" s="38">
        <v>3.0</v>
      </c>
      <c r="E215" s="38">
        <v>2.0</v>
      </c>
      <c r="F215" s="38">
        <v>5.0</v>
      </c>
      <c r="G215" s="38">
        <v>2.0</v>
      </c>
      <c r="H215" s="38">
        <v>41906.0</v>
      </c>
      <c r="I215" s="38">
        <v>0.5207</v>
      </c>
      <c r="J215" s="38">
        <v>0.5328</v>
      </c>
      <c r="K215" s="38">
        <v>0.2931</v>
      </c>
      <c r="L215" s="38">
        <v>0.7733</v>
      </c>
      <c r="M215" s="38">
        <v>0.5206</v>
      </c>
    </row>
    <row r="216">
      <c r="A216" s="37" t="s">
        <v>368</v>
      </c>
      <c r="B216" s="37" t="s">
        <v>137</v>
      </c>
      <c r="C216" s="37" t="s">
        <v>53</v>
      </c>
      <c r="D216" s="38">
        <v>3.0</v>
      </c>
      <c r="E216" s="38">
        <v>3.0</v>
      </c>
      <c r="F216" s="38">
        <v>5.0</v>
      </c>
      <c r="G216" s="38">
        <v>2.0</v>
      </c>
      <c r="H216" s="38">
        <v>41906.0</v>
      </c>
      <c r="I216" s="38">
        <v>0.7614</v>
      </c>
      <c r="J216" s="38">
        <v>0.8391</v>
      </c>
      <c r="K216" s="38">
        <v>0.6587</v>
      </c>
      <c r="L216" s="38">
        <v>0.9997</v>
      </c>
      <c r="M216" s="38">
        <v>0.7613</v>
      </c>
    </row>
    <row r="217">
      <c r="A217" s="37" t="s">
        <v>368</v>
      </c>
      <c r="B217" s="37" t="s">
        <v>137</v>
      </c>
      <c r="C217" s="37" t="s">
        <v>53</v>
      </c>
      <c r="D217" s="38">
        <v>3.0</v>
      </c>
      <c r="E217" s="38">
        <v>4.0</v>
      </c>
      <c r="F217" s="38">
        <v>5.0</v>
      </c>
      <c r="G217" s="38">
        <v>2.0</v>
      </c>
      <c r="H217" s="38">
        <v>41906.0</v>
      </c>
      <c r="I217" s="38">
        <v>0.9871</v>
      </c>
      <c r="J217" s="38">
        <v>1.0</v>
      </c>
      <c r="K217" s="38">
        <v>1.0</v>
      </c>
      <c r="L217" s="38">
        <v>1.0</v>
      </c>
      <c r="M217" s="38">
        <v>0.9871</v>
      </c>
    </row>
    <row r="218">
      <c r="A218" s="37" t="s">
        <v>368</v>
      </c>
      <c r="B218" s="37" t="s">
        <v>137</v>
      </c>
      <c r="C218" s="37" t="s">
        <v>53</v>
      </c>
      <c r="D218" s="38">
        <v>3.0</v>
      </c>
      <c r="E218" s="38">
        <v>5.0</v>
      </c>
      <c r="F218" s="38">
        <v>5.0</v>
      </c>
      <c r="G218" s="38">
        <v>2.0</v>
      </c>
      <c r="H218" s="38">
        <v>41906.0</v>
      </c>
      <c r="I218" s="38">
        <v>1.0</v>
      </c>
      <c r="J218" s="38">
        <v>1.0</v>
      </c>
      <c r="K218" s="38">
        <v>1.0</v>
      </c>
      <c r="L218" s="38">
        <v>1.0</v>
      </c>
      <c r="M218" s="38">
        <v>1.0</v>
      </c>
    </row>
    <row r="219">
      <c r="A219" s="37" t="s">
        <v>368</v>
      </c>
      <c r="B219" s="37" t="s">
        <v>339</v>
      </c>
      <c r="C219" s="37" t="s">
        <v>53</v>
      </c>
      <c r="D219" s="38">
        <v>3.0</v>
      </c>
      <c r="E219" s="38">
        <v>1.0</v>
      </c>
      <c r="F219" s="38">
        <v>5.0</v>
      </c>
      <c r="G219" s="38">
        <v>2.0</v>
      </c>
      <c r="H219" s="38">
        <v>23831.0</v>
      </c>
      <c r="I219" s="38">
        <v>0.259</v>
      </c>
      <c r="J219" s="38">
        <v>0.1718</v>
      </c>
      <c r="K219" s="38">
        <v>0.0</v>
      </c>
      <c r="L219" s="38">
        <v>0.4023</v>
      </c>
      <c r="M219" s="38">
        <v>0.2591</v>
      </c>
    </row>
    <row r="220">
      <c r="A220" s="37" t="s">
        <v>368</v>
      </c>
      <c r="B220" s="37" t="s">
        <v>339</v>
      </c>
      <c r="C220" s="37" t="s">
        <v>53</v>
      </c>
      <c r="D220" s="38">
        <v>3.0</v>
      </c>
      <c r="E220" s="38">
        <v>2.0</v>
      </c>
      <c r="F220" s="38">
        <v>5.0</v>
      </c>
      <c r="G220" s="38">
        <v>2.0</v>
      </c>
      <c r="H220" s="38">
        <v>23831.0</v>
      </c>
      <c r="I220" s="38">
        <v>0.5181</v>
      </c>
      <c r="J220" s="38">
        <v>0.5351</v>
      </c>
      <c r="K220" s="38">
        <v>0.2523</v>
      </c>
      <c r="L220" s="38">
        <v>0.8024</v>
      </c>
      <c r="M220" s="38">
        <v>0.5181</v>
      </c>
    </row>
    <row r="221">
      <c r="A221" s="37" t="s">
        <v>368</v>
      </c>
      <c r="B221" s="37" t="s">
        <v>339</v>
      </c>
      <c r="C221" s="37" t="s">
        <v>53</v>
      </c>
      <c r="D221" s="38">
        <v>3.0</v>
      </c>
      <c r="E221" s="38">
        <v>3.0</v>
      </c>
      <c r="F221" s="38">
        <v>5.0</v>
      </c>
      <c r="G221" s="38">
        <v>2.0</v>
      </c>
      <c r="H221" s="38">
        <v>23831.0</v>
      </c>
      <c r="I221" s="38">
        <v>0.7622</v>
      </c>
      <c r="J221" s="38">
        <v>0.8579</v>
      </c>
      <c r="K221" s="38">
        <v>0.6559</v>
      </c>
      <c r="L221" s="38">
        <v>0.9999</v>
      </c>
      <c r="M221" s="38">
        <v>0.7621</v>
      </c>
    </row>
    <row r="222">
      <c r="A222" s="37" t="s">
        <v>368</v>
      </c>
      <c r="B222" s="37" t="s">
        <v>339</v>
      </c>
      <c r="C222" s="37" t="s">
        <v>53</v>
      </c>
      <c r="D222" s="38">
        <v>3.0</v>
      </c>
      <c r="E222" s="38">
        <v>4.0</v>
      </c>
      <c r="F222" s="38">
        <v>5.0</v>
      </c>
      <c r="G222" s="38">
        <v>2.0</v>
      </c>
      <c r="H222" s="38">
        <v>23831.0</v>
      </c>
      <c r="I222" s="38">
        <v>0.9874</v>
      </c>
      <c r="J222" s="38">
        <v>1.0</v>
      </c>
      <c r="K222" s="38">
        <v>1.0</v>
      </c>
      <c r="L222" s="38">
        <v>1.0</v>
      </c>
      <c r="M222" s="38">
        <v>0.9874</v>
      </c>
    </row>
    <row r="223">
      <c r="A223" s="37" t="s">
        <v>368</v>
      </c>
      <c r="B223" s="37" t="s">
        <v>339</v>
      </c>
      <c r="C223" s="37" t="s">
        <v>53</v>
      </c>
      <c r="D223" s="38">
        <v>3.0</v>
      </c>
      <c r="E223" s="38">
        <v>5.0</v>
      </c>
      <c r="F223" s="38">
        <v>5.0</v>
      </c>
      <c r="G223" s="38">
        <v>2.0</v>
      </c>
      <c r="H223" s="38">
        <v>23831.0</v>
      </c>
      <c r="I223" s="38">
        <v>1.0</v>
      </c>
      <c r="J223" s="38">
        <v>1.0</v>
      </c>
      <c r="K223" s="38">
        <v>1.0</v>
      </c>
      <c r="L223" s="38">
        <v>1.0</v>
      </c>
      <c r="M223" s="38">
        <v>1.0</v>
      </c>
    </row>
    <row r="224">
      <c r="A224" s="37" t="s">
        <v>368</v>
      </c>
      <c r="B224" s="37" t="s">
        <v>137</v>
      </c>
      <c r="C224" s="37" t="s">
        <v>54</v>
      </c>
      <c r="D224" s="38">
        <v>4.0</v>
      </c>
      <c r="E224" s="38">
        <v>1.0</v>
      </c>
      <c r="F224" s="38">
        <v>5.0</v>
      </c>
      <c r="G224" s="38">
        <v>2.0</v>
      </c>
      <c r="H224" s="38">
        <v>17463.0</v>
      </c>
      <c r="I224" s="38">
        <v>0.3075</v>
      </c>
      <c r="J224" s="38">
        <v>0.2679</v>
      </c>
      <c r="K224" s="38">
        <v>0.0104</v>
      </c>
      <c r="L224" s="38">
        <v>0.4673</v>
      </c>
      <c r="M224" s="38">
        <v>0.3075</v>
      </c>
    </row>
    <row r="225">
      <c r="A225" s="37" t="s">
        <v>368</v>
      </c>
      <c r="B225" s="37" t="s">
        <v>137</v>
      </c>
      <c r="C225" s="37" t="s">
        <v>54</v>
      </c>
      <c r="D225" s="38">
        <v>4.0</v>
      </c>
      <c r="E225" s="38">
        <v>2.0</v>
      </c>
      <c r="F225" s="38">
        <v>5.0</v>
      </c>
      <c r="G225" s="38">
        <v>2.0</v>
      </c>
      <c r="H225" s="38">
        <v>17463.0</v>
      </c>
      <c r="I225" s="38">
        <v>0.5873</v>
      </c>
      <c r="J225" s="38">
        <v>0.6202</v>
      </c>
      <c r="K225" s="38">
        <v>0.3865</v>
      </c>
      <c r="L225" s="38">
        <v>0.8741</v>
      </c>
      <c r="M225" s="38">
        <v>0.5872</v>
      </c>
    </row>
    <row r="226">
      <c r="A226" s="37" t="s">
        <v>368</v>
      </c>
      <c r="B226" s="37" t="s">
        <v>137</v>
      </c>
      <c r="C226" s="37" t="s">
        <v>54</v>
      </c>
      <c r="D226" s="38">
        <v>4.0</v>
      </c>
      <c r="E226" s="38">
        <v>3.0</v>
      </c>
      <c r="F226" s="38">
        <v>5.0</v>
      </c>
      <c r="G226" s="38">
        <v>2.0</v>
      </c>
      <c r="H226" s="38">
        <v>17463.0</v>
      </c>
      <c r="I226" s="38">
        <v>0.8078</v>
      </c>
      <c r="J226" s="38">
        <v>0.9172</v>
      </c>
      <c r="K226" s="38">
        <v>0.7258</v>
      </c>
      <c r="L226" s="38">
        <v>1.0</v>
      </c>
      <c r="M226" s="38">
        <v>0.8078</v>
      </c>
    </row>
    <row r="227">
      <c r="A227" s="37" t="s">
        <v>368</v>
      </c>
      <c r="B227" s="37" t="s">
        <v>137</v>
      </c>
      <c r="C227" s="37" t="s">
        <v>54</v>
      </c>
      <c r="D227" s="38">
        <v>4.0</v>
      </c>
      <c r="E227" s="38">
        <v>4.0</v>
      </c>
      <c r="F227" s="38">
        <v>5.0</v>
      </c>
      <c r="G227" s="38">
        <v>2.0</v>
      </c>
      <c r="H227" s="38">
        <v>17463.0</v>
      </c>
      <c r="I227" s="38">
        <v>0.9919</v>
      </c>
      <c r="J227" s="38">
        <v>1.0</v>
      </c>
      <c r="K227" s="38">
        <v>1.0</v>
      </c>
      <c r="L227" s="38">
        <v>1.0</v>
      </c>
      <c r="M227" s="38">
        <v>0.9919</v>
      </c>
    </row>
    <row r="228">
      <c r="A228" s="37" t="s">
        <v>368</v>
      </c>
      <c r="B228" s="37" t="s">
        <v>137</v>
      </c>
      <c r="C228" s="37" t="s">
        <v>54</v>
      </c>
      <c r="D228" s="38">
        <v>4.0</v>
      </c>
      <c r="E228" s="38">
        <v>5.0</v>
      </c>
      <c r="F228" s="38">
        <v>5.0</v>
      </c>
      <c r="G228" s="38">
        <v>2.0</v>
      </c>
      <c r="H228" s="38">
        <v>17463.0</v>
      </c>
      <c r="I228" s="38">
        <v>1.0</v>
      </c>
      <c r="J228" s="38">
        <v>1.0</v>
      </c>
      <c r="K228" s="38">
        <v>1.0</v>
      </c>
      <c r="L228" s="38">
        <v>1.0</v>
      </c>
      <c r="M228" s="38">
        <v>1.0</v>
      </c>
    </row>
    <row r="229">
      <c r="A229" s="37" t="s">
        <v>368</v>
      </c>
      <c r="B229" s="37" t="s">
        <v>339</v>
      </c>
      <c r="C229" s="37" t="s">
        <v>54</v>
      </c>
      <c r="D229" s="38">
        <v>4.0</v>
      </c>
      <c r="E229" s="38">
        <v>1.0</v>
      </c>
      <c r="F229" s="38">
        <v>5.0</v>
      </c>
      <c r="G229" s="38">
        <v>2.0</v>
      </c>
      <c r="H229" s="38">
        <v>10179.0</v>
      </c>
      <c r="I229" s="38">
        <v>0.298</v>
      </c>
      <c r="J229" s="38">
        <v>0.2307</v>
      </c>
      <c r="K229" s="38">
        <v>0.0</v>
      </c>
      <c r="L229" s="38">
        <v>0.4744</v>
      </c>
      <c r="M229" s="38">
        <v>0.298</v>
      </c>
    </row>
    <row r="230">
      <c r="A230" s="37" t="s">
        <v>368</v>
      </c>
      <c r="B230" s="37" t="s">
        <v>339</v>
      </c>
      <c r="C230" s="37" t="s">
        <v>54</v>
      </c>
      <c r="D230" s="38">
        <v>4.0</v>
      </c>
      <c r="E230" s="38">
        <v>2.0</v>
      </c>
      <c r="F230" s="38">
        <v>5.0</v>
      </c>
      <c r="G230" s="38">
        <v>2.0</v>
      </c>
      <c r="H230" s="38">
        <v>10179.0</v>
      </c>
      <c r="I230" s="38">
        <v>0.5697</v>
      </c>
      <c r="J230" s="38">
        <v>0.6116</v>
      </c>
      <c r="K230" s="38">
        <v>0.3136</v>
      </c>
      <c r="L230" s="38">
        <v>0.902</v>
      </c>
      <c r="M230" s="38">
        <v>0.5697</v>
      </c>
    </row>
    <row r="231">
      <c r="A231" s="37" t="s">
        <v>368</v>
      </c>
      <c r="B231" s="37" t="s">
        <v>339</v>
      </c>
      <c r="C231" s="37" t="s">
        <v>54</v>
      </c>
      <c r="D231" s="38">
        <v>4.0</v>
      </c>
      <c r="E231" s="38">
        <v>3.0</v>
      </c>
      <c r="F231" s="38">
        <v>5.0</v>
      </c>
      <c r="G231" s="38">
        <v>2.0</v>
      </c>
      <c r="H231" s="38">
        <v>10179.0</v>
      </c>
      <c r="I231" s="38">
        <v>0.7982</v>
      </c>
      <c r="J231" s="38">
        <v>0.9276</v>
      </c>
      <c r="K231" s="38">
        <v>0.7115</v>
      </c>
      <c r="L231" s="38">
        <v>1.0</v>
      </c>
      <c r="M231" s="38">
        <v>0.7982</v>
      </c>
    </row>
    <row r="232">
      <c r="A232" s="37" t="s">
        <v>368</v>
      </c>
      <c r="B232" s="37" t="s">
        <v>339</v>
      </c>
      <c r="C232" s="37" t="s">
        <v>54</v>
      </c>
      <c r="D232" s="38">
        <v>4.0</v>
      </c>
      <c r="E232" s="38">
        <v>4.0</v>
      </c>
      <c r="F232" s="38">
        <v>5.0</v>
      </c>
      <c r="G232" s="38">
        <v>2.0</v>
      </c>
      <c r="H232" s="38">
        <v>10179.0</v>
      </c>
      <c r="I232" s="38">
        <v>0.9896</v>
      </c>
      <c r="J232" s="38">
        <v>1.0</v>
      </c>
      <c r="K232" s="38">
        <v>1.0</v>
      </c>
      <c r="L232" s="38">
        <v>1.0</v>
      </c>
      <c r="M232" s="38">
        <v>0.9896</v>
      </c>
    </row>
    <row r="233">
      <c r="A233" s="37" t="s">
        <v>368</v>
      </c>
      <c r="B233" s="37" t="s">
        <v>339</v>
      </c>
      <c r="C233" s="37" t="s">
        <v>54</v>
      </c>
      <c r="D233" s="38">
        <v>4.0</v>
      </c>
      <c r="E233" s="38">
        <v>5.0</v>
      </c>
      <c r="F233" s="38">
        <v>5.0</v>
      </c>
      <c r="G233" s="38">
        <v>2.0</v>
      </c>
      <c r="H233" s="38">
        <v>10179.0</v>
      </c>
      <c r="I233" s="38">
        <v>1.0</v>
      </c>
      <c r="J233" s="38">
        <v>1.0</v>
      </c>
      <c r="K233" s="38">
        <v>1.0</v>
      </c>
      <c r="L233" s="38">
        <v>1.0</v>
      </c>
      <c r="M233" s="38">
        <v>1.0</v>
      </c>
    </row>
    <row r="234">
      <c r="A234" s="37" t="s">
        <v>368</v>
      </c>
      <c r="B234" s="37" t="s">
        <v>137</v>
      </c>
      <c r="C234" s="37" t="s">
        <v>55</v>
      </c>
      <c r="D234" s="38">
        <v>5.0</v>
      </c>
      <c r="E234" s="38">
        <v>1.0</v>
      </c>
      <c r="F234" s="38">
        <v>5.0</v>
      </c>
      <c r="G234" s="38">
        <v>2.0</v>
      </c>
      <c r="H234" s="38">
        <v>2453.0</v>
      </c>
      <c r="I234" s="38">
        <v>0.4182</v>
      </c>
      <c r="J234" s="38">
        <v>0.4209</v>
      </c>
      <c r="K234" s="38">
        <v>0.0</v>
      </c>
      <c r="L234" s="38">
        <v>0.7531</v>
      </c>
      <c r="M234" s="38">
        <v>0.4186</v>
      </c>
    </row>
    <row r="235">
      <c r="A235" s="37" t="s">
        <v>368</v>
      </c>
      <c r="B235" s="37" t="s">
        <v>137</v>
      </c>
      <c r="C235" s="37" t="s">
        <v>55</v>
      </c>
      <c r="D235" s="38">
        <v>5.0</v>
      </c>
      <c r="E235" s="38">
        <v>2.0</v>
      </c>
      <c r="F235" s="38">
        <v>5.0</v>
      </c>
      <c r="G235" s="38">
        <v>2.0</v>
      </c>
      <c r="H235" s="38">
        <v>2453.0</v>
      </c>
      <c r="I235" s="38">
        <v>0.6914</v>
      </c>
      <c r="J235" s="38">
        <v>0.9856</v>
      </c>
      <c r="K235" s="38">
        <v>0.3323</v>
      </c>
      <c r="L235" s="38">
        <v>1.0</v>
      </c>
      <c r="M235" s="38">
        <v>0.6919</v>
      </c>
    </row>
    <row r="236">
      <c r="A236" s="37" t="s">
        <v>368</v>
      </c>
      <c r="B236" s="37" t="s">
        <v>137</v>
      </c>
      <c r="C236" s="37" t="s">
        <v>55</v>
      </c>
      <c r="D236" s="38">
        <v>5.0</v>
      </c>
      <c r="E236" s="38">
        <v>3.0</v>
      </c>
      <c r="F236" s="38">
        <v>5.0</v>
      </c>
      <c r="G236" s="38">
        <v>2.0</v>
      </c>
      <c r="H236" s="38">
        <v>2453.0</v>
      </c>
      <c r="I236" s="38">
        <v>0.8455</v>
      </c>
      <c r="J236" s="38">
        <v>1.0</v>
      </c>
      <c r="K236" s="38">
        <v>0.94</v>
      </c>
      <c r="L236" s="38">
        <v>1.0</v>
      </c>
      <c r="M236" s="38">
        <v>0.8461</v>
      </c>
    </row>
    <row r="237">
      <c r="A237" s="37" t="s">
        <v>368</v>
      </c>
      <c r="B237" s="37" t="s">
        <v>137</v>
      </c>
      <c r="C237" s="37" t="s">
        <v>55</v>
      </c>
      <c r="D237" s="38">
        <v>5.0</v>
      </c>
      <c r="E237" s="38">
        <v>4.0</v>
      </c>
      <c r="F237" s="38">
        <v>5.0</v>
      </c>
      <c r="G237" s="38">
        <v>2.0</v>
      </c>
      <c r="H237" s="38">
        <v>2453.0</v>
      </c>
      <c r="I237" s="38">
        <v>0.99</v>
      </c>
      <c r="J237" s="38">
        <v>1.0</v>
      </c>
      <c r="K237" s="38">
        <v>1.0</v>
      </c>
      <c r="L237" s="38">
        <v>1.0</v>
      </c>
      <c r="M237" s="38">
        <v>0.9901</v>
      </c>
    </row>
    <row r="238">
      <c r="A238" s="37" t="s">
        <v>368</v>
      </c>
      <c r="B238" s="37" t="s">
        <v>137</v>
      </c>
      <c r="C238" s="37" t="s">
        <v>55</v>
      </c>
      <c r="D238" s="38">
        <v>5.0</v>
      </c>
      <c r="E238" s="38">
        <v>5.0</v>
      </c>
      <c r="F238" s="38">
        <v>5.0</v>
      </c>
      <c r="G238" s="38">
        <v>2.0</v>
      </c>
      <c r="H238" s="38">
        <v>2453.0</v>
      </c>
      <c r="I238" s="38">
        <v>1.0</v>
      </c>
      <c r="J238" s="38">
        <v>1.0</v>
      </c>
      <c r="K238" s="38">
        <v>1.0</v>
      </c>
      <c r="L238" s="38">
        <v>1.0</v>
      </c>
      <c r="M238" s="38">
        <v>1.0</v>
      </c>
    </row>
    <row r="239">
      <c r="A239" s="37" t="s">
        <v>368</v>
      </c>
      <c r="B239" s="37" t="s">
        <v>339</v>
      </c>
      <c r="C239" s="37" t="s">
        <v>55</v>
      </c>
      <c r="D239" s="38">
        <v>5.0</v>
      </c>
      <c r="E239" s="38">
        <v>1.0</v>
      </c>
      <c r="F239" s="38">
        <v>5.0</v>
      </c>
      <c r="G239" s="38">
        <v>2.0</v>
      </c>
      <c r="H239" s="38">
        <v>1382.0</v>
      </c>
      <c r="I239" s="38">
        <v>0.3901</v>
      </c>
      <c r="J239" s="38">
        <v>0.3299</v>
      </c>
      <c r="K239" s="38">
        <v>0.0</v>
      </c>
      <c r="L239" s="38">
        <v>0.7518</v>
      </c>
      <c r="M239" s="38">
        <v>0.3902</v>
      </c>
    </row>
    <row r="240">
      <c r="A240" s="37" t="s">
        <v>368</v>
      </c>
      <c r="B240" s="37" t="s">
        <v>339</v>
      </c>
      <c r="C240" s="37" t="s">
        <v>55</v>
      </c>
      <c r="D240" s="38">
        <v>5.0</v>
      </c>
      <c r="E240" s="38">
        <v>2.0</v>
      </c>
      <c r="F240" s="38">
        <v>5.0</v>
      </c>
      <c r="G240" s="38">
        <v>2.0</v>
      </c>
      <c r="H240" s="38">
        <v>1382.0</v>
      </c>
      <c r="I240" s="38">
        <v>0.6508</v>
      </c>
      <c r="J240" s="38">
        <v>0.925</v>
      </c>
      <c r="K240" s="38">
        <v>0.075</v>
      </c>
      <c r="L240" s="38">
        <v>1.0</v>
      </c>
      <c r="M240" s="38">
        <v>0.6513</v>
      </c>
    </row>
    <row r="241">
      <c r="A241" s="37" t="s">
        <v>368</v>
      </c>
      <c r="B241" s="37" t="s">
        <v>339</v>
      </c>
      <c r="C241" s="37" t="s">
        <v>55</v>
      </c>
      <c r="D241" s="38">
        <v>5.0</v>
      </c>
      <c r="E241" s="38">
        <v>3.0</v>
      </c>
      <c r="F241" s="38">
        <v>5.0</v>
      </c>
      <c r="G241" s="38">
        <v>2.0</v>
      </c>
      <c r="H241" s="38">
        <v>1382.0</v>
      </c>
      <c r="I241" s="38">
        <v>0.8333</v>
      </c>
      <c r="J241" s="38">
        <v>1.0</v>
      </c>
      <c r="K241" s="38">
        <v>0.8922</v>
      </c>
      <c r="L241" s="38">
        <v>1.0</v>
      </c>
      <c r="M241" s="38">
        <v>0.8335</v>
      </c>
    </row>
    <row r="242">
      <c r="A242" s="37" t="s">
        <v>368</v>
      </c>
      <c r="B242" s="37" t="s">
        <v>339</v>
      </c>
      <c r="C242" s="37" t="s">
        <v>55</v>
      </c>
      <c r="D242" s="38">
        <v>5.0</v>
      </c>
      <c r="E242" s="38">
        <v>4.0</v>
      </c>
      <c r="F242" s="38">
        <v>5.0</v>
      </c>
      <c r="G242" s="38">
        <v>2.0</v>
      </c>
      <c r="H242" s="38">
        <v>1382.0</v>
      </c>
      <c r="I242" s="38">
        <v>0.9895</v>
      </c>
      <c r="J242" s="38">
        <v>1.0</v>
      </c>
      <c r="K242" s="38">
        <v>1.0</v>
      </c>
      <c r="L242" s="38">
        <v>1.0</v>
      </c>
      <c r="M242" s="38">
        <v>0.9895</v>
      </c>
    </row>
    <row r="243">
      <c r="A243" s="37" t="s">
        <v>368</v>
      </c>
      <c r="B243" s="37" t="s">
        <v>339</v>
      </c>
      <c r="C243" s="37" t="s">
        <v>55</v>
      </c>
      <c r="D243" s="38">
        <v>5.0</v>
      </c>
      <c r="E243" s="38">
        <v>5.0</v>
      </c>
      <c r="F243" s="38">
        <v>5.0</v>
      </c>
      <c r="G243" s="38">
        <v>2.0</v>
      </c>
      <c r="H243" s="38">
        <v>1382.0</v>
      </c>
      <c r="I243" s="38">
        <v>1.0</v>
      </c>
      <c r="J243" s="38">
        <v>1.0</v>
      </c>
      <c r="K243" s="38">
        <v>1.0</v>
      </c>
      <c r="L243" s="38">
        <v>1.0</v>
      </c>
      <c r="M243" s="38">
        <v>1.0</v>
      </c>
    </row>
    <row r="244">
      <c r="A244" s="37" t="s">
        <v>45</v>
      </c>
      <c r="B244" s="37" t="s">
        <v>137</v>
      </c>
      <c r="C244" s="37" t="s">
        <v>51</v>
      </c>
      <c r="D244" s="38">
        <v>1.0</v>
      </c>
      <c r="E244" s="38">
        <v>1.0</v>
      </c>
      <c r="F244" s="38">
        <v>2.0</v>
      </c>
      <c r="G244" s="38">
        <v>4.0</v>
      </c>
      <c r="H244" s="38">
        <v>81062.0</v>
      </c>
      <c r="I244" s="38">
        <v>0.9251</v>
      </c>
      <c r="J244" s="38">
        <v>1.0</v>
      </c>
      <c r="K244" s="38">
        <v>0.9982</v>
      </c>
      <c r="L244" s="38">
        <v>1.0</v>
      </c>
      <c r="M244" s="38">
        <v>0.9255</v>
      </c>
    </row>
    <row r="245">
      <c r="A245" s="37" t="s">
        <v>45</v>
      </c>
      <c r="B245" s="37" t="s">
        <v>137</v>
      </c>
      <c r="C245" s="37" t="s">
        <v>51</v>
      </c>
      <c r="D245" s="38">
        <v>1.0</v>
      </c>
      <c r="E245" s="38">
        <v>2.0</v>
      </c>
      <c r="F245" s="38">
        <v>2.0</v>
      </c>
      <c r="G245" s="38">
        <v>4.0</v>
      </c>
      <c r="H245" s="38">
        <v>81062.0</v>
      </c>
      <c r="I245" s="38">
        <v>1.0</v>
      </c>
      <c r="J245" s="38">
        <v>1.0</v>
      </c>
      <c r="K245" s="38">
        <v>1.0</v>
      </c>
      <c r="L245" s="38">
        <v>1.0</v>
      </c>
      <c r="M245" s="38">
        <v>1.0</v>
      </c>
    </row>
    <row r="246">
      <c r="A246" s="37" t="s">
        <v>45</v>
      </c>
      <c r="B246" s="37" t="s">
        <v>339</v>
      </c>
      <c r="C246" s="37" t="s">
        <v>51</v>
      </c>
      <c r="D246" s="38">
        <v>1.0</v>
      </c>
      <c r="E246" s="38">
        <v>1.0</v>
      </c>
      <c r="F246" s="38">
        <v>2.0</v>
      </c>
      <c r="G246" s="38">
        <v>4.0</v>
      </c>
      <c r="H246" s="38">
        <v>61308.0</v>
      </c>
      <c r="I246" s="38">
        <v>0.9256</v>
      </c>
      <c r="J246" s="38">
        <v>1.0</v>
      </c>
      <c r="K246" s="38">
        <v>0.9998</v>
      </c>
      <c r="L246" s="38">
        <v>1.0</v>
      </c>
      <c r="M246" s="38">
        <v>0.9261</v>
      </c>
    </row>
    <row r="247">
      <c r="A247" s="37" t="s">
        <v>45</v>
      </c>
      <c r="B247" s="37" t="s">
        <v>339</v>
      </c>
      <c r="C247" s="37" t="s">
        <v>51</v>
      </c>
      <c r="D247" s="38">
        <v>1.0</v>
      </c>
      <c r="E247" s="38">
        <v>2.0</v>
      </c>
      <c r="F247" s="38">
        <v>2.0</v>
      </c>
      <c r="G247" s="38">
        <v>4.0</v>
      </c>
      <c r="H247" s="38">
        <v>61308.0</v>
      </c>
      <c r="I247" s="38">
        <v>1.0</v>
      </c>
      <c r="J247" s="38">
        <v>1.0</v>
      </c>
      <c r="K247" s="38">
        <v>1.0</v>
      </c>
      <c r="L247" s="38">
        <v>1.0</v>
      </c>
      <c r="M247" s="38">
        <v>1.0</v>
      </c>
    </row>
    <row r="248">
      <c r="A248" s="37" t="s">
        <v>45</v>
      </c>
      <c r="B248" s="37" t="s">
        <v>137</v>
      </c>
      <c r="C248" s="37" t="s">
        <v>52</v>
      </c>
      <c r="D248" s="38">
        <v>2.0</v>
      </c>
      <c r="E248" s="38">
        <v>1.0</v>
      </c>
      <c r="F248" s="38">
        <v>2.0</v>
      </c>
      <c r="G248" s="38">
        <v>4.0</v>
      </c>
      <c r="H248" s="38">
        <v>68491.0</v>
      </c>
      <c r="I248" s="38">
        <v>0.9274</v>
      </c>
      <c r="J248" s="38">
        <v>1.0</v>
      </c>
      <c r="K248" s="38">
        <v>0.9546</v>
      </c>
      <c r="L248" s="38">
        <v>1.0</v>
      </c>
      <c r="M248" s="38">
        <v>0.9285</v>
      </c>
    </row>
    <row r="249">
      <c r="A249" s="37" t="s">
        <v>45</v>
      </c>
      <c r="B249" s="37" t="s">
        <v>137</v>
      </c>
      <c r="C249" s="37" t="s">
        <v>52</v>
      </c>
      <c r="D249" s="38">
        <v>2.0</v>
      </c>
      <c r="E249" s="38">
        <v>2.0</v>
      </c>
      <c r="F249" s="38">
        <v>2.0</v>
      </c>
      <c r="G249" s="38">
        <v>4.0</v>
      </c>
      <c r="H249" s="38">
        <v>68491.0</v>
      </c>
      <c r="I249" s="38">
        <v>1.0</v>
      </c>
      <c r="J249" s="38">
        <v>1.0</v>
      </c>
      <c r="K249" s="38">
        <v>1.0</v>
      </c>
      <c r="L249" s="38">
        <v>1.0</v>
      </c>
      <c r="M249" s="38">
        <v>1.0</v>
      </c>
    </row>
    <row r="250">
      <c r="A250" s="37" t="s">
        <v>45</v>
      </c>
      <c r="B250" s="37" t="s">
        <v>339</v>
      </c>
      <c r="C250" s="37" t="s">
        <v>52</v>
      </c>
      <c r="D250" s="38">
        <v>2.0</v>
      </c>
      <c r="E250" s="38">
        <v>1.0</v>
      </c>
      <c r="F250" s="38">
        <v>2.0</v>
      </c>
      <c r="G250" s="38">
        <v>4.0</v>
      </c>
      <c r="H250" s="38">
        <v>41077.0</v>
      </c>
      <c r="I250" s="38">
        <v>0.9286</v>
      </c>
      <c r="J250" s="38">
        <v>1.0</v>
      </c>
      <c r="K250" s="38">
        <v>0.9757</v>
      </c>
      <c r="L250" s="38">
        <v>1.0</v>
      </c>
      <c r="M250" s="38">
        <v>0.9302</v>
      </c>
    </row>
    <row r="251">
      <c r="A251" s="37" t="s">
        <v>45</v>
      </c>
      <c r="B251" s="37" t="s">
        <v>339</v>
      </c>
      <c r="C251" s="37" t="s">
        <v>52</v>
      </c>
      <c r="D251" s="38">
        <v>2.0</v>
      </c>
      <c r="E251" s="38">
        <v>2.0</v>
      </c>
      <c r="F251" s="38">
        <v>2.0</v>
      </c>
      <c r="G251" s="38">
        <v>4.0</v>
      </c>
      <c r="H251" s="38">
        <v>41077.0</v>
      </c>
      <c r="I251" s="38">
        <v>1.0</v>
      </c>
      <c r="J251" s="38">
        <v>1.0</v>
      </c>
      <c r="K251" s="38">
        <v>1.0</v>
      </c>
      <c r="L251" s="38">
        <v>1.0</v>
      </c>
      <c r="M251" s="38">
        <v>1.0</v>
      </c>
    </row>
    <row r="252">
      <c r="A252" s="37" t="s">
        <v>45</v>
      </c>
      <c r="B252" s="37" t="s">
        <v>137</v>
      </c>
      <c r="C252" s="37" t="s">
        <v>53</v>
      </c>
      <c r="D252" s="38">
        <v>3.0</v>
      </c>
      <c r="E252" s="38">
        <v>1.0</v>
      </c>
      <c r="F252" s="38">
        <v>2.0</v>
      </c>
      <c r="G252" s="38">
        <v>4.0</v>
      </c>
      <c r="H252" s="38">
        <v>42387.0</v>
      </c>
      <c r="I252" s="38">
        <v>0.9293</v>
      </c>
      <c r="J252" s="38">
        <v>1.0</v>
      </c>
      <c r="K252" s="38">
        <v>0.9538</v>
      </c>
      <c r="L252" s="38">
        <v>1.0</v>
      </c>
      <c r="M252" s="38">
        <v>0.9304</v>
      </c>
    </row>
    <row r="253">
      <c r="A253" s="37" t="s">
        <v>45</v>
      </c>
      <c r="B253" s="37" t="s">
        <v>137</v>
      </c>
      <c r="C253" s="37" t="s">
        <v>53</v>
      </c>
      <c r="D253" s="38">
        <v>3.0</v>
      </c>
      <c r="E253" s="38">
        <v>2.0</v>
      </c>
      <c r="F253" s="38">
        <v>2.0</v>
      </c>
      <c r="G253" s="38">
        <v>4.0</v>
      </c>
      <c r="H253" s="38">
        <v>42387.0</v>
      </c>
      <c r="I253" s="38">
        <v>1.0</v>
      </c>
      <c r="J253" s="38">
        <v>1.0</v>
      </c>
      <c r="K253" s="38">
        <v>1.0</v>
      </c>
      <c r="L253" s="38">
        <v>1.0</v>
      </c>
      <c r="M253" s="38">
        <v>1.0</v>
      </c>
    </row>
    <row r="254">
      <c r="A254" s="37" t="s">
        <v>45</v>
      </c>
      <c r="B254" s="37" t="s">
        <v>339</v>
      </c>
      <c r="C254" s="37" t="s">
        <v>53</v>
      </c>
      <c r="D254" s="38">
        <v>3.0</v>
      </c>
      <c r="E254" s="38">
        <v>1.0</v>
      </c>
      <c r="F254" s="38">
        <v>2.0</v>
      </c>
      <c r="G254" s="38">
        <v>4.0</v>
      </c>
      <c r="H254" s="38">
        <v>24085.0</v>
      </c>
      <c r="I254" s="38">
        <v>0.93</v>
      </c>
      <c r="J254" s="38">
        <v>1.0</v>
      </c>
      <c r="K254" s="38">
        <v>0.9675</v>
      </c>
      <c r="L254" s="38">
        <v>1.0</v>
      </c>
      <c r="M254" s="38">
        <v>0.9312</v>
      </c>
    </row>
    <row r="255">
      <c r="A255" s="37" t="s">
        <v>45</v>
      </c>
      <c r="B255" s="37" t="s">
        <v>339</v>
      </c>
      <c r="C255" s="37" t="s">
        <v>53</v>
      </c>
      <c r="D255" s="38">
        <v>3.0</v>
      </c>
      <c r="E255" s="38">
        <v>2.0</v>
      </c>
      <c r="F255" s="38">
        <v>2.0</v>
      </c>
      <c r="G255" s="38">
        <v>4.0</v>
      </c>
      <c r="H255" s="38">
        <v>24085.0</v>
      </c>
      <c r="I255" s="38">
        <v>1.0</v>
      </c>
      <c r="J255" s="38">
        <v>1.0</v>
      </c>
      <c r="K255" s="38">
        <v>1.0</v>
      </c>
      <c r="L255" s="38">
        <v>1.0</v>
      </c>
      <c r="M255" s="38">
        <v>1.0</v>
      </c>
    </row>
    <row r="256">
      <c r="A256" s="37" t="s">
        <v>45</v>
      </c>
      <c r="B256" s="37" t="s">
        <v>137</v>
      </c>
      <c r="C256" s="37" t="s">
        <v>54</v>
      </c>
      <c r="D256" s="38">
        <v>4.0</v>
      </c>
      <c r="E256" s="38">
        <v>1.0</v>
      </c>
      <c r="F256" s="38">
        <v>2.0</v>
      </c>
      <c r="G256" s="38">
        <v>4.0</v>
      </c>
      <c r="H256" s="38">
        <v>18752.0</v>
      </c>
      <c r="I256" s="38">
        <v>0.9401</v>
      </c>
      <c r="J256" s="38">
        <v>1.0</v>
      </c>
      <c r="K256" s="38">
        <v>0.9656</v>
      </c>
      <c r="L256" s="38">
        <v>1.0</v>
      </c>
      <c r="M256" s="38">
        <v>0.9407</v>
      </c>
    </row>
    <row r="257">
      <c r="A257" s="37" t="s">
        <v>45</v>
      </c>
      <c r="B257" s="37" t="s">
        <v>137</v>
      </c>
      <c r="C257" s="37" t="s">
        <v>54</v>
      </c>
      <c r="D257" s="38">
        <v>4.0</v>
      </c>
      <c r="E257" s="38">
        <v>2.0</v>
      </c>
      <c r="F257" s="38">
        <v>2.0</v>
      </c>
      <c r="G257" s="38">
        <v>4.0</v>
      </c>
      <c r="H257" s="38">
        <v>18752.0</v>
      </c>
      <c r="I257" s="38">
        <v>1.0</v>
      </c>
      <c r="J257" s="38">
        <v>1.0</v>
      </c>
      <c r="K257" s="38">
        <v>1.0</v>
      </c>
      <c r="L257" s="38">
        <v>1.0</v>
      </c>
      <c r="M257" s="38">
        <v>1.0</v>
      </c>
    </row>
    <row r="258">
      <c r="A258" s="37" t="s">
        <v>45</v>
      </c>
      <c r="B258" s="37" t="s">
        <v>339</v>
      </c>
      <c r="C258" s="37" t="s">
        <v>54</v>
      </c>
      <c r="D258" s="38">
        <v>4.0</v>
      </c>
      <c r="E258" s="38">
        <v>1.0</v>
      </c>
      <c r="F258" s="38">
        <v>2.0</v>
      </c>
      <c r="G258" s="38">
        <v>4.0</v>
      </c>
      <c r="H258" s="38">
        <v>10840.0</v>
      </c>
      <c r="I258" s="38">
        <v>0.9392</v>
      </c>
      <c r="J258" s="38">
        <v>1.0</v>
      </c>
      <c r="K258" s="38">
        <v>0.9726</v>
      </c>
      <c r="L258" s="38">
        <v>1.0</v>
      </c>
      <c r="M258" s="38">
        <v>0.9403</v>
      </c>
    </row>
    <row r="259">
      <c r="A259" s="37" t="s">
        <v>45</v>
      </c>
      <c r="B259" s="37" t="s">
        <v>339</v>
      </c>
      <c r="C259" s="37" t="s">
        <v>54</v>
      </c>
      <c r="D259" s="38">
        <v>4.0</v>
      </c>
      <c r="E259" s="38">
        <v>2.0</v>
      </c>
      <c r="F259" s="38">
        <v>2.0</v>
      </c>
      <c r="G259" s="38">
        <v>4.0</v>
      </c>
      <c r="H259" s="38">
        <v>10840.0</v>
      </c>
      <c r="I259" s="38">
        <v>1.0</v>
      </c>
      <c r="J259" s="38">
        <v>1.0</v>
      </c>
      <c r="K259" s="38">
        <v>1.0</v>
      </c>
      <c r="L259" s="38">
        <v>1.0</v>
      </c>
      <c r="M259" s="38">
        <v>1.0</v>
      </c>
    </row>
    <row r="260">
      <c r="A260" s="37" t="s">
        <v>45</v>
      </c>
      <c r="B260" s="37" t="s">
        <v>137</v>
      </c>
      <c r="C260" s="37" t="s">
        <v>55</v>
      </c>
      <c r="D260" s="38">
        <v>5.0</v>
      </c>
      <c r="E260" s="38">
        <v>1.0</v>
      </c>
      <c r="F260" s="38">
        <v>2.0</v>
      </c>
      <c r="G260" s="38">
        <v>4.0</v>
      </c>
      <c r="H260" s="38">
        <v>2814.0</v>
      </c>
      <c r="I260" s="38">
        <v>0.9475</v>
      </c>
      <c r="J260" s="38">
        <v>1.0</v>
      </c>
      <c r="K260" s="38">
        <v>0.9619</v>
      </c>
      <c r="L260" s="38">
        <v>1.0</v>
      </c>
      <c r="M260" s="38">
        <v>0.9476</v>
      </c>
    </row>
    <row r="261">
      <c r="A261" s="37" t="s">
        <v>45</v>
      </c>
      <c r="B261" s="37" t="s">
        <v>137</v>
      </c>
      <c r="C261" s="37" t="s">
        <v>55</v>
      </c>
      <c r="D261" s="38">
        <v>5.0</v>
      </c>
      <c r="E261" s="38">
        <v>2.0</v>
      </c>
      <c r="F261" s="38">
        <v>2.0</v>
      </c>
      <c r="G261" s="38">
        <v>4.0</v>
      </c>
      <c r="H261" s="38">
        <v>2814.0</v>
      </c>
      <c r="I261" s="38">
        <v>1.0</v>
      </c>
      <c r="J261" s="38">
        <v>1.0</v>
      </c>
      <c r="K261" s="38">
        <v>1.0</v>
      </c>
      <c r="L261" s="38">
        <v>1.0</v>
      </c>
      <c r="M261" s="38">
        <v>1.0</v>
      </c>
    </row>
    <row r="262">
      <c r="A262" s="37" t="s">
        <v>45</v>
      </c>
      <c r="B262" s="37" t="s">
        <v>339</v>
      </c>
      <c r="C262" s="37" t="s">
        <v>55</v>
      </c>
      <c r="D262" s="38">
        <v>5.0</v>
      </c>
      <c r="E262" s="38">
        <v>1.0</v>
      </c>
      <c r="F262" s="38">
        <v>2.0</v>
      </c>
      <c r="G262" s="38">
        <v>4.0</v>
      </c>
      <c r="H262" s="38">
        <v>1571.0</v>
      </c>
      <c r="I262" s="38">
        <v>0.9465</v>
      </c>
      <c r="J262" s="38">
        <v>1.0</v>
      </c>
      <c r="K262" s="38">
        <v>0.9709</v>
      </c>
      <c r="L262" s="38">
        <v>1.0</v>
      </c>
      <c r="M262" s="38">
        <v>0.9465</v>
      </c>
    </row>
    <row r="263">
      <c r="A263" s="37" t="s">
        <v>45</v>
      </c>
      <c r="B263" s="37" t="s">
        <v>339</v>
      </c>
      <c r="C263" s="37" t="s">
        <v>55</v>
      </c>
      <c r="D263" s="38">
        <v>5.0</v>
      </c>
      <c r="E263" s="38">
        <v>2.0</v>
      </c>
      <c r="F263" s="38">
        <v>2.0</v>
      </c>
      <c r="G263" s="38">
        <v>4.0</v>
      </c>
      <c r="H263" s="38">
        <v>1571.0</v>
      </c>
      <c r="I263" s="38">
        <v>1.0</v>
      </c>
      <c r="J263" s="38">
        <v>1.0</v>
      </c>
      <c r="K263" s="38">
        <v>1.0</v>
      </c>
      <c r="L263" s="38">
        <v>1.0</v>
      </c>
      <c r="M263" s="38">
        <v>1.0</v>
      </c>
    </row>
    <row r="264">
      <c r="A264" s="37" t="s">
        <v>30</v>
      </c>
      <c r="B264" s="37" t="s">
        <v>137</v>
      </c>
      <c r="C264" s="37" t="s">
        <v>51</v>
      </c>
      <c r="D264" s="38">
        <v>1.0</v>
      </c>
      <c r="E264" s="38">
        <v>1.0</v>
      </c>
      <c r="F264" s="38">
        <v>5.0</v>
      </c>
      <c r="G264" s="38">
        <v>1.0</v>
      </c>
      <c r="H264" s="38">
        <v>52352.0</v>
      </c>
      <c r="I264" s="38">
        <v>0.2287</v>
      </c>
      <c r="J264" s="38">
        <v>0.0135</v>
      </c>
      <c r="K264" s="38">
        <v>0.0</v>
      </c>
      <c r="L264" s="38">
        <v>0.368</v>
      </c>
      <c r="M264" s="38">
        <v>0.2287</v>
      </c>
    </row>
    <row r="265">
      <c r="A265" s="37" t="s">
        <v>30</v>
      </c>
      <c r="B265" s="37" t="s">
        <v>137</v>
      </c>
      <c r="C265" s="37" t="s">
        <v>51</v>
      </c>
      <c r="D265" s="38">
        <v>1.0</v>
      </c>
      <c r="E265" s="38">
        <v>2.0</v>
      </c>
      <c r="F265" s="38">
        <v>5.0</v>
      </c>
      <c r="G265" s="38">
        <v>1.0</v>
      </c>
      <c r="H265" s="38">
        <v>52352.0</v>
      </c>
      <c r="I265" s="38">
        <v>0.4772</v>
      </c>
      <c r="J265" s="38">
        <v>0.4595</v>
      </c>
      <c r="K265" s="38">
        <v>0.0159</v>
      </c>
      <c r="L265" s="38">
        <v>0.9114</v>
      </c>
      <c r="M265" s="38">
        <v>0.4772</v>
      </c>
    </row>
    <row r="266">
      <c r="A266" s="37" t="s">
        <v>30</v>
      </c>
      <c r="B266" s="37" t="s">
        <v>137</v>
      </c>
      <c r="C266" s="37" t="s">
        <v>51</v>
      </c>
      <c r="D266" s="38">
        <v>1.0</v>
      </c>
      <c r="E266" s="38">
        <v>3.0</v>
      </c>
      <c r="F266" s="38">
        <v>5.0</v>
      </c>
      <c r="G266" s="38">
        <v>1.0</v>
      </c>
      <c r="H266" s="38">
        <v>52352.0</v>
      </c>
      <c r="I266" s="38">
        <v>0.7269</v>
      </c>
      <c r="J266" s="38">
        <v>0.9064</v>
      </c>
      <c r="K266" s="38">
        <v>0.525</v>
      </c>
      <c r="L266" s="38">
        <v>1.0</v>
      </c>
      <c r="M266" s="38">
        <v>0.7268</v>
      </c>
    </row>
    <row r="267">
      <c r="A267" s="37" t="s">
        <v>30</v>
      </c>
      <c r="B267" s="37" t="s">
        <v>137</v>
      </c>
      <c r="C267" s="37" t="s">
        <v>51</v>
      </c>
      <c r="D267" s="38">
        <v>1.0</v>
      </c>
      <c r="E267" s="38">
        <v>4.0</v>
      </c>
      <c r="F267" s="38">
        <v>5.0</v>
      </c>
      <c r="G267" s="38">
        <v>1.0</v>
      </c>
      <c r="H267" s="38">
        <v>52352.0</v>
      </c>
      <c r="I267" s="38">
        <v>0.9807</v>
      </c>
      <c r="J267" s="38">
        <v>1.0</v>
      </c>
      <c r="K267" s="38">
        <v>1.0</v>
      </c>
      <c r="L267" s="38">
        <v>1.0</v>
      </c>
      <c r="M267" s="38">
        <v>0.9807</v>
      </c>
    </row>
    <row r="268">
      <c r="A268" s="37" t="s">
        <v>30</v>
      </c>
      <c r="B268" s="37" t="s">
        <v>137</v>
      </c>
      <c r="C268" s="37" t="s">
        <v>51</v>
      </c>
      <c r="D268" s="38">
        <v>1.0</v>
      </c>
      <c r="E268" s="38">
        <v>5.0</v>
      </c>
      <c r="F268" s="38">
        <v>5.0</v>
      </c>
      <c r="G268" s="38">
        <v>1.0</v>
      </c>
      <c r="H268" s="38">
        <v>52352.0</v>
      </c>
      <c r="I268" s="38">
        <v>1.0</v>
      </c>
      <c r="J268" s="38">
        <v>1.0</v>
      </c>
      <c r="K268" s="38">
        <v>1.0</v>
      </c>
      <c r="L268" s="38">
        <v>1.0</v>
      </c>
      <c r="M268" s="38">
        <v>1.0</v>
      </c>
    </row>
    <row r="269">
      <c r="A269" s="37" t="s">
        <v>30</v>
      </c>
      <c r="B269" s="37" t="s">
        <v>339</v>
      </c>
      <c r="C269" s="37" t="s">
        <v>51</v>
      </c>
      <c r="D269" s="38">
        <v>1.0</v>
      </c>
      <c r="E269" s="38">
        <v>1.0</v>
      </c>
      <c r="F269" s="38">
        <v>5.0</v>
      </c>
      <c r="G269" s="38">
        <v>1.0</v>
      </c>
      <c r="H269" s="38">
        <v>41071.0</v>
      </c>
      <c r="I269" s="38">
        <v>0.2479</v>
      </c>
      <c r="J269" s="38">
        <v>0.0189</v>
      </c>
      <c r="K269" s="38">
        <v>0.0</v>
      </c>
      <c r="L269" s="38">
        <v>0.4336</v>
      </c>
      <c r="M269" s="38">
        <v>0.2479</v>
      </c>
    </row>
    <row r="270">
      <c r="A270" s="37" t="s">
        <v>30</v>
      </c>
      <c r="B270" s="37" t="s">
        <v>339</v>
      </c>
      <c r="C270" s="37" t="s">
        <v>51</v>
      </c>
      <c r="D270" s="38">
        <v>1.0</v>
      </c>
      <c r="E270" s="38">
        <v>2.0</v>
      </c>
      <c r="F270" s="38">
        <v>5.0</v>
      </c>
      <c r="G270" s="38">
        <v>1.0</v>
      </c>
      <c r="H270" s="38">
        <v>41071.0</v>
      </c>
      <c r="I270" s="38">
        <v>0.4984</v>
      </c>
      <c r="J270" s="38">
        <v>0.4973</v>
      </c>
      <c r="K270" s="38">
        <v>0.0239</v>
      </c>
      <c r="L270" s="38">
        <v>0.9655</v>
      </c>
      <c r="M270" s="38">
        <v>0.4984</v>
      </c>
    </row>
    <row r="271">
      <c r="A271" s="37" t="s">
        <v>30</v>
      </c>
      <c r="B271" s="37" t="s">
        <v>339</v>
      </c>
      <c r="C271" s="37" t="s">
        <v>51</v>
      </c>
      <c r="D271" s="38">
        <v>1.0</v>
      </c>
      <c r="E271" s="38">
        <v>3.0</v>
      </c>
      <c r="F271" s="38">
        <v>5.0</v>
      </c>
      <c r="G271" s="38">
        <v>1.0</v>
      </c>
      <c r="H271" s="38">
        <v>41071.0</v>
      </c>
      <c r="I271" s="38">
        <v>0.7433</v>
      </c>
      <c r="J271" s="38">
        <v>0.968</v>
      </c>
      <c r="K271" s="38">
        <v>0.5502</v>
      </c>
      <c r="L271" s="38">
        <v>1.0</v>
      </c>
      <c r="M271" s="38">
        <v>0.7433</v>
      </c>
    </row>
    <row r="272">
      <c r="A272" s="37" t="s">
        <v>30</v>
      </c>
      <c r="B272" s="37" t="s">
        <v>339</v>
      </c>
      <c r="C272" s="37" t="s">
        <v>51</v>
      </c>
      <c r="D272" s="38">
        <v>1.0</v>
      </c>
      <c r="E272" s="38">
        <v>4.0</v>
      </c>
      <c r="F272" s="38">
        <v>5.0</v>
      </c>
      <c r="G272" s="38">
        <v>1.0</v>
      </c>
      <c r="H272" s="38">
        <v>41071.0</v>
      </c>
      <c r="I272" s="38">
        <v>0.9834</v>
      </c>
      <c r="J272" s="38">
        <v>1.0</v>
      </c>
      <c r="K272" s="38">
        <v>1.0</v>
      </c>
      <c r="L272" s="38">
        <v>1.0</v>
      </c>
      <c r="M272" s="38">
        <v>0.9834</v>
      </c>
    </row>
    <row r="273">
      <c r="A273" s="37" t="s">
        <v>30</v>
      </c>
      <c r="B273" s="37" t="s">
        <v>339</v>
      </c>
      <c r="C273" s="37" t="s">
        <v>51</v>
      </c>
      <c r="D273" s="38">
        <v>1.0</v>
      </c>
      <c r="E273" s="38">
        <v>5.0</v>
      </c>
      <c r="F273" s="38">
        <v>5.0</v>
      </c>
      <c r="G273" s="38">
        <v>1.0</v>
      </c>
      <c r="H273" s="38">
        <v>41071.0</v>
      </c>
      <c r="I273" s="38">
        <v>1.0</v>
      </c>
      <c r="J273" s="38">
        <v>1.0</v>
      </c>
      <c r="K273" s="38">
        <v>1.0</v>
      </c>
      <c r="L273" s="38">
        <v>1.0</v>
      </c>
      <c r="M273" s="38">
        <v>1.0</v>
      </c>
    </row>
    <row r="274">
      <c r="A274" s="37" t="s">
        <v>30</v>
      </c>
      <c r="B274" s="37" t="s">
        <v>137</v>
      </c>
      <c r="C274" s="37" t="s">
        <v>52</v>
      </c>
      <c r="D274" s="38">
        <v>2.0</v>
      </c>
      <c r="E274" s="38">
        <v>1.0</v>
      </c>
      <c r="F274" s="38">
        <v>5.0</v>
      </c>
      <c r="G274" s="38">
        <v>1.0</v>
      </c>
      <c r="H274" s="38">
        <v>42920.0</v>
      </c>
      <c r="I274" s="38">
        <v>0.2589</v>
      </c>
      <c r="J274" s="38">
        <v>0.148</v>
      </c>
      <c r="K274" s="38">
        <v>0.0</v>
      </c>
      <c r="L274" s="38">
        <v>0.4148</v>
      </c>
      <c r="M274" s="38">
        <v>0.2588</v>
      </c>
    </row>
    <row r="275">
      <c r="A275" s="37" t="s">
        <v>30</v>
      </c>
      <c r="B275" s="37" t="s">
        <v>137</v>
      </c>
      <c r="C275" s="37" t="s">
        <v>52</v>
      </c>
      <c r="D275" s="38">
        <v>2.0</v>
      </c>
      <c r="E275" s="38">
        <v>2.0</v>
      </c>
      <c r="F275" s="38">
        <v>5.0</v>
      </c>
      <c r="G275" s="38">
        <v>1.0</v>
      </c>
      <c r="H275" s="38">
        <v>42920.0</v>
      </c>
      <c r="I275" s="38">
        <v>0.5092</v>
      </c>
      <c r="J275" s="38">
        <v>0.5065</v>
      </c>
      <c r="K275" s="38">
        <v>0.2118</v>
      </c>
      <c r="L275" s="38">
        <v>0.8287</v>
      </c>
      <c r="M275" s="38">
        <v>0.5091</v>
      </c>
    </row>
    <row r="276">
      <c r="A276" s="37" t="s">
        <v>30</v>
      </c>
      <c r="B276" s="37" t="s">
        <v>137</v>
      </c>
      <c r="C276" s="37" t="s">
        <v>52</v>
      </c>
      <c r="D276" s="38">
        <v>2.0</v>
      </c>
      <c r="E276" s="38">
        <v>3.0</v>
      </c>
      <c r="F276" s="38">
        <v>5.0</v>
      </c>
      <c r="G276" s="38">
        <v>1.0</v>
      </c>
      <c r="H276" s="38">
        <v>42920.0</v>
      </c>
      <c r="I276" s="38">
        <v>0.7503</v>
      </c>
      <c r="J276" s="38">
        <v>0.8587</v>
      </c>
      <c r="K276" s="38">
        <v>0.6046</v>
      </c>
      <c r="L276" s="38">
        <v>1.0</v>
      </c>
      <c r="M276" s="38">
        <v>0.7502</v>
      </c>
    </row>
    <row r="277">
      <c r="A277" s="37" t="s">
        <v>30</v>
      </c>
      <c r="B277" s="37" t="s">
        <v>137</v>
      </c>
      <c r="C277" s="37" t="s">
        <v>52</v>
      </c>
      <c r="D277" s="38">
        <v>2.0</v>
      </c>
      <c r="E277" s="38">
        <v>4.0</v>
      </c>
      <c r="F277" s="38">
        <v>5.0</v>
      </c>
      <c r="G277" s="38">
        <v>1.0</v>
      </c>
      <c r="H277" s="38">
        <v>42920.0</v>
      </c>
      <c r="I277" s="38">
        <v>0.9859</v>
      </c>
      <c r="J277" s="38">
        <v>1.0</v>
      </c>
      <c r="K277" s="38">
        <v>1.0</v>
      </c>
      <c r="L277" s="38">
        <v>1.0</v>
      </c>
      <c r="M277" s="38">
        <v>0.9859</v>
      </c>
    </row>
    <row r="278">
      <c r="A278" s="37" t="s">
        <v>30</v>
      </c>
      <c r="B278" s="37" t="s">
        <v>137</v>
      </c>
      <c r="C278" s="37" t="s">
        <v>52</v>
      </c>
      <c r="D278" s="38">
        <v>2.0</v>
      </c>
      <c r="E278" s="38">
        <v>5.0</v>
      </c>
      <c r="F278" s="38">
        <v>5.0</v>
      </c>
      <c r="G278" s="38">
        <v>1.0</v>
      </c>
      <c r="H278" s="38">
        <v>42920.0</v>
      </c>
      <c r="I278" s="38">
        <v>1.0</v>
      </c>
      <c r="J278" s="38">
        <v>1.0</v>
      </c>
      <c r="K278" s="38">
        <v>1.0</v>
      </c>
      <c r="L278" s="38">
        <v>1.0</v>
      </c>
      <c r="M278" s="38">
        <v>1.0</v>
      </c>
    </row>
    <row r="279">
      <c r="A279" s="37" t="s">
        <v>30</v>
      </c>
      <c r="B279" s="37" t="s">
        <v>339</v>
      </c>
      <c r="C279" s="37" t="s">
        <v>52</v>
      </c>
      <c r="D279" s="38">
        <v>2.0</v>
      </c>
      <c r="E279" s="38">
        <v>1.0</v>
      </c>
      <c r="F279" s="38">
        <v>5.0</v>
      </c>
      <c r="G279" s="38">
        <v>1.0</v>
      </c>
      <c r="H279" s="38">
        <v>25191.0</v>
      </c>
      <c r="I279" s="38">
        <v>0.2655</v>
      </c>
      <c r="J279" s="38">
        <v>0.1296</v>
      </c>
      <c r="K279" s="38">
        <v>0.0</v>
      </c>
      <c r="L279" s="38">
        <v>0.4478</v>
      </c>
      <c r="M279" s="38">
        <v>0.2656</v>
      </c>
    </row>
    <row r="280">
      <c r="A280" s="37" t="s">
        <v>30</v>
      </c>
      <c r="B280" s="37" t="s">
        <v>339</v>
      </c>
      <c r="C280" s="37" t="s">
        <v>52</v>
      </c>
      <c r="D280" s="38">
        <v>2.0</v>
      </c>
      <c r="E280" s="38">
        <v>2.0</v>
      </c>
      <c r="F280" s="38">
        <v>5.0</v>
      </c>
      <c r="G280" s="38">
        <v>1.0</v>
      </c>
      <c r="H280" s="38">
        <v>25191.0</v>
      </c>
      <c r="I280" s="38">
        <v>0.5166</v>
      </c>
      <c r="J280" s="38">
        <v>0.5233</v>
      </c>
      <c r="K280" s="38">
        <v>0.1788</v>
      </c>
      <c r="L280" s="38">
        <v>0.8751</v>
      </c>
      <c r="M280" s="38">
        <v>0.5166</v>
      </c>
    </row>
    <row r="281">
      <c r="A281" s="37" t="s">
        <v>30</v>
      </c>
      <c r="B281" s="37" t="s">
        <v>339</v>
      </c>
      <c r="C281" s="37" t="s">
        <v>52</v>
      </c>
      <c r="D281" s="38">
        <v>2.0</v>
      </c>
      <c r="E281" s="38">
        <v>3.0</v>
      </c>
      <c r="F281" s="38">
        <v>5.0</v>
      </c>
      <c r="G281" s="38">
        <v>1.0</v>
      </c>
      <c r="H281" s="38">
        <v>25191.0</v>
      </c>
      <c r="I281" s="38">
        <v>0.7573</v>
      </c>
      <c r="J281" s="38">
        <v>0.8975</v>
      </c>
      <c r="K281" s="38">
        <v>0.6081</v>
      </c>
      <c r="L281" s="38">
        <v>1.0</v>
      </c>
      <c r="M281" s="38">
        <v>0.7572</v>
      </c>
    </row>
    <row r="282">
      <c r="A282" s="37" t="s">
        <v>30</v>
      </c>
      <c r="B282" s="37" t="s">
        <v>339</v>
      </c>
      <c r="C282" s="37" t="s">
        <v>52</v>
      </c>
      <c r="D282" s="38">
        <v>2.0</v>
      </c>
      <c r="E282" s="38">
        <v>4.0</v>
      </c>
      <c r="F282" s="38">
        <v>5.0</v>
      </c>
      <c r="G282" s="38">
        <v>1.0</v>
      </c>
      <c r="H282" s="38">
        <v>25191.0</v>
      </c>
      <c r="I282" s="38">
        <v>0.9858</v>
      </c>
      <c r="J282" s="38">
        <v>1.0</v>
      </c>
      <c r="K282" s="38">
        <v>1.0</v>
      </c>
      <c r="L282" s="38">
        <v>1.0</v>
      </c>
      <c r="M282" s="38">
        <v>0.9858</v>
      </c>
    </row>
    <row r="283">
      <c r="A283" s="37" t="s">
        <v>30</v>
      </c>
      <c r="B283" s="37" t="s">
        <v>339</v>
      </c>
      <c r="C283" s="37" t="s">
        <v>52</v>
      </c>
      <c r="D283" s="38">
        <v>2.0</v>
      </c>
      <c r="E283" s="38">
        <v>5.0</v>
      </c>
      <c r="F283" s="38">
        <v>5.0</v>
      </c>
      <c r="G283" s="38">
        <v>1.0</v>
      </c>
      <c r="H283" s="38">
        <v>25191.0</v>
      </c>
      <c r="I283" s="38">
        <v>1.0</v>
      </c>
      <c r="J283" s="38">
        <v>1.0</v>
      </c>
      <c r="K283" s="38">
        <v>1.0</v>
      </c>
      <c r="L283" s="38">
        <v>1.0</v>
      </c>
      <c r="M283" s="38">
        <v>1.0</v>
      </c>
    </row>
    <row r="284">
      <c r="A284" s="37" t="s">
        <v>30</v>
      </c>
      <c r="B284" s="37" t="s">
        <v>137</v>
      </c>
      <c r="C284" s="37" t="s">
        <v>53</v>
      </c>
      <c r="D284" s="38">
        <v>3.0</v>
      </c>
      <c r="E284" s="38">
        <v>1.0</v>
      </c>
      <c r="F284" s="38">
        <v>5.0</v>
      </c>
      <c r="G284" s="38">
        <v>1.0</v>
      </c>
      <c r="H284" s="38">
        <v>25600.0</v>
      </c>
      <c r="I284" s="38">
        <v>0.2626</v>
      </c>
      <c r="J284" s="38">
        <v>0.1868</v>
      </c>
      <c r="K284" s="38">
        <v>2.0E-4</v>
      </c>
      <c r="L284" s="38">
        <v>0.3967</v>
      </c>
      <c r="M284" s="38">
        <v>0.2625</v>
      </c>
    </row>
    <row r="285">
      <c r="A285" s="37" t="s">
        <v>30</v>
      </c>
      <c r="B285" s="37" t="s">
        <v>137</v>
      </c>
      <c r="C285" s="37" t="s">
        <v>53</v>
      </c>
      <c r="D285" s="38">
        <v>3.0</v>
      </c>
      <c r="E285" s="38">
        <v>2.0</v>
      </c>
      <c r="F285" s="38">
        <v>5.0</v>
      </c>
      <c r="G285" s="38">
        <v>1.0</v>
      </c>
      <c r="H285" s="38">
        <v>25600.0</v>
      </c>
      <c r="I285" s="38">
        <v>0.5125</v>
      </c>
      <c r="J285" s="38">
        <v>0.514</v>
      </c>
      <c r="K285" s="38">
        <v>0.2742</v>
      </c>
      <c r="L285" s="38">
        <v>0.7713</v>
      </c>
      <c r="M285" s="38">
        <v>0.5124</v>
      </c>
    </row>
    <row r="286">
      <c r="A286" s="37" t="s">
        <v>30</v>
      </c>
      <c r="B286" s="37" t="s">
        <v>137</v>
      </c>
      <c r="C286" s="37" t="s">
        <v>53</v>
      </c>
      <c r="D286" s="38">
        <v>3.0</v>
      </c>
      <c r="E286" s="38">
        <v>3.0</v>
      </c>
      <c r="F286" s="38">
        <v>5.0</v>
      </c>
      <c r="G286" s="38">
        <v>1.0</v>
      </c>
      <c r="H286" s="38">
        <v>25600.0</v>
      </c>
      <c r="I286" s="38">
        <v>0.7489</v>
      </c>
      <c r="J286" s="38">
        <v>0.8241</v>
      </c>
      <c r="K286" s="38">
        <v>0.6254</v>
      </c>
      <c r="L286" s="38">
        <v>0.9988</v>
      </c>
      <c r="M286" s="38">
        <v>0.7489</v>
      </c>
    </row>
    <row r="287">
      <c r="A287" s="37" t="s">
        <v>30</v>
      </c>
      <c r="B287" s="37" t="s">
        <v>137</v>
      </c>
      <c r="C287" s="37" t="s">
        <v>53</v>
      </c>
      <c r="D287" s="38">
        <v>3.0</v>
      </c>
      <c r="E287" s="38">
        <v>4.0</v>
      </c>
      <c r="F287" s="38">
        <v>5.0</v>
      </c>
      <c r="G287" s="38">
        <v>1.0</v>
      </c>
      <c r="H287" s="38">
        <v>25600.0</v>
      </c>
      <c r="I287" s="38">
        <v>0.9878</v>
      </c>
      <c r="J287" s="38">
        <v>1.0</v>
      </c>
      <c r="K287" s="38">
        <v>1.0</v>
      </c>
      <c r="L287" s="38">
        <v>1.0</v>
      </c>
      <c r="M287" s="38">
        <v>0.9878</v>
      </c>
    </row>
    <row r="288">
      <c r="A288" s="37" t="s">
        <v>30</v>
      </c>
      <c r="B288" s="37" t="s">
        <v>137</v>
      </c>
      <c r="C288" s="37" t="s">
        <v>53</v>
      </c>
      <c r="D288" s="38">
        <v>3.0</v>
      </c>
      <c r="E288" s="38">
        <v>5.0</v>
      </c>
      <c r="F288" s="38">
        <v>5.0</v>
      </c>
      <c r="G288" s="38">
        <v>1.0</v>
      </c>
      <c r="H288" s="38">
        <v>25600.0</v>
      </c>
      <c r="I288" s="38">
        <v>1.0</v>
      </c>
      <c r="J288" s="38">
        <v>1.0</v>
      </c>
      <c r="K288" s="38">
        <v>1.0</v>
      </c>
      <c r="L288" s="38">
        <v>1.0</v>
      </c>
      <c r="M288" s="38">
        <v>1.0</v>
      </c>
    </row>
    <row r="289">
      <c r="A289" s="37" t="s">
        <v>30</v>
      </c>
      <c r="B289" s="37" t="s">
        <v>339</v>
      </c>
      <c r="C289" s="37" t="s">
        <v>53</v>
      </c>
      <c r="D289" s="38">
        <v>3.0</v>
      </c>
      <c r="E289" s="38">
        <v>1.0</v>
      </c>
      <c r="F289" s="38">
        <v>5.0</v>
      </c>
      <c r="G289" s="38">
        <v>1.0</v>
      </c>
      <c r="H289" s="38">
        <v>14098.0</v>
      </c>
      <c r="I289" s="38">
        <v>0.2654</v>
      </c>
      <c r="J289" s="38">
        <v>0.1657</v>
      </c>
      <c r="K289" s="38">
        <v>0.0</v>
      </c>
      <c r="L289" s="38">
        <v>0.4204</v>
      </c>
      <c r="M289" s="38">
        <v>0.2654</v>
      </c>
    </row>
    <row r="290">
      <c r="A290" s="37" t="s">
        <v>30</v>
      </c>
      <c r="B290" s="37" t="s">
        <v>339</v>
      </c>
      <c r="C290" s="37" t="s">
        <v>53</v>
      </c>
      <c r="D290" s="38">
        <v>3.0</v>
      </c>
      <c r="E290" s="38">
        <v>2.0</v>
      </c>
      <c r="F290" s="38">
        <v>5.0</v>
      </c>
      <c r="G290" s="38">
        <v>1.0</v>
      </c>
      <c r="H290" s="38">
        <v>14098.0</v>
      </c>
      <c r="I290" s="38">
        <v>0.5099</v>
      </c>
      <c r="J290" s="38">
        <v>0.5148</v>
      </c>
      <c r="K290" s="38">
        <v>0.2238</v>
      </c>
      <c r="L290" s="38">
        <v>0.8145</v>
      </c>
      <c r="M290" s="38">
        <v>0.5098</v>
      </c>
    </row>
    <row r="291">
      <c r="A291" s="37" t="s">
        <v>30</v>
      </c>
      <c r="B291" s="37" t="s">
        <v>339</v>
      </c>
      <c r="C291" s="37" t="s">
        <v>53</v>
      </c>
      <c r="D291" s="38">
        <v>3.0</v>
      </c>
      <c r="E291" s="38">
        <v>3.0</v>
      </c>
      <c r="F291" s="38">
        <v>5.0</v>
      </c>
      <c r="G291" s="38">
        <v>1.0</v>
      </c>
      <c r="H291" s="38">
        <v>14098.0</v>
      </c>
      <c r="I291" s="38">
        <v>0.7466</v>
      </c>
      <c r="J291" s="38">
        <v>0.8535</v>
      </c>
      <c r="K291" s="38">
        <v>0.6145</v>
      </c>
      <c r="L291" s="38">
        <v>1.0</v>
      </c>
      <c r="M291" s="38">
        <v>0.7466</v>
      </c>
    </row>
    <row r="292">
      <c r="A292" s="37" t="s">
        <v>30</v>
      </c>
      <c r="B292" s="37" t="s">
        <v>339</v>
      </c>
      <c r="C292" s="37" t="s">
        <v>53</v>
      </c>
      <c r="D292" s="38">
        <v>3.0</v>
      </c>
      <c r="E292" s="38">
        <v>4.0</v>
      </c>
      <c r="F292" s="38">
        <v>5.0</v>
      </c>
      <c r="G292" s="38">
        <v>1.0</v>
      </c>
      <c r="H292" s="38">
        <v>14098.0</v>
      </c>
      <c r="I292" s="38">
        <v>0.9847</v>
      </c>
      <c r="J292" s="38">
        <v>1.0</v>
      </c>
      <c r="K292" s="38">
        <v>1.0</v>
      </c>
      <c r="L292" s="38">
        <v>1.0</v>
      </c>
      <c r="M292" s="38">
        <v>0.9847</v>
      </c>
    </row>
    <row r="293">
      <c r="A293" s="37" t="s">
        <v>30</v>
      </c>
      <c r="B293" s="37" t="s">
        <v>339</v>
      </c>
      <c r="C293" s="37" t="s">
        <v>53</v>
      </c>
      <c r="D293" s="38">
        <v>3.0</v>
      </c>
      <c r="E293" s="38">
        <v>5.0</v>
      </c>
      <c r="F293" s="38">
        <v>5.0</v>
      </c>
      <c r="G293" s="38">
        <v>1.0</v>
      </c>
      <c r="H293" s="38">
        <v>14098.0</v>
      </c>
      <c r="I293" s="38">
        <v>1.0</v>
      </c>
      <c r="J293" s="38">
        <v>1.0</v>
      </c>
      <c r="K293" s="38">
        <v>1.0</v>
      </c>
      <c r="L293" s="38">
        <v>1.0</v>
      </c>
      <c r="M293" s="38">
        <v>1.0</v>
      </c>
    </row>
    <row r="294">
      <c r="A294" s="37" t="s">
        <v>30</v>
      </c>
      <c r="B294" s="37" t="s">
        <v>137</v>
      </c>
      <c r="C294" s="37" t="s">
        <v>54</v>
      </c>
      <c r="D294" s="38">
        <v>4.0</v>
      </c>
      <c r="E294" s="38">
        <v>1.0</v>
      </c>
      <c r="F294" s="38">
        <v>5.0</v>
      </c>
      <c r="G294" s="38">
        <v>1.0</v>
      </c>
      <c r="H294" s="38">
        <v>10785.0</v>
      </c>
      <c r="I294" s="38">
        <v>0.2765</v>
      </c>
      <c r="J294" s="38">
        <v>0.2296</v>
      </c>
      <c r="K294" s="38">
        <v>0.0235</v>
      </c>
      <c r="L294" s="38">
        <v>0.3895</v>
      </c>
      <c r="M294" s="38">
        <v>0.2766</v>
      </c>
    </row>
    <row r="295">
      <c r="A295" s="37" t="s">
        <v>30</v>
      </c>
      <c r="B295" s="37" t="s">
        <v>137</v>
      </c>
      <c r="C295" s="37" t="s">
        <v>54</v>
      </c>
      <c r="D295" s="38">
        <v>4.0</v>
      </c>
      <c r="E295" s="38">
        <v>2.0</v>
      </c>
      <c r="F295" s="38">
        <v>5.0</v>
      </c>
      <c r="G295" s="38">
        <v>1.0</v>
      </c>
      <c r="H295" s="38">
        <v>10785.0</v>
      </c>
      <c r="I295" s="38">
        <v>0.5249</v>
      </c>
      <c r="J295" s="38">
        <v>0.5311</v>
      </c>
      <c r="K295" s="38">
        <v>0.3447</v>
      </c>
      <c r="L295" s="38">
        <v>0.7361</v>
      </c>
      <c r="M295" s="38">
        <v>0.5251</v>
      </c>
    </row>
    <row r="296">
      <c r="A296" s="37" t="s">
        <v>30</v>
      </c>
      <c r="B296" s="37" t="s">
        <v>137</v>
      </c>
      <c r="C296" s="37" t="s">
        <v>54</v>
      </c>
      <c r="D296" s="38">
        <v>4.0</v>
      </c>
      <c r="E296" s="38">
        <v>3.0</v>
      </c>
      <c r="F296" s="38">
        <v>5.0</v>
      </c>
      <c r="G296" s="38">
        <v>1.0</v>
      </c>
      <c r="H296" s="38">
        <v>10785.0</v>
      </c>
      <c r="I296" s="38">
        <v>0.7537</v>
      </c>
      <c r="J296" s="38">
        <v>0.8027</v>
      </c>
      <c r="K296" s="38">
        <v>0.6587</v>
      </c>
      <c r="L296" s="38">
        <v>0.9748</v>
      </c>
      <c r="M296" s="38">
        <v>0.7538</v>
      </c>
    </row>
    <row r="297">
      <c r="A297" s="37" t="s">
        <v>30</v>
      </c>
      <c r="B297" s="37" t="s">
        <v>137</v>
      </c>
      <c r="C297" s="37" t="s">
        <v>54</v>
      </c>
      <c r="D297" s="38">
        <v>4.0</v>
      </c>
      <c r="E297" s="38">
        <v>4.0</v>
      </c>
      <c r="F297" s="38">
        <v>5.0</v>
      </c>
      <c r="G297" s="38">
        <v>1.0</v>
      </c>
      <c r="H297" s="38">
        <v>10785.0</v>
      </c>
      <c r="I297" s="38">
        <v>0.9885</v>
      </c>
      <c r="J297" s="38">
        <v>1.0</v>
      </c>
      <c r="K297" s="38">
        <v>0.9999</v>
      </c>
      <c r="L297" s="38">
        <v>1.0</v>
      </c>
      <c r="M297" s="38">
        <v>0.9885</v>
      </c>
    </row>
    <row r="298">
      <c r="A298" s="37" t="s">
        <v>30</v>
      </c>
      <c r="B298" s="37" t="s">
        <v>137</v>
      </c>
      <c r="C298" s="37" t="s">
        <v>54</v>
      </c>
      <c r="D298" s="38">
        <v>4.0</v>
      </c>
      <c r="E298" s="38">
        <v>5.0</v>
      </c>
      <c r="F298" s="38">
        <v>5.0</v>
      </c>
      <c r="G298" s="38">
        <v>1.0</v>
      </c>
      <c r="H298" s="38">
        <v>10785.0</v>
      </c>
      <c r="I298" s="38">
        <v>1.0</v>
      </c>
      <c r="J298" s="38">
        <v>1.0</v>
      </c>
      <c r="K298" s="38">
        <v>1.0</v>
      </c>
      <c r="L298" s="38">
        <v>1.0</v>
      </c>
      <c r="M298" s="38">
        <v>1.0</v>
      </c>
    </row>
    <row r="299">
      <c r="A299" s="37" t="s">
        <v>30</v>
      </c>
      <c r="B299" s="37" t="s">
        <v>339</v>
      </c>
      <c r="C299" s="37" t="s">
        <v>54</v>
      </c>
      <c r="D299" s="38">
        <v>4.0</v>
      </c>
      <c r="E299" s="38">
        <v>1.0</v>
      </c>
      <c r="F299" s="38">
        <v>5.0</v>
      </c>
      <c r="G299" s="38">
        <v>1.0</v>
      </c>
      <c r="H299" s="38">
        <v>6069.0</v>
      </c>
      <c r="I299" s="38">
        <v>0.2767</v>
      </c>
      <c r="J299" s="38">
        <v>0.2131</v>
      </c>
      <c r="K299" s="38">
        <v>0.0</v>
      </c>
      <c r="L299" s="38">
        <v>0.4173</v>
      </c>
      <c r="M299" s="38">
        <v>0.2769</v>
      </c>
    </row>
    <row r="300">
      <c r="A300" s="37" t="s">
        <v>30</v>
      </c>
      <c r="B300" s="37" t="s">
        <v>339</v>
      </c>
      <c r="C300" s="37" t="s">
        <v>54</v>
      </c>
      <c r="D300" s="38">
        <v>4.0</v>
      </c>
      <c r="E300" s="38">
        <v>2.0</v>
      </c>
      <c r="F300" s="38">
        <v>5.0</v>
      </c>
      <c r="G300" s="38">
        <v>1.0</v>
      </c>
      <c r="H300" s="38">
        <v>6069.0</v>
      </c>
      <c r="I300" s="38">
        <v>0.5257</v>
      </c>
      <c r="J300" s="38">
        <v>0.5367</v>
      </c>
      <c r="K300" s="38">
        <v>0.3017</v>
      </c>
      <c r="L300" s="38">
        <v>0.7872</v>
      </c>
      <c r="M300" s="38">
        <v>0.5259</v>
      </c>
    </row>
    <row r="301">
      <c r="A301" s="37" t="s">
        <v>30</v>
      </c>
      <c r="B301" s="37" t="s">
        <v>339</v>
      </c>
      <c r="C301" s="37" t="s">
        <v>54</v>
      </c>
      <c r="D301" s="38">
        <v>4.0</v>
      </c>
      <c r="E301" s="38">
        <v>3.0</v>
      </c>
      <c r="F301" s="38">
        <v>5.0</v>
      </c>
      <c r="G301" s="38">
        <v>1.0</v>
      </c>
      <c r="H301" s="38">
        <v>6069.0</v>
      </c>
      <c r="I301" s="38">
        <v>0.7519</v>
      </c>
      <c r="J301" s="38">
        <v>0.8251</v>
      </c>
      <c r="K301" s="38">
        <v>0.6473</v>
      </c>
      <c r="L301" s="38">
        <v>0.9978</v>
      </c>
      <c r="M301" s="38">
        <v>0.7519</v>
      </c>
    </row>
    <row r="302">
      <c r="A302" s="37" t="s">
        <v>30</v>
      </c>
      <c r="B302" s="37" t="s">
        <v>339</v>
      </c>
      <c r="C302" s="37" t="s">
        <v>54</v>
      </c>
      <c r="D302" s="38">
        <v>4.0</v>
      </c>
      <c r="E302" s="38">
        <v>4.0</v>
      </c>
      <c r="F302" s="38">
        <v>5.0</v>
      </c>
      <c r="G302" s="38">
        <v>1.0</v>
      </c>
      <c r="H302" s="38">
        <v>6069.0</v>
      </c>
      <c r="I302" s="38">
        <v>0.9894</v>
      </c>
      <c r="J302" s="38">
        <v>1.0</v>
      </c>
      <c r="K302" s="38">
        <v>1.0</v>
      </c>
      <c r="L302" s="38">
        <v>1.0</v>
      </c>
      <c r="M302" s="38">
        <v>0.9894</v>
      </c>
    </row>
    <row r="303">
      <c r="A303" s="37" t="s">
        <v>30</v>
      </c>
      <c r="B303" s="37" t="s">
        <v>339</v>
      </c>
      <c r="C303" s="37" t="s">
        <v>54</v>
      </c>
      <c r="D303" s="38">
        <v>4.0</v>
      </c>
      <c r="E303" s="38">
        <v>5.0</v>
      </c>
      <c r="F303" s="38">
        <v>5.0</v>
      </c>
      <c r="G303" s="38">
        <v>1.0</v>
      </c>
      <c r="H303" s="38">
        <v>6069.0</v>
      </c>
      <c r="I303" s="38">
        <v>1.0</v>
      </c>
      <c r="J303" s="38">
        <v>1.0</v>
      </c>
      <c r="K303" s="38">
        <v>1.0</v>
      </c>
      <c r="L303" s="38">
        <v>1.0</v>
      </c>
      <c r="M303" s="38">
        <v>1.0</v>
      </c>
    </row>
    <row r="304">
      <c r="A304" s="37" t="s">
        <v>30</v>
      </c>
      <c r="B304" s="37" t="s">
        <v>137</v>
      </c>
      <c r="C304" s="37" t="s">
        <v>55</v>
      </c>
      <c r="D304" s="38">
        <v>5.0</v>
      </c>
      <c r="E304" s="38">
        <v>1.0</v>
      </c>
      <c r="F304" s="38">
        <v>5.0</v>
      </c>
      <c r="G304" s="38">
        <v>1.0</v>
      </c>
      <c r="H304" s="38">
        <v>1305.0</v>
      </c>
      <c r="I304" s="38">
        <v>0.2641</v>
      </c>
      <c r="J304" s="38">
        <v>0.2213</v>
      </c>
      <c r="K304" s="38">
        <v>0.0</v>
      </c>
      <c r="L304" s="38">
        <v>0.3856</v>
      </c>
      <c r="M304" s="38">
        <v>0.2646</v>
      </c>
    </row>
    <row r="305">
      <c r="A305" s="37" t="s">
        <v>30</v>
      </c>
      <c r="B305" s="37" t="s">
        <v>137</v>
      </c>
      <c r="C305" s="37" t="s">
        <v>55</v>
      </c>
      <c r="D305" s="38">
        <v>5.0</v>
      </c>
      <c r="E305" s="38">
        <v>2.0</v>
      </c>
      <c r="F305" s="38">
        <v>5.0</v>
      </c>
      <c r="G305" s="38">
        <v>1.0</v>
      </c>
      <c r="H305" s="38">
        <v>1305.0</v>
      </c>
      <c r="I305" s="38">
        <v>0.4983</v>
      </c>
      <c r="J305" s="38">
        <v>0.5198</v>
      </c>
      <c r="K305" s="38">
        <v>0.2629</v>
      </c>
      <c r="L305" s="38">
        <v>0.7337</v>
      </c>
      <c r="M305" s="38">
        <v>0.4992</v>
      </c>
    </row>
    <row r="306">
      <c r="A306" s="37" t="s">
        <v>30</v>
      </c>
      <c r="B306" s="37" t="s">
        <v>137</v>
      </c>
      <c r="C306" s="37" t="s">
        <v>55</v>
      </c>
      <c r="D306" s="38">
        <v>5.0</v>
      </c>
      <c r="E306" s="38">
        <v>3.0</v>
      </c>
      <c r="F306" s="38">
        <v>5.0</v>
      </c>
      <c r="G306" s="38">
        <v>1.0</v>
      </c>
      <c r="H306" s="38">
        <v>1305.0</v>
      </c>
      <c r="I306" s="38">
        <v>0.7289</v>
      </c>
      <c r="J306" s="38">
        <v>0.7905</v>
      </c>
      <c r="K306" s="38">
        <v>0.6474</v>
      </c>
      <c r="L306" s="38">
        <v>0.9802</v>
      </c>
      <c r="M306" s="38">
        <v>0.7299</v>
      </c>
    </row>
    <row r="307">
      <c r="A307" s="37" t="s">
        <v>30</v>
      </c>
      <c r="B307" s="37" t="s">
        <v>137</v>
      </c>
      <c r="C307" s="37" t="s">
        <v>55</v>
      </c>
      <c r="D307" s="38">
        <v>5.0</v>
      </c>
      <c r="E307" s="38">
        <v>4.0</v>
      </c>
      <c r="F307" s="38">
        <v>5.0</v>
      </c>
      <c r="G307" s="38">
        <v>1.0</v>
      </c>
      <c r="H307" s="38">
        <v>1305.0</v>
      </c>
      <c r="I307" s="38">
        <v>0.9845</v>
      </c>
      <c r="J307" s="38">
        <v>1.0</v>
      </c>
      <c r="K307" s="38">
        <v>0.9983</v>
      </c>
      <c r="L307" s="38">
        <v>1.0</v>
      </c>
      <c r="M307" s="38">
        <v>0.9846</v>
      </c>
    </row>
    <row r="308">
      <c r="A308" s="37" t="s">
        <v>30</v>
      </c>
      <c r="B308" s="37" t="s">
        <v>137</v>
      </c>
      <c r="C308" s="37" t="s">
        <v>55</v>
      </c>
      <c r="D308" s="38">
        <v>5.0</v>
      </c>
      <c r="E308" s="38">
        <v>5.0</v>
      </c>
      <c r="F308" s="38">
        <v>5.0</v>
      </c>
      <c r="G308" s="38">
        <v>1.0</v>
      </c>
      <c r="H308" s="38">
        <v>1305.0</v>
      </c>
      <c r="I308" s="38">
        <v>1.0</v>
      </c>
      <c r="J308" s="38">
        <v>1.0</v>
      </c>
      <c r="K308" s="38">
        <v>1.0</v>
      </c>
      <c r="L308" s="38">
        <v>1.0</v>
      </c>
      <c r="M308" s="38">
        <v>1.0</v>
      </c>
    </row>
    <row r="309">
      <c r="A309" s="37" t="s">
        <v>30</v>
      </c>
      <c r="B309" s="37" t="s">
        <v>339</v>
      </c>
      <c r="C309" s="37" t="s">
        <v>55</v>
      </c>
      <c r="D309" s="38">
        <v>5.0</v>
      </c>
      <c r="E309" s="38">
        <v>1.0</v>
      </c>
      <c r="F309" s="38">
        <v>5.0</v>
      </c>
      <c r="G309" s="38">
        <v>1.0</v>
      </c>
      <c r="H309" s="38">
        <v>749.0</v>
      </c>
      <c r="I309" s="38">
        <v>0.2609</v>
      </c>
      <c r="J309" s="38">
        <v>0.1929</v>
      </c>
      <c r="K309" s="38">
        <v>0.0</v>
      </c>
      <c r="L309" s="38">
        <v>0.4092</v>
      </c>
      <c r="M309" s="38">
        <v>0.2614</v>
      </c>
    </row>
    <row r="310">
      <c r="A310" s="37" t="s">
        <v>30</v>
      </c>
      <c r="B310" s="37" t="s">
        <v>339</v>
      </c>
      <c r="C310" s="37" t="s">
        <v>55</v>
      </c>
      <c r="D310" s="38">
        <v>5.0</v>
      </c>
      <c r="E310" s="38">
        <v>2.0</v>
      </c>
      <c r="F310" s="38">
        <v>5.0</v>
      </c>
      <c r="G310" s="38">
        <v>1.0</v>
      </c>
      <c r="H310" s="38">
        <v>749.0</v>
      </c>
      <c r="I310" s="38">
        <v>0.4933</v>
      </c>
      <c r="J310" s="38">
        <v>0.5109</v>
      </c>
      <c r="K310" s="38">
        <v>0.0795</v>
      </c>
      <c r="L310" s="38">
        <v>0.7957</v>
      </c>
      <c r="M310" s="38">
        <v>0.4941</v>
      </c>
    </row>
    <row r="311">
      <c r="A311" s="37" t="s">
        <v>30</v>
      </c>
      <c r="B311" s="37" t="s">
        <v>339</v>
      </c>
      <c r="C311" s="37" t="s">
        <v>55</v>
      </c>
      <c r="D311" s="38">
        <v>5.0</v>
      </c>
      <c r="E311" s="38">
        <v>3.0</v>
      </c>
      <c r="F311" s="38">
        <v>5.0</v>
      </c>
      <c r="G311" s="38">
        <v>1.0</v>
      </c>
      <c r="H311" s="38">
        <v>749.0</v>
      </c>
      <c r="I311" s="38">
        <v>0.7219</v>
      </c>
      <c r="J311" s="38">
        <v>0.8228</v>
      </c>
      <c r="K311" s="38">
        <v>0.6347</v>
      </c>
      <c r="L311" s="38">
        <v>0.9949</v>
      </c>
      <c r="M311" s="38">
        <v>0.7226</v>
      </c>
    </row>
    <row r="312">
      <c r="A312" s="37" t="s">
        <v>30</v>
      </c>
      <c r="B312" s="37" t="s">
        <v>339</v>
      </c>
      <c r="C312" s="37" t="s">
        <v>55</v>
      </c>
      <c r="D312" s="38">
        <v>5.0</v>
      </c>
      <c r="E312" s="38">
        <v>4.0</v>
      </c>
      <c r="F312" s="38">
        <v>5.0</v>
      </c>
      <c r="G312" s="38">
        <v>1.0</v>
      </c>
      <c r="H312" s="38">
        <v>749.0</v>
      </c>
      <c r="I312" s="38">
        <v>0.9811</v>
      </c>
      <c r="J312" s="38">
        <v>1.0</v>
      </c>
      <c r="K312" s="38">
        <v>0.9997</v>
      </c>
      <c r="L312" s="38">
        <v>1.0</v>
      </c>
      <c r="M312" s="38">
        <v>0.9813</v>
      </c>
    </row>
    <row r="313">
      <c r="A313" s="37" t="s">
        <v>30</v>
      </c>
      <c r="B313" s="37" t="s">
        <v>339</v>
      </c>
      <c r="C313" s="37" t="s">
        <v>55</v>
      </c>
      <c r="D313" s="38">
        <v>5.0</v>
      </c>
      <c r="E313" s="38">
        <v>5.0</v>
      </c>
      <c r="F313" s="38">
        <v>5.0</v>
      </c>
      <c r="G313" s="38">
        <v>1.0</v>
      </c>
      <c r="H313" s="38">
        <v>749.0</v>
      </c>
      <c r="I313" s="38">
        <v>1.0</v>
      </c>
      <c r="J313" s="38">
        <v>1.0</v>
      </c>
      <c r="K313" s="38">
        <v>1.0</v>
      </c>
      <c r="L313" s="38">
        <v>1.0</v>
      </c>
      <c r="M313" s="38">
        <v>1.0</v>
      </c>
    </row>
    <row r="314">
      <c r="A314" s="37" t="s">
        <v>6</v>
      </c>
      <c r="B314" s="37" t="s">
        <v>137</v>
      </c>
      <c r="C314" s="37" t="s">
        <v>51</v>
      </c>
      <c r="D314" s="38">
        <v>1.0</v>
      </c>
      <c r="E314" s="38">
        <v>1.0</v>
      </c>
      <c r="F314" s="38">
        <v>2.0</v>
      </c>
      <c r="G314" s="38">
        <v>4.0</v>
      </c>
      <c r="H314" s="38">
        <v>81453.0</v>
      </c>
      <c r="I314" s="38">
        <v>0.9203</v>
      </c>
      <c r="J314" s="38">
        <v>1.0</v>
      </c>
      <c r="K314" s="38">
        <v>1.0</v>
      </c>
      <c r="L314" s="38">
        <v>1.0</v>
      </c>
      <c r="M314" s="38">
        <v>0.9202</v>
      </c>
    </row>
    <row r="315">
      <c r="A315" s="37" t="s">
        <v>6</v>
      </c>
      <c r="B315" s="37" t="s">
        <v>137</v>
      </c>
      <c r="C315" s="37" t="s">
        <v>51</v>
      </c>
      <c r="D315" s="38">
        <v>1.0</v>
      </c>
      <c r="E315" s="38">
        <v>2.0</v>
      </c>
      <c r="F315" s="38">
        <v>2.0</v>
      </c>
      <c r="G315" s="38">
        <v>4.0</v>
      </c>
      <c r="H315" s="38">
        <v>81453.0</v>
      </c>
      <c r="I315" s="38">
        <v>1.0</v>
      </c>
      <c r="J315" s="38">
        <v>1.0</v>
      </c>
      <c r="K315" s="38">
        <v>1.0</v>
      </c>
      <c r="L315" s="38">
        <v>1.0</v>
      </c>
      <c r="M315" s="38">
        <v>1.0</v>
      </c>
    </row>
    <row r="316">
      <c r="A316" s="37" t="s">
        <v>6</v>
      </c>
      <c r="B316" s="37" t="s">
        <v>339</v>
      </c>
      <c r="C316" s="37" t="s">
        <v>51</v>
      </c>
      <c r="D316" s="38">
        <v>1.0</v>
      </c>
      <c r="E316" s="38">
        <v>1.0</v>
      </c>
      <c r="F316" s="38">
        <v>2.0</v>
      </c>
      <c r="G316" s="38">
        <v>4.0</v>
      </c>
      <c r="H316" s="38">
        <v>61430.0</v>
      </c>
      <c r="I316" s="38">
        <v>0.9171</v>
      </c>
      <c r="J316" s="38">
        <v>1.0</v>
      </c>
      <c r="K316" s="38">
        <v>1.0</v>
      </c>
      <c r="L316" s="38">
        <v>1.0</v>
      </c>
      <c r="M316" s="38">
        <v>0.9169</v>
      </c>
    </row>
    <row r="317">
      <c r="A317" s="37" t="s">
        <v>6</v>
      </c>
      <c r="B317" s="37" t="s">
        <v>339</v>
      </c>
      <c r="C317" s="37" t="s">
        <v>51</v>
      </c>
      <c r="D317" s="38">
        <v>1.0</v>
      </c>
      <c r="E317" s="38">
        <v>2.0</v>
      </c>
      <c r="F317" s="38">
        <v>2.0</v>
      </c>
      <c r="G317" s="38">
        <v>4.0</v>
      </c>
      <c r="H317" s="38">
        <v>61430.0</v>
      </c>
      <c r="I317" s="38">
        <v>1.0</v>
      </c>
      <c r="J317" s="38">
        <v>1.0</v>
      </c>
      <c r="K317" s="38">
        <v>1.0</v>
      </c>
      <c r="L317" s="38">
        <v>1.0</v>
      </c>
      <c r="M317" s="38">
        <v>1.0</v>
      </c>
    </row>
    <row r="318">
      <c r="A318" s="37" t="s">
        <v>6</v>
      </c>
      <c r="B318" s="37" t="s">
        <v>137</v>
      </c>
      <c r="C318" s="37" t="s">
        <v>52</v>
      </c>
      <c r="D318" s="38">
        <v>2.0</v>
      </c>
      <c r="E318" s="38">
        <v>1.0</v>
      </c>
      <c r="F318" s="38">
        <v>2.0</v>
      </c>
      <c r="G318" s="38">
        <v>4.0</v>
      </c>
      <c r="H318" s="38">
        <v>69090.0</v>
      </c>
      <c r="I318" s="38">
        <v>0.9248</v>
      </c>
      <c r="J318" s="38">
        <v>1.0</v>
      </c>
      <c r="K318" s="38">
        <v>0.998</v>
      </c>
      <c r="L318" s="38">
        <v>1.0</v>
      </c>
      <c r="M318" s="38">
        <v>0.9247</v>
      </c>
    </row>
    <row r="319">
      <c r="A319" s="37" t="s">
        <v>6</v>
      </c>
      <c r="B319" s="37" t="s">
        <v>137</v>
      </c>
      <c r="C319" s="37" t="s">
        <v>52</v>
      </c>
      <c r="D319" s="38">
        <v>2.0</v>
      </c>
      <c r="E319" s="38">
        <v>2.0</v>
      </c>
      <c r="F319" s="38">
        <v>2.0</v>
      </c>
      <c r="G319" s="38">
        <v>4.0</v>
      </c>
      <c r="H319" s="38">
        <v>69090.0</v>
      </c>
      <c r="I319" s="38">
        <v>1.0</v>
      </c>
      <c r="J319" s="38">
        <v>1.0</v>
      </c>
      <c r="K319" s="38">
        <v>1.0</v>
      </c>
      <c r="L319" s="38">
        <v>1.0</v>
      </c>
      <c r="M319" s="38">
        <v>1.0</v>
      </c>
    </row>
    <row r="320">
      <c r="A320" s="37" t="s">
        <v>6</v>
      </c>
      <c r="B320" s="37" t="s">
        <v>339</v>
      </c>
      <c r="C320" s="37" t="s">
        <v>52</v>
      </c>
      <c r="D320" s="38">
        <v>2.0</v>
      </c>
      <c r="E320" s="38">
        <v>1.0</v>
      </c>
      <c r="F320" s="38">
        <v>2.0</v>
      </c>
      <c r="G320" s="38">
        <v>4.0</v>
      </c>
      <c r="H320" s="38">
        <v>41584.0</v>
      </c>
      <c r="I320" s="38">
        <v>0.9155</v>
      </c>
      <c r="J320" s="38">
        <v>1.0</v>
      </c>
      <c r="K320" s="38">
        <v>0.9972</v>
      </c>
      <c r="L320" s="38">
        <v>1.0</v>
      </c>
      <c r="M320" s="38">
        <v>0.9156</v>
      </c>
    </row>
    <row r="321">
      <c r="A321" s="37" t="s">
        <v>6</v>
      </c>
      <c r="B321" s="37" t="s">
        <v>339</v>
      </c>
      <c r="C321" s="37" t="s">
        <v>52</v>
      </c>
      <c r="D321" s="38">
        <v>2.0</v>
      </c>
      <c r="E321" s="38">
        <v>2.0</v>
      </c>
      <c r="F321" s="38">
        <v>2.0</v>
      </c>
      <c r="G321" s="38">
        <v>4.0</v>
      </c>
      <c r="H321" s="38">
        <v>41584.0</v>
      </c>
      <c r="I321" s="38">
        <v>1.0</v>
      </c>
      <c r="J321" s="38">
        <v>1.0</v>
      </c>
      <c r="K321" s="38">
        <v>1.0</v>
      </c>
      <c r="L321" s="38">
        <v>1.0</v>
      </c>
      <c r="M321" s="38">
        <v>1.0</v>
      </c>
    </row>
    <row r="322">
      <c r="A322" s="37" t="s">
        <v>6</v>
      </c>
      <c r="B322" s="37" t="s">
        <v>137</v>
      </c>
      <c r="C322" s="37" t="s">
        <v>53</v>
      </c>
      <c r="D322" s="38">
        <v>3.0</v>
      </c>
      <c r="E322" s="38">
        <v>1.0</v>
      </c>
      <c r="F322" s="38">
        <v>2.0</v>
      </c>
      <c r="G322" s="38">
        <v>4.0</v>
      </c>
      <c r="H322" s="38">
        <v>43848.0</v>
      </c>
      <c r="I322" s="38">
        <v>0.9254</v>
      </c>
      <c r="J322" s="38">
        <v>1.0</v>
      </c>
      <c r="K322" s="38">
        <v>0.9781</v>
      </c>
      <c r="L322" s="38">
        <v>1.0</v>
      </c>
      <c r="M322" s="38">
        <v>0.9252</v>
      </c>
    </row>
    <row r="323">
      <c r="A323" s="37" t="s">
        <v>6</v>
      </c>
      <c r="B323" s="37" t="s">
        <v>137</v>
      </c>
      <c r="C323" s="37" t="s">
        <v>53</v>
      </c>
      <c r="D323" s="38">
        <v>3.0</v>
      </c>
      <c r="E323" s="38">
        <v>2.0</v>
      </c>
      <c r="F323" s="38">
        <v>2.0</v>
      </c>
      <c r="G323" s="38">
        <v>4.0</v>
      </c>
      <c r="H323" s="38">
        <v>43848.0</v>
      </c>
      <c r="I323" s="38">
        <v>1.0</v>
      </c>
      <c r="J323" s="38">
        <v>1.0</v>
      </c>
      <c r="K323" s="38">
        <v>1.0</v>
      </c>
      <c r="L323" s="38">
        <v>1.0</v>
      </c>
      <c r="M323" s="38">
        <v>1.0</v>
      </c>
    </row>
    <row r="324">
      <c r="A324" s="37" t="s">
        <v>6</v>
      </c>
      <c r="B324" s="37" t="s">
        <v>339</v>
      </c>
      <c r="C324" s="37" t="s">
        <v>53</v>
      </c>
      <c r="D324" s="38">
        <v>3.0</v>
      </c>
      <c r="E324" s="38">
        <v>1.0</v>
      </c>
      <c r="F324" s="38">
        <v>2.0</v>
      </c>
      <c r="G324" s="38">
        <v>4.0</v>
      </c>
      <c r="H324" s="38">
        <v>24642.0</v>
      </c>
      <c r="I324" s="38">
        <v>0.9154</v>
      </c>
      <c r="J324" s="38">
        <v>1.0</v>
      </c>
      <c r="K324" s="38">
        <v>0.977</v>
      </c>
      <c r="L324" s="38">
        <v>1.0</v>
      </c>
      <c r="M324" s="38">
        <v>0.9154</v>
      </c>
    </row>
    <row r="325">
      <c r="A325" s="37" t="s">
        <v>6</v>
      </c>
      <c r="B325" s="37" t="s">
        <v>339</v>
      </c>
      <c r="C325" s="37" t="s">
        <v>53</v>
      </c>
      <c r="D325" s="38">
        <v>3.0</v>
      </c>
      <c r="E325" s="38">
        <v>2.0</v>
      </c>
      <c r="F325" s="38">
        <v>2.0</v>
      </c>
      <c r="G325" s="38">
        <v>4.0</v>
      </c>
      <c r="H325" s="38">
        <v>24642.0</v>
      </c>
      <c r="I325" s="38">
        <v>1.0</v>
      </c>
      <c r="J325" s="38">
        <v>1.0</v>
      </c>
      <c r="K325" s="38">
        <v>1.0</v>
      </c>
      <c r="L325" s="38">
        <v>1.0</v>
      </c>
      <c r="M325" s="38">
        <v>1.0</v>
      </c>
    </row>
    <row r="326">
      <c r="A326" s="37" t="s">
        <v>6</v>
      </c>
      <c r="B326" s="37" t="s">
        <v>137</v>
      </c>
      <c r="C326" s="37" t="s">
        <v>54</v>
      </c>
      <c r="D326" s="38">
        <v>4.0</v>
      </c>
      <c r="E326" s="38">
        <v>1.0</v>
      </c>
      <c r="F326" s="38">
        <v>2.0</v>
      </c>
      <c r="G326" s="38">
        <v>4.0</v>
      </c>
      <c r="H326" s="38">
        <v>19048.0</v>
      </c>
      <c r="I326" s="38">
        <v>0.9323</v>
      </c>
      <c r="J326" s="38">
        <v>1.0</v>
      </c>
      <c r="K326" s="38">
        <v>0.9736</v>
      </c>
      <c r="L326" s="38">
        <v>1.0</v>
      </c>
      <c r="M326" s="38">
        <v>0.9325</v>
      </c>
    </row>
    <row r="327">
      <c r="A327" s="37" t="s">
        <v>6</v>
      </c>
      <c r="B327" s="37" t="s">
        <v>137</v>
      </c>
      <c r="C327" s="37" t="s">
        <v>54</v>
      </c>
      <c r="D327" s="38">
        <v>4.0</v>
      </c>
      <c r="E327" s="38">
        <v>2.0</v>
      </c>
      <c r="F327" s="38">
        <v>2.0</v>
      </c>
      <c r="G327" s="38">
        <v>4.0</v>
      </c>
      <c r="H327" s="38">
        <v>19048.0</v>
      </c>
      <c r="I327" s="38">
        <v>1.0</v>
      </c>
      <c r="J327" s="38">
        <v>1.0</v>
      </c>
      <c r="K327" s="38">
        <v>1.0</v>
      </c>
      <c r="L327" s="38">
        <v>1.0</v>
      </c>
      <c r="M327" s="38">
        <v>1.0</v>
      </c>
    </row>
    <row r="328">
      <c r="A328" s="37" t="s">
        <v>6</v>
      </c>
      <c r="B328" s="37" t="s">
        <v>339</v>
      </c>
      <c r="C328" s="37" t="s">
        <v>54</v>
      </c>
      <c r="D328" s="38">
        <v>4.0</v>
      </c>
      <c r="E328" s="38">
        <v>1.0</v>
      </c>
      <c r="F328" s="38">
        <v>2.0</v>
      </c>
      <c r="G328" s="38">
        <v>4.0</v>
      </c>
      <c r="H328" s="38">
        <v>10899.0</v>
      </c>
      <c r="I328" s="38">
        <v>0.921</v>
      </c>
      <c r="J328" s="38">
        <v>1.0</v>
      </c>
      <c r="K328" s="38">
        <v>0.9701</v>
      </c>
      <c r="L328" s="38">
        <v>1.0</v>
      </c>
      <c r="M328" s="38">
        <v>0.9208</v>
      </c>
    </row>
    <row r="329">
      <c r="A329" s="37" t="s">
        <v>6</v>
      </c>
      <c r="B329" s="37" t="s">
        <v>339</v>
      </c>
      <c r="C329" s="37" t="s">
        <v>54</v>
      </c>
      <c r="D329" s="38">
        <v>4.0</v>
      </c>
      <c r="E329" s="38">
        <v>2.0</v>
      </c>
      <c r="F329" s="38">
        <v>2.0</v>
      </c>
      <c r="G329" s="38">
        <v>4.0</v>
      </c>
      <c r="H329" s="38">
        <v>10899.0</v>
      </c>
      <c r="I329" s="38">
        <v>1.0</v>
      </c>
      <c r="J329" s="38">
        <v>1.0</v>
      </c>
      <c r="K329" s="38">
        <v>1.0</v>
      </c>
      <c r="L329" s="38">
        <v>1.0</v>
      </c>
      <c r="M329" s="38">
        <v>1.0</v>
      </c>
    </row>
    <row r="330">
      <c r="A330" s="37" t="s">
        <v>6</v>
      </c>
      <c r="B330" s="37" t="s">
        <v>137</v>
      </c>
      <c r="C330" s="37" t="s">
        <v>55</v>
      </c>
      <c r="D330" s="38">
        <v>5.0</v>
      </c>
      <c r="E330" s="38">
        <v>1.0</v>
      </c>
      <c r="F330" s="38">
        <v>2.0</v>
      </c>
      <c r="G330" s="38">
        <v>4.0</v>
      </c>
      <c r="H330" s="38">
        <v>2774.0</v>
      </c>
      <c r="I330" s="38">
        <v>0.9294</v>
      </c>
      <c r="J330" s="38">
        <v>0.9993</v>
      </c>
      <c r="K330" s="38">
        <v>0.9387</v>
      </c>
      <c r="L330" s="38">
        <v>1.0</v>
      </c>
      <c r="M330" s="38">
        <v>0.9302</v>
      </c>
    </row>
    <row r="331">
      <c r="A331" s="37" t="s">
        <v>6</v>
      </c>
      <c r="B331" s="37" t="s">
        <v>137</v>
      </c>
      <c r="C331" s="37" t="s">
        <v>55</v>
      </c>
      <c r="D331" s="38">
        <v>5.0</v>
      </c>
      <c r="E331" s="38">
        <v>2.0</v>
      </c>
      <c r="F331" s="38">
        <v>2.0</v>
      </c>
      <c r="G331" s="38">
        <v>4.0</v>
      </c>
      <c r="H331" s="38">
        <v>2774.0</v>
      </c>
      <c r="I331" s="38">
        <v>1.0</v>
      </c>
      <c r="J331" s="38">
        <v>1.0</v>
      </c>
      <c r="K331" s="38">
        <v>1.0</v>
      </c>
      <c r="L331" s="38">
        <v>1.0</v>
      </c>
      <c r="M331" s="38">
        <v>1.0</v>
      </c>
    </row>
    <row r="332">
      <c r="A332" s="37" t="s">
        <v>6</v>
      </c>
      <c r="B332" s="37" t="s">
        <v>339</v>
      </c>
      <c r="C332" s="37" t="s">
        <v>55</v>
      </c>
      <c r="D332" s="38">
        <v>5.0</v>
      </c>
      <c r="E332" s="38">
        <v>1.0</v>
      </c>
      <c r="F332" s="38">
        <v>2.0</v>
      </c>
      <c r="G332" s="38">
        <v>4.0</v>
      </c>
      <c r="H332" s="38">
        <v>1592.0</v>
      </c>
      <c r="I332" s="38">
        <v>0.9169</v>
      </c>
      <c r="J332" s="38">
        <v>0.9999</v>
      </c>
      <c r="K332" s="38">
        <v>0.9302</v>
      </c>
      <c r="L332" s="38">
        <v>1.0</v>
      </c>
      <c r="M332" s="38">
        <v>0.9176</v>
      </c>
    </row>
    <row r="333">
      <c r="A333" s="37" t="s">
        <v>6</v>
      </c>
      <c r="B333" s="37" t="s">
        <v>339</v>
      </c>
      <c r="C333" s="37" t="s">
        <v>55</v>
      </c>
      <c r="D333" s="38">
        <v>5.0</v>
      </c>
      <c r="E333" s="38">
        <v>2.0</v>
      </c>
      <c r="F333" s="38">
        <v>2.0</v>
      </c>
      <c r="G333" s="38">
        <v>4.0</v>
      </c>
      <c r="H333" s="38">
        <v>1592.0</v>
      </c>
      <c r="I333" s="38">
        <v>1.0</v>
      </c>
      <c r="J333" s="38">
        <v>1.0</v>
      </c>
      <c r="K333" s="38">
        <v>1.0</v>
      </c>
      <c r="L333" s="38">
        <v>1.0</v>
      </c>
      <c r="M333" s="38">
        <v>1.0</v>
      </c>
    </row>
    <row r="334">
      <c r="A334" s="37" t="s">
        <v>108</v>
      </c>
      <c r="B334" s="37" t="s">
        <v>137</v>
      </c>
      <c r="C334" s="37" t="s">
        <v>51</v>
      </c>
      <c r="D334" s="38">
        <v>1.0</v>
      </c>
      <c r="E334" s="38">
        <v>1.0</v>
      </c>
      <c r="F334" s="38">
        <v>8.0</v>
      </c>
      <c r="G334" s="38">
        <v>3.0</v>
      </c>
      <c r="H334" s="38">
        <v>48336.0</v>
      </c>
      <c r="I334" s="38">
        <v>0.2292</v>
      </c>
      <c r="J334" s="38">
        <v>0.0</v>
      </c>
      <c r="K334" s="38">
        <v>0.0</v>
      </c>
      <c r="L334" s="38">
        <v>0.2803</v>
      </c>
      <c r="M334" s="38">
        <v>0.239</v>
      </c>
    </row>
    <row r="335">
      <c r="A335" s="37" t="s">
        <v>108</v>
      </c>
      <c r="B335" s="37" t="s">
        <v>137</v>
      </c>
      <c r="C335" s="37" t="s">
        <v>51</v>
      </c>
      <c r="D335" s="38">
        <v>1.0</v>
      </c>
      <c r="E335" s="38">
        <v>2.0</v>
      </c>
      <c r="F335" s="38">
        <v>8.0</v>
      </c>
      <c r="G335" s="38">
        <v>3.0</v>
      </c>
      <c r="H335" s="38">
        <v>48336.0</v>
      </c>
      <c r="I335" s="38">
        <v>0.3873</v>
      </c>
      <c r="J335" s="38">
        <v>0.1284</v>
      </c>
      <c r="K335" s="38">
        <v>0.0</v>
      </c>
      <c r="L335" s="38">
        <v>0.9942</v>
      </c>
      <c r="M335" s="38">
        <v>0.4017</v>
      </c>
    </row>
    <row r="336">
      <c r="A336" s="37" t="s">
        <v>108</v>
      </c>
      <c r="B336" s="37" t="s">
        <v>137</v>
      </c>
      <c r="C336" s="37" t="s">
        <v>51</v>
      </c>
      <c r="D336" s="38">
        <v>1.0</v>
      </c>
      <c r="E336" s="38">
        <v>3.0</v>
      </c>
      <c r="F336" s="38">
        <v>8.0</v>
      </c>
      <c r="G336" s="38">
        <v>3.0</v>
      </c>
      <c r="H336" s="38">
        <v>48336.0</v>
      </c>
      <c r="I336" s="38">
        <v>0.5153</v>
      </c>
      <c r="J336" s="38">
        <v>0.4892</v>
      </c>
      <c r="K336" s="38">
        <v>0.0013</v>
      </c>
      <c r="L336" s="38">
        <v>1.0</v>
      </c>
      <c r="M336" s="38">
        <v>0.531</v>
      </c>
    </row>
    <row r="337">
      <c r="A337" s="37" t="s">
        <v>108</v>
      </c>
      <c r="B337" s="37" t="s">
        <v>137</v>
      </c>
      <c r="C337" s="37" t="s">
        <v>51</v>
      </c>
      <c r="D337" s="38">
        <v>1.0</v>
      </c>
      <c r="E337" s="38">
        <v>4.0</v>
      </c>
      <c r="F337" s="38">
        <v>8.0</v>
      </c>
      <c r="G337" s="38">
        <v>3.0</v>
      </c>
      <c r="H337" s="38">
        <v>48336.0</v>
      </c>
      <c r="I337" s="38">
        <v>0.6378</v>
      </c>
      <c r="J337" s="38">
        <v>0.9418</v>
      </c>
      <c r="K337" s="38">
        <v>0.1603</v>
      </c>
      <c r="L337" s="38">
        <v>1.0</v>
      </c>
      <c r="M337" s="38">
        <v>0.653</v>
      </c>
    </row>
    <row r="338">
      <c r="A338" s="37" t="s">
        <v>108</v>
      </c>
      <c r="B338" s="37" t="s">
        <v>137</v>
      </c>
      <c r="C338" s="37" t="s">
        <v>51</v>
      </c>
      <c r="D338" s="38">
        <v>1.0</v>
      </c>
      <c r="E338" s="38">
        <v>5.0</v>
      </c>
      <c r="F338" s="38">
        <v>8.0</v>
      </c>
      <c r="G338" s="38">
        <v>3.0</v>
      </c>
      <c r="H338" s="38">
        <v>48336.0</v>
      </c>
      <c r="I338" s="38">
        <v>0.7521</v>
      </c>
      <c r="J338" s="38">
        <v>1.0</v>
      </c>
      <c r="K338" s="38">
        <v>0.5207</v>
      </c>
      <c r="L338" s="38">
        <v>1.0</v>
      </c>
      <c r="M338" s="38">
        <v>0.7648</v>
      </c>
    </row>
    <row r="339">
      <c r="A339" s="37" t="s">
        <v>108</v>
      </c>
      <c r="B339" s="37" t="s">
        <v>137</v>
      </c>
      <c r="C339" s="37" t="s">
        <v>51</v>
      </c>
      <c r="D339" s="38">
        <v>1.0</v>
      </c>
      <c r="E339" s="38">
        <v>6.0</v>
      </c>
      <c r="F339" s="38">
        <v>8.0</v>
      </c>
      <c r="G339" s="38">
        <v>3.0</v>
      </c>
      <c r="H339" s="38">
        <v>48336.0</v>
      </c>
      <c r="I339" s="38">
        <v>0.8692</v>
      </c>
      <c r="J339" s="38">
        <v>1.0</v>
      </c>
      <c r="K339" s="38">
        <v>0.9556</v>
      </c>
      <c r="L339" s="38">
        <v>1.0</v>
      </c>
      <c r="M339" s="38">
        <v>0.8771</v>
      </c>
    </row>
    <row r="340">
      <c r="A340" s="37" t="s">
        <v>108</v>
      </c>
      <c r="B340" s="37" t="s">
        <v>137</v>
      </c>
      <c r="C340" s="37" t="s">
        <v>51</v>
      </c>
      <c r="D340" s="38">
        <v>1.0</v>
      </c>
      <c r="E340" s="38">
        <v>7.0</v>
      </c>
      <c r="F340" s="38">
        <v>8.0</v>
      </c>
      <c r="G340" s="38">
        <v>3.0</v>
      </c>
      <c r="H340" s="38">
        <v>48336.0</v>
      </c>
      <c r="I340" s="38">
        <v>0.9906</v>
      </c>
      <c r="J340" s="38">
        <v>1.0</v>
      </c>
      <c r="K340" s="38">
        <v>1.0</v>
      </c>
      <c r="L340" s="38">
        <v>1.0</v>
      </c>
      <c r="M340" s="38">
        <v>0.9915</v>
      </c>
    </row>
    <row r="341">
      <c r="A341" s="37" t="s">
        <v>108</v>
      </c>
      <c r="B341" s="37" t="s">
        <v>137</v>
      </c>
      <c r="C341" s="37" t="s">
        <v>51</v>
      </c>
      <c r="D341" s="38">
        <v>1.0</v>
      </c>
      <c r="E341" s="38">
        <v>8.0</v>
      </c>
      <c r="F341" s="38">
        <v>8.0</v>
      </c>
      <c r="G341" s="38">
        <v>3.0</v>
      </c>
      <c r="H341" s="38">
        <v>48336.0</v>
      </c>
      <c r="I341" s="38">
        <v>1.0</v>
      </c>
      <c r="J341" s="38">
        <v>1.0</v>
      </c>
      <c r="K341" s="38">
        <v>1.0</v>
      </c>
      <c r="L341" s="38">
        <v>1.0</v>
      </c>
      <c r="M341" s="38">
        <v>1.0</v>
      </c>
    </row>
    <row r="342">
      <c r="A342" s="37" t="s">
        <v>108</v>
      </c>
      <c r="B342" s="37" t="s">
        <v>339</v>
      </c>
      <c r="C342" s="37" t="s">
        <v>51</v>
      </c>
      <c r="D342" s="38">
        <v>1.0</v>
      </c>
      <c r="E342" s="38">
        <v>1.0</v>
      </c>
      <c r="F342" s="38">
        <v>8.0</v>
      </c>
      <c r="G342" s="38">
        <v>3.0</v>
      </c>
      <c r="H342" s="38">
        <v>38325.0</v>
      </c>
      <c r="I342" s="38">
        <v>0.2363</v>
      </c>
      <c r="J342" s="38">
        <v>0.0</v>
      </c>
      <c r="K342" s="38">
        <v>0.0</v>
      </c>
      <c r="L342" s="38">
        <v>0.3265</v>
      </c>
      <c r="M342" s="38">
        <v>0.2437</v>
      </c>
    </row>
    <row r="343">
      <c r="A343" s="37" t="s">
        <v>108</v>
      </c>
      <c r="B343" s="37" t="s">
        <v>339</v>
      </c>
      <c r="C343" s="37" t="s">
        <v>51</v>
      </c>
      <c r="D343" s="38">
        <v>1.0</v>
      </c>
      <c r="E343" s="38">
        <v>2.0</v>
      </c>
      <c r="F343" s="38">
        <v>8.0</v>
      </c>
      <c r="G343" s="38">
        <v>3.0</v>
      </c>
      <c r="H343" s="38">
        <v>38325.0</v>
      </c>
      <c r="I343" s="38">
        <v>0.4017</v>
      </c>
      <c r="J343" s="38">
        <v>0.1654</v>
      </c>
      <c r="K343" s="38">
        <v>0.0</v>
      </c>
      <c r="L343" s="38">
        <v>0.9972</v>
      </c>
      <c r="M343" s="38">
        <v>0.4124</v>
      </c>
    </row>
    <row r="344">
      <c r="A344" s="37" t="s">
        <v>108</v>
      </c>
      <c r="B344" s="37" t="s">
        <v>339</v>
      </c>
      <c r="C344" s="37" t="s">
        <v>51</v>
      </c>
      <c r="D344" s="38">
        <v>1.0</v>
      </c>
      <c r="E344" s="38">
        <v>3.0</v>
      </c>
      <c r="F344" s="38">
        <v>8.0</v>
      </c>
      <c r="G344" s="38">
        <v>3.0</v>
      </c>
      <c r="H344" s="38">
        <v>38325.0</v>
      </c>
      <c r="I344" s="38">
        <v>0.5314</v>
      </c>
      <c r="J344" s="38">
        <v>0.5524</v>
      </c>
      <c r="K344" s="38">
        <v>0.0075</v>
      </c>
      <c r="L344" s="38">
        <v>1.0</v>
      </c>
      <c r="M344" s="38">
        <v>0.5429</v>
      </c>
    </row>
    <row r="345">
      <c r="A345" s="37" t="s">
        <v>108</v>
      </c>
      <c r="B345" s="37" t="s">
        <v>339</v>
      </c>
      <c r="C345" s="37" t="s">
        <v>51</v>
      </c>
      <c r="D345" s="38">
        <v>1.0</v>
      </c>
      <c r="E345" s="38">
        <v>4.0</v>
      </c>
      <c r="F345" s="38">
        <v>8.0</v>
      </c>
      <c r="G345" s="38">
        <v>3.0</v>
      </c>
      <c r="H345" s="38">
        <v>38325.0</v>
      </c>
      <c r="I345" s="38">
        <v>0.6534</v>
      </c>
      <c r="J345" s="38">
        <v>0.9472</v>
      </c>
      <c r="K345" s="38">
        <v>0.2153</v>
      </c>
      <c r="L345" s="38">
        <v>1.0</v>
      </c>
      <c r="M345" s="38">
        <v>0.6647</v>
      </c>
    </row>
    <row r="346">
      <c r="A346" s="37" t="s">
        <v>108</v>
      </c>
      <c r="B346" s="37" t="s">
        <v>339</v>
      </c>
      <c r="C346" s="37" t="s">
        <v>51</v>
      </c>
      <c r="D346" s="38">
        <v>1.0</v>
      </c>
      <c r="E346" s="38">
        <v>5.0</v>
      </c>
      <c r="F346" s="38">
        <v>8.0</v>
      </c>
      <c r="G346" s="38">
        <v>3.0</v>
      </c>
      <c r="H346" s="38">
        <v>38325.0</v>
      </c>
      <c r="I346" s="38">
        <v>0.7659</v>
      </c>
      <c r="J346" s="38">
        <v>1.0</v>
      </c>
      <c r="K346" s="38">
        <v>0.5775</v>
      </c>
      <c r="L346" s="38">
        <v>1.0</v>
      </c>
      <c r="M346" s="38">
        <v>0.7756</v>
      </c>
    </row>
    <row r="347">
      <c r="A347" s="37" t="s">
        <v>108</v>
      </c>
      <c r="B347" s="37" t="s">
        <v>339</v>
      </c>
      <c r="C347" s="37" t="s">
        <v>51</v>
      </c>
      <c r="D347" s="38">
        <v>1.0</v>
      </c>
      <c r="E347" s="38">
        <v>6.0</v>
      </c>
      <c r="F347" s="38">
        <v>8.0</v>
      </c>
      <c r="G347" s="38">
        <v>3.0</v>
      </c>
      <c r="H347" s="38">
        <v>38325.0</v>
      </c>
      <c r="I347" s="38">
        <v>0.8779</v>
      </c>
      <c r="J347" s="38">
        <v>1.0</v>
      </c>
      <c r="K347" s="38">
        <v>0.9673</v>
      </c>
      <c r="L347" s="38">
        <v>1.0</v>
      </c>
      <c r="M347" s="38">
        <v>0.8838</v>
      </c>
    </row>
    <row r="348">
      <c r="A348" s="37" t="s">
        <v>108</v>
      </c>
      <c r="B348" s="37" t="s">
        <v>339</v>
      </c>
      <c r="C348" s="37" t="s">
        <v>51</v>
      </c>
      <c r="D348" s="38">
        <v>1.0</v>
      </c>
      <c r="E348" s="38">
        <v>7.0</v>
      </c>
      <c r="F348" s="38">
        <v>8.0</v>
      </c>
      <c r="G348" s="38">
        <v>3.0</v>
      </c>
      <c r="H348" s="38">
        <v>38325.0</v>
      </c>
      <c r="I348" s="38">
        <v>0.9916</v>
      </c>
      <c r="J348" s="38">
        <v>1.0</v>
      </c>
      <c r="K348" s="38">
        <v>1.0</v>
      </c>
      <c r="L348" s="38">
        <v>1.0</v>
      </c>
      <c r="M348" s="38">
        <v>0.9924</v>
      </c>
    </row>
    <row r="349">
      <c r="A349" s="37" t="s">
        <v>108</v>
      </c>
      <c r="B349" s="37" t="s">
        <v>339</v>
      </c>
      <c r="C349" s="37" t="s">
        <v>51</v>
      </c>
      <c r="D349" s="38">
        <v>1.0</v>
      </c>
      <c r="E349" s="38">
        <v>8.0</v>
      </c>
      <c r="F349" s="38">
        <v>8.0</v>
      </c>
      <c r="G349" s="38">
        <v>3.0</v>
      </c>
      <c r="H349" s="38">
        <v>38325.0</v>
      </c>
      <c r="I349" s="38">
        <v>1.0</v>
      </c>
      <c r="J349" s="38">
        <v>1.0</v>
      </c>
      <c r="K349" s="38">
        <v>1.0</v>
      </c>
      <c r="L349" s="38">
        <v>1.0</v>
      </c>
      <c r="M349" s="38">
        <v>1.0</v>
      </c>
    </row>
    <row r="350">
      <c r="A350" s="37" t="s">
        <v>108</v>
      </c>
      <c r="B350" s="37" t="s">
        <v>137</v>
      </c>
      <c r="C350" s="37" t="s">
        <v>52</v>
      </c>
      <c r="D350" s="38">
        <v>2.0</v>
      </c>
      <c r="E350" s="38">
        <v>1.0</v>
      </c>
      <c r="F350" s="38">
        <v>8.0</v>
      </c>
      <c r="G350" s="38">
        <v>3.0</v>
      </c>
      <c r="H350" s="38">
        <v>47867.0</v>
      </c>
      <c r="I350" s="38">
        <v>0.2457</v>
      </c>
      <c r="J350" s="38">
        <v>0.0079</v>
      </c>
      <c r="K350" s="38">
        <v>0.0</v>
      </c>
      <c r="L350" s="38">
        <v>0.3383</v>
      </c>
      <c r="M350" s="38">
        <v>0.2612</v>
      </c>
    </row>
    <row r="351">
      <c r="A351" s="37" t="s">
        <v>108</v>
      </c>
      <c r="B351" s="37" t="s">
        <v>137</v>
      </c>
      <c r="C351" s="37" t="s">
        <v>52</v>
      </c>
      <c r="D351" s="38">
        <v>2.0</v>
      </c>
      <c r="E351" s="38">
        <v>2.0</v>
      </c>
      <c r="F351" s="38">
        <v>8.0</v>
      </c>
      <c r="G351" s="38">
        <v>3.0</v>
      </c>
      <c r="H351" s="38">
        <v>47867.0</v>
      </c>
      <c r="I351" s="38">
        <v>0.4006</v>
      </c>
      <c r="J351" s="38">
        <v>0.2031</v>
      </c>
      <c r="K351" s="38">
        <v>0.0</v>
      </c>
      <c r="L351" s="38">
        <v>0.9811</v>
      </c>
      <c r="M351" s="38">
        <v>0.4204</v>
      </c>
    </row>
    <row r="352">
      <c r="A352" s="37" t="s">
        <v>108</v>
      </c>
      <c r="B352" s="37" t="s">
        <v>137</v>
      </c>
      <c r="C352" s="37" t="s">
        <v>52</v>
      </c>
      <c r="D352" s="38">
        <v>2.0</v>
      </c>
      <c r="E352" s="38">
        <v>3.0</v>
      </c>
      <c r="F352" s="38">
        <v>8.0</v>
      </c>
      <c r="G352" s="38">
        <v>3.0</v>
      </c>
      <c r="H352" s="38">
        <v>47867.0</v>
      </c>
      <c r="I352" s="38">
        <v>0.5314</v>
      </c>
      <c r="J352" s="38">
        <v>0.5148</v>
      </c>
      <c r="K352" s="38">
        <v>0.0451</v>
      </c>
      <c r="L352" s="38">
        <v>1.0</v>
      </c>
      <c r="M352" s="38">
        <v>0.5509</v>
      </c>
    </row>
    <row r="353">
      <c r="A353" s="37" t="s">
        <v>108</v>
      </c>
      <c r="B353" s="37" t="s">
        <v>137</v>
      </c>
      <c r="C353" s="37" t="s">
        <v>52</v>
      </c>
      <c r="D353" s="38">
        <v>2.0</v>
      </c>
      <c r="E353" s="38">
        <v>4.0</v>
      </c>
      <c r="F353" s="38">
        <v>8.0</v>
      </c>
      <c r="G353" s="38">
        <v>3.0</v>
      </c>
      <c r="H353" s="38">
        <v>47867.0</v>
      </c>
      <c r="I353" s="38">
        <v>0.6574</v>
      </c>
      <c r="J353" s="38">
        <v>0.8817</v>
      </c>
      <c r="K353" s="38">
        <v>0.2997</v>
      </c>
      <c r="L353" s="38">
        <v>1.0</v>
      </c>
      <c r="M353" s="38">
        <v>0.6749</v>
      </c>
    </row>
    <row r="354">
      <c r="A354" s="37" t="s">
        <v>108</v>
      </c>
      <c r="B354" s="37" t="s">
        <v>137</v>
      </c>
      <c r="C354" s="37" t="s">
        <v>52</v>
      </c>
      <c r="D354" s="38">
        <v>2.0</v>
      </c>
      <c r="E354" s="38">
        <v>5.0</v>
      </c>
      <c r="F354" s="38">
        <v>8.0</v>
      </c>
      <c r="G354" s="38">
        <v>3.0</v>
      </c>
      <c r="H354" s="38">
        <v>47867.0</v>
      </c>
      <c r="I354" s="38">
        <v>0.7676</v>
      </c>
      <c r="J354" s="38">
        <v>0.9991</v>
      </c>
      <c r="K354" s="38">
        <v>0.6004</v>
      </c>
      <c r="L354" s="38">
        <v>1.0</v>
      </c>
      <c r="M354" s="38">
        <v>0.7815</v>
      </c>
    </row>
    <row r="355">
      <c r="A355" s="37" t="s">
        <v>108</v>
      </c>
      <c r="B355" s="37" t="s">
        <v>137</v>
      </c>
      <c r="C355" s="37" t="s">
        <v>52</v>
      </c>
      <c r="D355" s="38">
        <v>2.0</v>
      </c>
      <c r="E355" s="38">
        <v>6.0</v>
      </c>
      <c r="F355" s="38">
        <v>8.0</v>
      </c>
      <c r="G355" s="38">
        <v>3.0</v>
      </c>
      <c r="H355" s="38">
        <v>47867.0</v>
      </c>
      <c r="I355" s="38">
        <v>0.8812</v>
      </c>
      <c r="J355" s="38">
        <v>1.0</v>
      </c>
      <c r="K355" s="38">
        <v>0.9131</v>
      </c>
      <c r="L355" s="38">
        <v>1.0</v>
      </c>
      <c r="M355" s="38">
        <v>0.8894</v>
      </c>
    </row>
    <row r="356">
      <c r="A356" s="37" t="s">
        <v>108</v>
      </c>
      <c r="B356" s="37" t="s">
        <v>137</v>
      </c>
      <c r="C356" s="37" t="s">
        <v>52</v>
      </c>
      <c r="D356" s="38">
        <v>2.0</v>
      </c>
      <c r="E356" s="38">
        <v>7.0</v>
      </c>
      <c r="F356" s="38">
        <v>8.0</v>
      </c>
      <c r="G356" s="38">
        <v>3.0</v>
      </c>
      <c r="H356" s="38">
        <v>47867.0</v>
      </c>
      <c r="I356" s="38">
        <v>0.9924</v>
      </c>
      <c r="J356" s="38">
        <v>1.0</v>
      </c>
      <c r="K356" s="38">
        <v>1.0</v>
      </c>
      <c r="L356" s="38">
        <v>1.0</v>
      </c>
      <c r="M356" s="38">
        <v>0.9934</v>
      </c>
    </row>
    <row r="357">
      <c r="A357" s="37" t="s">
        <v>108</v>
      </c>
      <c r="B357" s="37" t="s">
        <v>137</v>
      </c>
      <c r="C357" s="37" t="s">
        <v>52</v>
      </c>
      <c r="D357" s="38">
        <v>2.0</v>
      </c>
      <c r="E357" s="38">
        <v>8.0</v>
      </c>
      <c r="F357" s="38">
        <v>8.0</v>
      </c>
      <c r="G357" s="38">
        <v>3.0</v>
      </c>
      <c r="H357" s="38">
        <v>47867.0</v>
      </c>
      <c r="I357" s="38">
        <v>1.0</v>
      </c>
      <c r="J357" s="38">
        <v>1.0</v>
      </c>
      <c r="K357" s="38">
        <v>1.0</v>
      </c>
      <c r="L357" s="38">
        <v>1.0</v>
      </c>
      <c r="M357" s="38">
        <v>1.0</v>
      </c>
    </row>
    <row r="358">
      <c r="A358" s="37" t="s">
        <v>108</v>
      </c>
      <c r="B358" s="37" t="s">
        <v>339</v>
      </c>
      <c r="C358" s="37" t="s">
        <v>52</v>
      </c>
      <c r="D358" s="38">
        <v>2.0</v>
      </c>
      <c r="E358" s="38">
        <v>1.0</v>
      </c>
      <c r="F358" s="38">
        <v>8.0</v>
      </c>
      <c r="G358" s="38">
        <v>2.0</v>
      </c>
      <c r="H358" s="38">
        <v>29377.0</v>
      </c>
      <c r="I358" s="38">
        <v>0.221</v>
      </c>
      <c r="J358" s="38">
        <v>0.0013</v>
      </c>
      <c r="K358" s="38">
        <v>0.0</v>
      </c>
      <c r="L358" s="38">
        <v>0.2608</v>
      </c>
      <c r="M358" s="38">
        <v>0.2339</v>
      </c>
    </row>
    <row r="359">
      <c r="A359" s="37" t="s">
        <v>108</v>
      </c>
      <c r="B359" s="37" t="s">
        <v>339</v>
      </c>
      <c r="C359" s="37" t="s">
        <v>52</v>
      </c>
      <c r="D359" s="38">
        <v>2.0</v>
      </c>
      <c r="E359" s="38">
        <v>2.0</v>
      </c>
      <c r="F359" s="38">
        <v>8.0</v>
      </c>
      <c r="G359" s="38">
        <v>2.0</v>
      </c>
      <c r="H359" s="38">
        <v>29377.0</v>
      </c>
      <c r="I359" s="38">
        <v>0.3776</v>
      </c>
      <c r="J359" s="38">
        <v>0.1746</v>
      </c>
      <c r="K359" s="38">
        <v>0.0</v>
      </c>
      <c r="L359" s="38">
        <v>0.9244</v>
      </c>
      <c r="M359" s="38">
        <v>0.3949</v>
      </c>
    </row>
    <row r="360">
      <c r="A360" s="37" t="s">
        <v>108</v>
      </c>
      <c r="B360" s="37" t="s">
        <v>339</v>
      </c>
      <c r="C360" s="37" t="s">
        <v>52</v>
      </c>
      <c r="D360" s="38">
        <v>2.0</v>
      </c>
      <c r="E360" s="38">
        <v>3.0</v>
      </c>
      <c r="F360" s="38">
        <v>8.0</v>
      </c>
      <c r="G360" s="38">
        <v>2.0</v>
      </c>
      <c r="H360" s="38">
        <v>29377.0</v>
      </c>
      <c r="I360" s="38">
        <v>0.5135</v>
      </c>
      <c r="J360" s="38">
        <v>0.4799</v>
      </c>
      <c r="K360" s="38">
        <v>0.0251</v>
      </c>
      <c r="L360" s="38">
        <v>1.0</v>
      </c>
      <c r="M360" s="38">
        <v>0.5303</v>
      </c>
    </row>
    <row r="361">
      <c r="A361" s="37" t="s">
        <v>108</v>
      </c>
      <c r="B361" s="37" t="s">
        <v>339</v>
      </c>
      <c r="C361" s="37" t="s">
        <v>52</v>
      </c>
      <c r="D361" s="38">
        <v>2.0</v>
      </c>
      <c r="E361" s="38">
        <v>4.0</v>
      </c>
      <c r="F361" s="38">
        <v>8.0</v>
      </c>
      <c r="G361" s="38">
        <v>2.0</v>
      </c>
      <c r="H361" s="38">
        <v>29377.0</v>
      </c>
      <c r="I361" s="38">
        <v>0.6422</v>
      </c>
      <c r="J361" s="38">
        <v>0.8396</v>
      </c>
      <c r="K361" s="38">
        <v>0.2602</v>
      </c>
      <c r="L361" s="38">
        <v>1.0</v>
      </c>
      <c r="M361" s="38">
        <v>0.6575</v>
      </c>
    </row>
    <row r="362">
      <c r="A362" s="37" t="s">
        <v>108</v>
      </c>
      <c r="B362" s="37" t="s">
        <v>339</v>
      </c>
      <c r="C362" s="37" t="s">
        <v>52</v>
      </c>
      <c r="D362" s="38">
        <v>2.0</v>
      </c>
      <c r="E362" s="38">
        <v>5.0</v>
      </c>
      <c r="F362" s="38">
        <v>8.0</v>
      </c>
      <c r="G362" s="38">
        <v>2.0</v>
      </c>
      <c r="H362" s="38">
        <v>29377.0</v>
      </c>
      <c r="I362" s="38">
        <v>0.7596</v>
      </c>
      <c r="J362" s="38">
        <v>0.9964</v>
      </c>
      <c r="K362" s="38">
        <v>0.5787</v>
      </c>
      <c r="L362" s="38">
        <v>1.0</v>
      </c>
      <c r="M362" s="38">
        <v>0.772</v>
      </c>
    </row>
    <row r="363">
      <c r="A363" s="37" t="s">
        <v>108</v>
      </c>
      <c r="B363" s="37" t="s">
        <v>339</v>
      </c>
      <c r="C363" s="37" t="s">
        <v>52</v>
      </c>
      <c r="D363" s="38">
        <v>2.0</v>
      </c>
      <c r="E363" s="38">
        <v>6.0</v>
      </c>
      <c r="F363" s="38">
        <v>8.0</v>
      </c>
      <c r="G363" s="38">
        <v>2.0</v>
      </c>
      <c r="H363" s="38">
        <v>29377.0</v>
      </c>
      <c r="I363" s="38">
        <v>0.8772</v>
      </c>
      <c r="J363" s="38">
        <v>1.0</v>
      </c>
      <c r="K363" s="38">
        <v>0.9213</v>
      </c>
      <c r="L363" s="38">
        <v>1.0</v>
      </c>
      <c r="M363" s="38">
        <v>0.8842</v>
      </c>
    </row>
    <row r="364">
      <c r="A364" s="37" t="s">
        <v>108</v>
      </c>
      <c r="B364" s="37" t="s">
        <v>339</v>
      </c>
      <c r="C364" s="37" t="s">
        <v>52</v>
      </c>
      <c r="D364" s="38">
        <v>2.0</v>
      </c>
      <c r="E364" s="38">
        <v>7.0</v>
      </c>
      <c r="F364" s="38">
        <v>8.0</v>
      </c>
      <c r="G364" s="38">
        <v>2.0</v>
      </c>
      <c r="H364" s="38">
        <v>29377.0</v>
      </c>
      <c r="I364" s="38">
        <v>0.9923</v>
      </c>
      <c r="J364" s="38">
        <v>1.0</v>
      </c>
      <c r="K364" s="38">
        <v>1.0</v>
      </c>
      <c r="L364" s="38">
        <v>1.0</v>
      </c>
      <c r="M364" s="38">
        <v>0.9931</v>
      </c>
    </row>
    <row r="365">
      <c r="A365" s="37" t="s">
        <v>108</v>
      </c>
      <c r="B365" s="37" t="s">
        <v>339</v>
      </c>
      <c r="C365" s="37" t="s">
        <v>52</v>
      </c>
      <c r="D365" s="38">
        <v>2.0</v>
      </c>
      <c r="E365" s="38">
        <v>8.0</v>
      </c>
      <c r="F365" s="38">
        <v>8.0</v>
      </c>
      <c r="G365" s="38">
        <v>2.0</v>
      </c>
      <c r="H365" s="38">
        <v>29377.0</v>
      </c>
      <c r="I365" s="38">
        <v>1.0</v>
      </c>
      <c r="J365" s="38">
        <v>1.0</v>
      </c>
      <c r="K365" s="38">
        <v>1.0</v>
      </c>
      <c r="L365" s="38">
        <v>1.0</v>
      </c>
      <c r="M365" s="38">
        <v>1.0</v>
      </c>
    </row>
    <row r="366">
      <c r="A366" s="37" t="s">
        <v>108</v>
      </c>
      <c r="B366" s="37" t="s">
        <v>137</v>
      </c>
      <c r="C366" s="37" t="s">
        <v>53</v>
      </c>
      <c r="D366" s="38">
        <v>3.0</v>
      </c>
      <c r="E366" s="38">
        <v>1.0</v>
      </c>
      <c r="F366" s="38">
        <v>8.0</v>
      </c>
      <c r="G366" s="38">
        <v>3.0</v>
      </c>
      <c r="H366" s="38">
        <v>34213.0</v>
      </c>
      <c r="I366" s="38">
        <v>0.2242</v>
      </c>
      <c r="J366" s="38">
        <v>0.014</v>
      </c>
      <c r="K366" s="38">
        <v>0.0</v>
      </c>
      <c r="L366" s="38">
        <v>0.2691</v>
      </c>
      <c r="M366" s="38">
        <v>0.2409</v>
      </c>
    </row>
    <row r="367">
      <c r="A367" s="37" t="s">
        <v>108</v>
      </c>
      <c r="B367" s="37" t="s">
        <v>137</v>
      </c>
      <c r="C367" s="37" t="s">
        <v>53</v>
      </c>
      <c r="D367" s="38">
        <v>3.0</v>
      </c>
      <c r="E367" s="38">
        <v>2.0</v>
      </c>
      <c r="F367" s="38">
        <v>8.0</v>
      </c>
      <c r="G367" s="38">
        <v>3.0</v>
      </c>
      <c r="H367" s="38">
        <v>34213.0</v>
      </c>
      <c r="I367" s="38">
        <v>0.3681</v>
      </c>
      <c r="J367" s="38">
        <v>0.1977</v>
      </c>
      <c r="K367" s="38">
        <v>0.0</v>
      </c>
      <c r="L367" s="38">
        <v>0.8249</v>
      </c>
      <c r="M367" s="38">
        <v>0.3887</v>
      </c>
    </row>
    <row r="368">
      <c r="A368" s="37" t="s">
        <v>108</v>
      </c>
      <c r="B368" s="37" t="s">
        <v>137</v>
      </c>
      <c r="C368" s="37" t="s">
        <v>53</v>
      </c>
      <c r="D368" s="38">
        <v>3.0</v>
      </c>
      <c r="E368" s="38">
        <v>3.0</v>
      </c>
      <c r="F368" s="38">
        <v>8.0</v>
      </c>
      <c r="G368" s="38">
        <v>3.0</v>
      </c>
      <c r="H368" s="38">
        <v>34213.0</v>
      </c>
      <c r="I368" s="38">
        <v>0.4951</v>
      </c>
      <c r="J368" s="38">
        <v>0.433</v>
      </c>
      <c r="K368" s="38">
        <v>0.0389</v>
      </c>
      <c r="L368" s="38">
        <v>0.9999</v>
      </c>
      <c r="M368" s="38">
        <v>0.5163</v>
      </c>
    </row>
    <row r="369">
      <c r="A369" s="37" t="s">
        <v>108</v>
      </c>
      <c r="B369" s="37" t="s">
        <v>137</v>
      </c>
      <c r="C369" s="37" t="s">
        <v>53</v>
      </c>
      <c r="D369" s="38">
        <v>3.0</v>
      </c>
      <c r="E369" s="38">
        <v>4.0</v>
      </c>
      <c r="F369" s="38">
        <v>8.0</v>
      </c>
      <c r="G369" s="38">
        <v>3.0</v>
      </c>
      <c r="H369" s="38">
        <v>34213.0</v>
      </c>
      <c r="I369" s="38">
        <v>0.6255</v>
      </c>
      <c r="J369" s="38">
        <v>0.726</v>
      </c>
      <c r="K369" s="38">
        <v>0.2939</v>
      </c>
      <c r="L369" s="38">
        <v>1.0</v>
      </c>
      <c r="M369" s="38">
        <v>0.6452</v>
      </c>
    </row>
    <row r="370">
      <c r="A370" s="37" t="s">
        <v>108</v>
      </c>
      <c r="B370" s="37" t="s">
        <v>137</v>
      </c>
      <c r="C370" s="37" t="s">
        <v>53</v>
      </c>
      <c r="D370" s="38">
        <v>3.0</v>
      </c>
      <c r="E370" s="38">
        <v>5.0</v>
      </c>
      <c r="F370" s="38">
        <v>8.0</v>
      </c>
      <c r="G370" s="38">
        <v>3.0</v>
      </c>
      <c r="H370" s="38">
        <v>34213.0</v>
      </c>
      <c r="I370" s="38">
        <v>0.7439</v>
      </c>
      <c r="J370" s="38">
        <v>0.9663</v>
      </c>
      <c r="K370" s="38">
        <v>0.5613</v>
      </c>
      <c r="L370" s="38">
        <v>1.0</v>
      </c>
      <c r="M370" s="38">
        <v>0.7601</v>
      </c>
    </row>
    <row r="371">
      <c r="A371" s="37" t="s">
        <v>108</v>
      </c>
      <c r="B371" s="37" t="s">
        <v>137</v>
      </c>
      <c r="C371" s="37" t="s">
        <v>53</v>
      </c>
      <c r="D371" s="38">
        <v>3.0</v>
      </c>
      <c r="E371" s="38">
        <v>6.0</v>
      </c>
      <c r="F371" s="38">
        <v>8.0</v>
      </c>
      <c r="G371" s="38">
        <v>3.0</v>
      </c>
      <c r="H371" s="38">
        <v>34213.0</v>
      </c>
      <c r="I371" s="38">
        <v>0.8704</v>
      </c>
      <c r="J371" s="38">
        <v>1.0</v>
      </c>
      <c r="K371" s="38">
        <v>0.8551</v>
      </c>
      <c r="L371" s="38">
        <v>1.0</v>
      </c>
      <c r="M371" s="38">
        <v>0.8795</v>
      </c>
    </row>
    <row r="372">
      <c r="A372" s="37" t="s">
        <v>108</v>
      </c>
      <c r="B372" s="37" t="s">
        <v>137</v>
      </c>
      <c r="C372" s="37" t="s">
        <v>53</v>
      </c>
      <c r="D372" s="38">
        <v>3.0</v>
      </c>
      <c r="E372" s="38">
        <v>7.0</v>
      </c>
      <c r="F372" s="38">
        <v>8.0</v>
      </c>
      <c r="G372" s="38">
        <v>3.0</v>
      </c>
      <c r="H372" s="38">
        <v>34213.0</v>
      </c>
      <c r="I372" s="38">
        <v>0.9925</v>
      </c>
      <c r="J372" s="38">
        <v>1.0</v>
      </c>
      <c r="K372" s="38">
        <v>1.0</v>
      </c>
      <c r="L372" s="38">
        <v>1.0</v>
      </c>
      <c r="M372" s="38">
        <v>0.9934</v>
      </c>
    </row>
    <row r="373">
      <c r="A373" s="37" t="s">
        <v>108</v>
      </c>
      <c r="B373" s="37" t="s">
        <v>137</v>
      </c>
      <c r="C373" s="37" t="s">
        <v>53</v>
      </c>
      <c r="D373" s="38">
        <v>3.0</v>
      </c>
      <c r="E373" s="38">
        <v>8.0</v>
      </c>
      <c r="F373" s="38">
        <v>8.0</v>
      </c>
      <c r="G373" s="38">
        <v>3.0</v>
      </c>
      <c r="H373" s="38">
        <v>34213.0</v>
      </c>
      <c r="I373" s="38">
        <v>1.0</v>
      </c>
      <c r="J373" s="38">
        <v>1.0</v>
      </c>
      <c r="K373" s="38">
        <v>1.0</v>
      </c>
      <c r="L373" s="38">
        <v>1.0</v>
      </c>
      <c r="M373" s="38">
        <v>1.0</v>
      </c>
    </row>
    <row r="374">
      <c r="A374" s="37" t="s">
        <v>108</v>
      </c>
      <c r="B374" s="37" t="s">
        <v>339</v>
      </c>
      <c r="C374" s="37" t="s">
        <v>53</v>
      </c>
      <c r="D374" s="38">
        <v>3.0</v>
      </c>
      <c r="E374" s="38">
        <v>1.0</v>
      </c>
      <c r="F374" s="38">
        <v>8.0</v>
      </c>
      <c r="G374" s="38">
        <v>3.0</v>
      </c>
      <c r="H374" s="38">
        <v>20427.0</v>
      </c>
      <c r="I374" s="38">
        <v>0.1987</v>
      </c>
      <c r="J374" s="38">
        <v>0.0018</v>
      </c>
      <c r="K374" s="38">
        <v>0.0</v>
      </c>
      <c r="L374" s="38">
        <v>0.2195</v>
      </c>
      <c r="M374" s="38">
        <v>0.2123</v>
      </c>
    </row>
    <row r="375">
      <c r="A375" s="37" t="s">
        <v>108</v>
      </c>
      <c r="B375" s="37" t="s">
        <v>339</v>
      </c>
      <c r="C375" s="37" t="s">
        <v>53</v>
      </c>
      <c r="D375" s="38">
        <v>3.0</v>
      </c>
      <c r="E375" s="38">
        <v>2.0</v>
      </c>
      <c r="F375" s="38">
        <v>8.0</v>
      </c>
      <c r="G375" s="38">
        <v>3.0</v>
      </c>
      <c r="H375" s="38">
        <v>20427.0</v>
      </c>
      <c r="I375" s="38">
        <v>0.3473</v>
      </c>
      <c r="J375" s="38">
        <v>0.1634</v>
      </c>
      <c r="K375" s="38">
        <v>0.0</v>
      </c>
      <c r="L375" s="38">
        <v>0.7174</v>
      </c>
      <c r="M375" s="38">
        <v>0.3648</v>
      </c>
    </row>
    <row r="376">
      <c r="A376" s="37" t="s">
        <v>108</v>
      </c>
      <c r="B376" s="37" t="s">
        <v>339</v>
      </c>
      <c r="C376" s="37" t="s">
        <v>53</v>
      </c>
      <c r="D376" s="38">
        <v>3.0</v>
      </c>
      <c r="E376" s="38">
        <v>3.0</v>
      </c>
      <c r="F376" s="38">
        <v>8.0</v>
      </c>
      <c r="G376" s="38">
        <v>3.0</v>
      </c>
      <c r="H376" s="38">
        <v>20427.0</v>
      </c>
      <c r="I376" s="38">
        <v>0.4807</v>
      </c>
      <c r="J376" s="38">
        <v>0.4196</v>
      </c>
      <c r="K376" s="38">
        <v>0.0095</v>
      </c>
      <c r="L376" s="38">
        <v>0.9975</v>
      </c>
      <c r="M376" s="38">
        <v>0.4984</v>
      </c>
    </row>
    <row r="377">
      <c r="A377" s="37" t="s">
        <v>108</v>
      </c>
      <c r="B377" s="37" t="s">
        <v>339</v>
      </c>
      <c r="C377" s="37" t="s">
        <v>53</v>
      </c>
      <c r="D377" s="38">
        <v>3.0</v>
      </c>
      <c r="E377" s="38">
        <v>4.0</v>
      </c>
      <c r="F377" s="38">
        <v>8.0</v>
      </c>
      <c r="G377" s="38">
        <v>3.0</v>
      </c>
      <c r="H377" s="38">
        <v>20427.0</v>
      </c>
      <c r="I377" s="38">
        <v>0.6152</v>
      </c>
      <c r="J377" s="38">
        <v>0.7182</v>
      </c>
      <c r="K377" s="38">
        <v>0.2381</v>
      </c>
      <c r="L377" s="38">
        <v>1.0</v>
      </c>
      <c r="M377" s="38">
        <v>0.6317</v>
      </c>
    </row>
    <row r="378">
      <c r="A378" s="37" t="s">
        <v>108</v>
      </c>
      <c r="B378" s="37" t="s">
        <v>339</v>
      </c>
      <c r="C378" s="37" t="s">
        <v>53</v>
      </c>
      <c r="D378" s="38">
        <v>3.0</v>
      </c>
      <c r="E378" s="38">
        <v>5.0</v>
      </c>
      <c r="F378" s="38">
        <v>8.0</v>
      </c>
      <c r="G378" s="38">
        <v>3.0</v>
      </c>
      <c r="H378" s="38">
        <v>20427.0</v>
      </c>
      <c r="I378" s="38">
        <v>0.736</v>
      </c>
      <c r="J378" s="38">
        <v>0.9651</v>
      </c>
      <c r="K378" s="38">
        <v>0.5414</v>
      </c>
      <c r="L378" s="38">
        <v>1.0</v>
      </c>
      <c r="M378" s="38">
        <v>0.7495</v>
      </c>
    </row>
    <row r="379">
      <c r="A379" s="37" t="s">
        <v>108</v>
      </c>
      <c r="B379" s="37" t="s">
        <v>339</v>
      </c>
      <c r="C379" s="37" t="s">
        <v>53</v>
      </c>
      <c r="D379" s="38">
        <v>3.0</v>
      </c>
      <c r="E379" s="38">
        <v>6.0</v>
      </c>
      <c r="F379" s="38">
        <v>8.0</v>
      </c>
      <c r="G379" s="38">
        <v>3.0</v>
      </c>
      <c r="H379" s="38">
        <v>20427.0</v>
      </c>
      <c r="I379" s="38">
        <v>0.8654</v>
      </c>
      <c r="J379" s="38">
        <v>1.0</v>
      </c>
      <c r="K379" s="38">
        <v>0.8637</v>
      </c>
      <c r="L379" s="38">
        <v>1.0</v>
      </c>
      <c r="M379" s="38">
        <v>0.8732</v>
      </c>
    </row>
    <row r="380">
      <c r="A380" s="37" t="s">
        <v>108</v>
      </c>
      <c r="B380" s="37" t="s">
        <v>339</v>
      </c>
      <c r="C380" s="37" t="s">
        <v>53</v>
      </c>
      <c r="D380" s="38">
        <v>3.0</v>
      </c>
      <c r="E380" s="38">
        <v>7.0</v>
      </c>
      <c r="F380" s="38">
        <v>8.0</v>
      </c>
      <c r="G380" s="38">
        <v>3.0</v>
      </c>
      <c r="H380" s="38">
        <v>20427.0</v>
      </c>
      <c r="I380" s="38">
        <v>0.992</v>
      </c>
      <c r="J380" s="38">
        <v>1.0</v>
      </c>
      <c r="K380" s="38">
        <v>1.0</v>
      </c>
      <c r="L380" s="38">
        <v>1.0</v>
      </c>
      <c r="M380" s="38">
        <v>0.9929</v>
      </c>
    </row>
    <row r="381">
      <c r="A381" s="37" t="s">
        <v>108</v>
      </c>
      <c r="B381" s="37" t="s">
        <v>339</v>
      </c>
      <c r="C381" s="37" t="s">
        <v>53</v>
      </c>
      <c r="D381" s="38">
        <v>3.0</v>
      </c>
      <c r="E381" s="38">
        <v>8.0</v>
      </c>
      <c r="F381" s="38">
        <v>8.0</v>
      </c>
      <c r="G381" s="38">
        <v>3.0</v>
      </c>
      <c r="H381" s="38">
        <v>20427.0</v>
      </c>
      <c r="I381" s="38">
        <v>1.0</v>
      </c>
      <c r="J381" s="38">
        <v>1.0</v>
      </c>
      <c r="K381" s="38">
        <v>1.0</v>
      </c>
      <c r="L381" s="38">
        <v>1.0</v>
      </c>
      <c r="M381" s="38">
        <v>1.0</v>
      </c>
    </row>
    <row r="382">
      <c r="A382" s="37" t="s">
        <v>108</v>
      </c>
      <c r="B382" s="37" t="s">
        <v>137</v>
      </c>
      <c r="C382" s="37" t="s">
        <v>54</v>
      </c>
      <c r="D382" s="38">
        <v>4.0</v>
      </c>
      <c r="E382" s="38">
        <v>1.0</v>
      </c>
      <c r="F382" s="38">
        <v>8.0</v>
      </c>
      <c r="G382" s="38">
        <v>3.0</v>
      </c>
      <c r="H382" s="38">
        <v>14863.0</v>
      </c>
      <c r="I382" s="38">
        <v>0.2079</v>
      </c>
      <c r="J382" s="38">
        <v>0.0358</v>
      </c>
      <c r="K382" s="38">
        <v>0.0</v>
      </c>
      <c r="L382" s="38">
        <v>0.2343</v>
      </c>
      <c r="M382" s="38">
        <v>0.2261</v>
      </c>
    </row>
    <row r="383">
      <c r="A383" s="37" t="s">
        <v>108</v>
      </c>
      <c r="B383" s="37" t="s">
        <v>137</v>
      </c>
      <c r="C383" s="37" t="s">
        <v>54</v>
      </c>
      <c r="D383" s="38">
        <v>4.0</v>
      </c>
      <c r="E383" s="38">
        <v>2.0</v>
      </c>
      <c r="F383" s="38">
        <v>8.0</v>
      </c>
      <c r="G383" s="38">
        <v>3.0</v>
      </c>
      <c r="H383" s="38">
        <v>14863.0</v>
      </c>
      <c r="I383" s="38">
        <v>0.339</v>
      </c>
      <c r="J383" s="38">
        <v>0.2032</v>
      </c>
      <c r="K383" s="38">
        <v>0.0</v>
      </c>
      <c r="L383" s="38">
        <v>0.5877</v>
      </c>
      <c r="M383" s="38">
        <v>0.3616</v>
      </c>
    </row>
    <row r="384">
      <c r="A384" s="37" t="s">
        <v>108</v>
      </c>
      <c r="B384" s="37" t="s">
        <v>137</v>
      </c>
      <c r="C384" s="37" t="s">
        <v>54</v>
      </c>
      <c r="D384" s="38">
        <v>4.0</v>
      </c>
      <c r="E384" s="38">
        <v>3.0</v>
      </c>
      <c r="F384" s="38">
        <v>8.0</v>
      </c>
      <c r="G384" s="38">
        <v>3.0</v>
      </c>
      <c r="H384" s="38">
        <v>14863.0</v>
      </c>
      <c r="I384" s="38">
        <v>0.4686</v>
      </c>
      <c r="J384" s="38">
        <v>0.4024</v>
      </c>
      <c r="K384" s="38">
        <v>0.0481</v>
      </c>
      <c r="L384" s="38">
        <v>0.9636</v>
      </c>
      <c r="M384" s="38">
        <v>0.4916</v>
      </c>
    </row>
    <row r="385">
      <c r="A385" s="37" t="s">
        <v>108</v>
      </c>
      <c r="B385" s="37" t="s">
        <v>137</v>
      </c>
      <c r="C385" s="37" t="s">
        <v>54</v>
      </c>
      <c r="D385" s="38">
        <v>4.0</v>
      </c>
      <c r="E385" s="38">
        <v>4.0</v>
      </c>
      <c r="F385" s="38">
        <v>8.0</v>
      </c>
      <c r="G385" s="38">
        <v>3.0</v>
      </c>
      <c r="H385" s="38">
        <v>14863.0</v>
      </c>
      <c r="I385" s="38">
        <v>0.5986</v>
      </c>
      <c r="J385" s="38">
        <v>0.6254</v>
      </c>
      <c r="K385" s="38">
        <v>0.3079</v>
      </c>
      <c r="L385" s="38">
        <v>1.0</v>
      </c>
      <c r="M385" s="38">
        <v>0.6198</v>
      </c>
    </row>
    <row r="386">
      <c r="A386" s="37" t="s">
        <v>108</v>
      </c>
      <c r="B386" s="37" t="s">
        <v>137</v>
      </c>
      <c r="C386" s="37" t="s">
        <v>54</v>
      </c>
      <c r="D386" s="38">
        <v>4.0</v>
      </c>
      <c r="E386" s="38">
        <v>5.0</v>
      </c>
      <c r="F386" s="38">
        <v>8.0</v>
      </c>
      <c r="G386" s="38">
        <v>3.0</v>
      </c>
      <c r="H386" s="38">
        <v>14863.0</v>
      </c>
      <c r="I386" s="38">
        <v>0.727</v>
      </c>
      <c r="J386" s="38">
        <v>0.8568</v>
      </c>
      <c r="K386" s="38">
        <v>0.5644</v>
      </c>
      <c r="L386" s="38">
        <v>1.0</v>
      </c>
      <c r="M386" s="38">
        <v>0.7435</v>
      </c>
    </row>
    <row r="387">
      <c r="A387" s="37" t="s">
        <v>108</v>
      </c>
      <c r="B387" s="37" t="s">
        <v>137</v>
      </c>
      <c r="C387" s="37" t="s">
        <v>54</v>
      </c>
      <c r="D387" s="38">
        <v>4.0</v>
      </c>
      <c r="E387" s="38">
        <v>6.0</v>
      </c>
      <c r="F387" s="38">
        <v>8.0</v>
      </c>
      <c r="G387" s="38">
        <v>3.0</v>
      </c>
      <c r="H387" s="38">
        <v>14863.0</v>
      </c>
      <c r="I387" s="38">
        <v>0.862</v>
      </c>
      <c r="J387" s="38">
        <v>0.9996</v>
      </c>
      <c r="K387" s="38">
        <v>0.8256</v>
      </c>
      <c r="L387" s="38">
        <v>1.0</v>
      </c>
      <c r="M387" s="38">
        <v>0.8708</v>
      </c>
    </row>
    <row r="388">
      <c r="A388" s="37" t="s">
        <v>108</v>
      </c>
      <c r="B388" s="37" t="s">
        <v>137</v>
      </c>
      <c r="C388" s="37" t="s">
        <v>54</v>
      </c>
      <c r="D388" s="38">
        <v>4.0</v>
      </c>
      <c r="E388" s="38">
        <v>7.0</v>
      </c>
      <c r="F388" s="38">
        <v>8.0</v>
      </c>
      <c r="G388" s="38">
        <v>3.0</v>
      </c>
      <c r="H388" s="38">
        <v>14863.0</v>
      </c>
      <c r="I388" s="38">
        <v>0.9934</v>
      </c>
      <c r="J388" s="38">
        <v>1.0</v>
      </c>
      <c r="K388" s="38">
        <v>1.0</v>
      </c>
      <c r="L388" s="38">
        <v>1.0</v>
      </c>
      <c r="M388" s="38">
        <v>0.9942</v>
      </c>
    </row>
    <row r="389">
      <c r="A389" s="37" t="s">
        <v>108</v>
      </c>
      <c r="B389" s="37" t="s">
        <v>137</v>
      </c>
      <c r="C389" s="37" t="s">
        <v>54</v>
      </c>
      <c r="D389" s="38">
        <v>4.0</v>
      </c>
      <c r="E389" s="38">
        <v>8.0</v>
      </c>
      <c r="F389" s="38">
        <v>8.0</v>
      </c>
      <c r="G389" s="38">
        <v>3.0</v>
      </c>
      <c r="H389" s="38">
        <v>14863.0</v>
      </c>
      <c r="I389" s="38">
        <v>1.0</v>
      </c>
      <c r="J389" s="38">
        <v>1.0</v>
      </c>
      <c r="K389" s="38">
        <v>1.0</v>
      </c>
      <c r="L389" s="38">
        <v>1.0</v>
      </c>
      <c r="M389" s="38">
        <v>1.0</v>
      </c>
    </row>
    <row r="390">
      <c r="A390" s="37" t="s">
        <v>108</v>
      </c>
      <c r="B390" s="37" t="s">
        <v>339</v>
      </c>
      <c r="C390" s="37" t="s">
        <v>54</v>
      </c>
      <c r="D390" s="38">
        <v>4.0</v>
      </c>
      <c r="E390" s="38">
        <v>1.0</v>
      </c>
      <c r="F390" s="38">
        <v>8.0</v>
      </c>
      <c r="G390" s="38">
        <v>3.0</v>
      </c>
      <c r="H390" s="38">
        <v>9803.0</v>
      </c>
      <c r="I390" s="38">
        <v>0.1867</v>
      </c>
      <c r="J390" s="38">
        <v>0.0029</v>
      </c>
      <c r="K390" s="38">
        <v>0.0</v>
      </c>
      <c r="L390" s="38">
        <v>0.2056</v>
      </c>
      <c r="M390" s="38">
        <v>0.2005</v>
      </c>
    </row>
    <row r="391">
      <c r="A391" s="37" t="s">
        <v>108</v>
      </c>
      <c r="B391" s="37" t="s">
        <v>339</v>
      </c>
      <c r="C391" s="37" t="s">
        <v>54</v>
      </c>
      <c r="D391" s="38">
        <v>4.0</v>
      </c>
      <c r="E391" s="38">
        <v>2.0</v>
      </c>
      <c r="F391" s="38">
        <v>8.0</v>
      </c>
      <c r="G391" s="38">
        <v>3.0</v>
      </c>
      <c r="H391" s="38">
        <v>9803.0</v>
      </c>
      <c r="I391" s="38">
        <v>0.3126</v>
      </c>
      <c r="J391" s="38">
        <v>0.1414</v>
      </c>
      <c r="K391" s="38">
        <v>0.0</v>
      </c>
      <c r="L391" s="38">
        <v>0.5613</v>
      </c>
      <c r="M391" s="38">
        <v>0.3297</v>
      </c>
    </row>
    <row r="392">
      <c r="A392" s="37" t="s">
        <v>108</v>
      </c>
      <c r="B392" s="37" t="s">
        <v>339</v>
      </c>
      <c r="C392" s="37" t="s">
        <v>54</v>
      </c>
      <c r="D392" s="38">
        <v>4.0</v>
      </c>
      <c r="E392" s="38">
        <v>3.0</v>
      </c>
      <c r="F392" s="38">
        <v>8.0</v>
      </c>
      <c r="G392" s="38">
        <v>3.0</v>
      </c>
      <c r="H392" s="38">
        <v>9803.0</v>
      </c>
      <c r="I392" s="38">
        <v>0.4431</v>
      </c>
      <c r="J392" s="38">
        <v>0.3716</v>
      </c>
      <c r="K392" s="38">
        <v>1.0E-4</v>
      </c>
      <c r="L392" s="38">
        <v>0.9345</v>
      </c>
      <c r="M392" s="38">
        <v>0.4604</v>
      </c>
    </row>
    <row r="393">
      <c r="A393" s="37" t="s">
        <v>108</v>
      </c>
      <c r="B393" s="37" t="s">
        <v>339</v>
      </c>
      <c r="C393" s="37" t="s">
        <v>54</v>
      </c>
      <c r="D393" s="38">
        <v>4.0</v>
      </c>
      <c r="E393" s="38">
        <v>4.0</v>
      </c>
      <c r="F393" s="38">
        <v>8.0</v>
      </c>
      <c r="G393" s="38">
        <v>3.0</v>
      </c>
      <c r="H393" s="38">
        <v>9803.0</v>
      </c>
      <c r="I393" s="38">
        <v>0.5819</v>
      </c>
      <c r="J393" s="38">
        <v>0.639</v>
      </c>
      <c r="K393" s="38">
        <v>0.1792</v>
      </c>
      <c r="L393" s="38">
        <v>1.0</v>
      </c>
      <c r="M393" s="38">
        <v>0.5989</v>
      </c>
    </row>
    <row r="394">
      <c r="A394" s="37" t="s">
        <v>108</v>
      </c>
      <c r="B394" s="37" t="s">
        <v>339</v>
      </c>
      <c r="C394" s="37" t="s">
        <v>54</v>
      </c>
      <c r="D394" s="38">
        <v>4.0</v>
      </c>
      <c r="E394" s="38">
        <v>5.0</v>
      </c>
      <c r="F394" s="38">
        <v>8.0</v>
      </c>
      <c r="G394" s="38">
        <v>3.0</v>
      </c>
      <c r="H394" s="38">
        <v>9803.0</v>
      </c>
      <c r="I394" s="38">
        <v>0.7104</v>
      </c>
      <c r="J394" s="38">
        <v>0.8989</v>
      </c>
      <c r="K394" s="38">
        <v>0.5084</v>
      </c>
      <c r="L394" s="38">
        <v>1.0</v>
      </c>
      <c r="M394" s="38">
        <v>0.7239</v>
      </c>
    </row>
    <row r="395">
      <c r="A395" s="37" t="s">
        <v>108</v>
      </c>
      <c r="B395" s="37" t="s">
        <v>339</v>
      </c>
      <c r="C395" s="37" t="s">
        <v>54</v>
      </c>
      <c r="D395" s="38">
        <v>4.0</v>
      </c>
      <c r="E395" s="38">
        <v>6.0</v>
      </c>
      <c r="F395" s="38">
        <v>8.0</v>
      </c>
      <c r="G395" s="38">
        <v>3.0</v>
      </c>
      <c r="H395" s="38">
        <v>9803.0</v>
      </c>
      <c r="I395" s="38">
        <v>0.8502</v>
      </c>
      <c r="J395" s="38">
        <v>1.0</v>
      </c>
      <c r="K395" s="38">
        <v>0.8297</v>
      </c>
      <c r="L395" s="38">
        <v>1.0</v>
      </c>
      <c r="M395" s="38">
        <v>0.8577</v>
      </c>
    </row>
    <row r="396">
      <c r="A396" s="37" t="s">
        <v>108</v>
      </c>
      <c r="B396" s="37" t="s">
        <v>339</v>
      </c>
      <c r="C396" s="37" t="s">
        <v>54</v>
      </c>
      <c r="D396" s="38">
        <v>4.0</v>
      </c>
      <c r="E396" s="38">
        <v>7.0</v>
      </c>
      <c r="F396" s="38">
        <v>8.0</v>
      </c>
      <c r="G396" s="38">
        <v>3.0</v>
      </c>
      <c r="H396" s="38">
        <v>9803.0</v>
      </c>
      <c r="I396" s="38">
        <v>0.9927</v>
      </c>
      <c r="J396" s="38">
        <v>1.0</v>
      </c>
      <c r="K396" s="38">
        <v>1.0</v>
      </c>
      <c r="L396" s="38">
        <v>1.0</v>
      </c>
      <c r="M396" s="38">
        <v>0.9934</v>
      </c>
    </row>
    <row r="397">
      <c r="A397" s="37" t="s">
        <v>108</v>
      </c>
      <c r="B397" s="37" t="s">
        <v>339</v>
      </c>
      <c r="C397" s="37" t="s">
        <v>54</v>
      </c>
      <c r="D397" s="38">
        <v>4.0</v>
      </c>
      <c r="E397" s="38">
        <v>8.0</v>
      </c>
      <c r="F397" s="38">
        <v>8.0</v>
      </c>
      <c r="G397" s="38">
        <v>3.0</v>
      </c>
      <c r="H397" s="38">
        <v>9803.0</v>
      </c>
      <c r="I397" s="38">
        <v>1.0</v>
      </c>
      <c r="J397" s="38">
        <v>1.0</v>
      </c>
      <c r="K397" s="38">
        <v>1.0</v>
      </c>
      <c r="L397" s="38">
        <v>1.0</v>
      </c>
      <c r="M397" s="38">
        <v>1.0</v>
      </c>
    </row>
    <row r="398">
      <c r="A398" s="37" t="s">
        <v>108</v>
      </c>
      <c r="B398" s="37" t="s">
        <v>137</v>
      </c>
      <c r="C398" s="37" t="s">
        <v>55</v>
      </c>
      <c r="D398" s="38">
        <v>5.0</v>
      </c>
      <c r="E398" s="38">
        <v>1.0</v>
      </c>
      <c r="F398" s="38">
        <v>8.0</v>
      </c>
      <c r="G398" s="38">
        <v>3.0</v>
      </c>
      <c r="H398" s="38">
        <v>1476.0</v>
      </c>
      <c r="I398" s="38">
        <v>0.1659</v>
      </c>
      <c r="J398" s="38">
        <v>0.0307</v>
      </c>
      <c r="K398" s="38">
        <v>0.0</v>
      </c>
      <c r="L398" s="38">
        <v>0.1772</v>
      </c>
      <c r="M398" s="38">
        <v>0.1824</v>
      </c>
    </row>
    <row r="399">
      <c r="A399" s="37" t="s">
        <v>108</v>
      </c>
      <c r="B399" s="37" t="s">
        <v>137</v>
      </c>
      <c r="C399" s="37" t="s">
        <v>55</v>
      </c>
      <c r="D399" s="38">
        <v>5.0</v>
      </c>
      <c r="E399" s="38">
        <v>2.0</v>
      </c>
      <c r="F399" s="38">
        <v>8.0</v>
      </c>
      <c r="G399" s="38">
        <v>3.0</v>
      </c>
      <c r="H399" s="38">
        <v>1476.0</v>
      </c>
      <c r="I399" s="38">
        <v>0.2994</v>
      </c>
      <c r="J399" s="38">
        <v>0.1991</v>
      </c>
      <c r="K399" s="38">
        <v>0.0</v>
      </c>
      <c r="L399" s="38">
        <v>0.4415</v>
      </c>
      <c r="M399" s="38">
        <v>0.3171</v>
      </c>
    </row>
    <row r="400">
      <c r="A400" s="37" t="s">
        <v>108</v>
      </c>
      <c r="B400" s="37" t="s">
        <v>137</v>
      </c>
      <c r="C400" s="37" t="s">
        <v>55</v>
      </c>
      <c r="D400" s="38">
        <v>5.0</v>
      </c>
      <c r="E400" s="38">
        <v>3.0</v>
      </c>
      <c r="F400" s="38">
        <v>8.0</v>
      </c>
      <c r="G400" s="38">
        <v>3.0</v>
      </c>
      <c r="H400" s="38">
        <v>1476.0</v>
      </c>
      <c r="I400" s="38">
        <v>0.412</v>
      </c>
      <c r="J400" s="38">
        <v>0.3762</v>
      </c>
      <c r="K400" s="38">
        <v>0.0</v>
      </c>
      <c r="L400" s="38">
        <v>0.693</v>
      </c>
      <c r="M400" s="38">
        <v>0.4294</v>
      </c>
    </row>
    <row r="401">
      <c r="A401" s="37" t="s">
        <v>108</v>
      </c>
      <c r="B401" s="37" t="s">
        <v>137</v>
      </c>
      <c r="C401" s="37" t="s">
        <v>55</v>
      </c>
      <c r="D401" s="38">
        <v>5.0</v>
      </c>
      <c r="E401" s="38">
        <v>4.0</v>
      </c>
      <c r="F401" s="38">
        <v>8.0</v>
      </c>
      <c r="G401" s="38">
        <v>3.0</v>
      </c>
      <c r="H401" s="38">
        <v>1476.0</v>
      </c>
      <c r="I401" s="38">
        <v>0.5538</v>
      </c>
      <c r="J401" s="38">
        <v>0.5831</v>
      </c>
      <c r="K401" s="38">
        <v>0.2315</v>
      </c>
      <c r="L401" s="38">
        <v>0.9892</v>
      </c>
      <c r="M401" s="38">
        <v>0.5688</v>
      </c>
    </row>
    <row r="402">
      <c r="A402" s="37" t="s">
        <v>108</v>
      </c>
      <c r="B402" s="37" t="s">
        <v>137</v>
      </c>
      <c r="C402" s="37" t="s">
        <v>55</v>
      </c>
      <c r="D402" s="38">
        <v>5.0</v>
      </c>
      <c r="E402" s="38">
        <v>5.0</v>
      </c>
      <c r="F402" s="38">
        <v>8.0</v>
      </c>
      <c r="G402" s="38">
        <v>3.0</v>
      </c>
      <c r="H402" s="38">
        <v>1476.0</v>
      </c>
      <c r="I402" s="38">
        <v>0.6881</v>
      </c>
      <c r="J402" s="38">
        <v>0.7785</v>
      </c>
      <c r="K402" s="38">
        <v>0.5558</v>
      </c>
      <c r="L402" s="38">
        <v>1.0</v>
      </c>
      <c r="M402" s="38">
        <v>0.6993</v>
      </c>
    </row>
    <row r="403">
      <c r="A403" s="37" t="s">
        <v>108</v>
      </c>
      <c r="B403" s="37" t="s">
        <v>137</v>
      </c>
      <c r="C403" s="37" t="s">
        <v>55</v>
      </c>
      <c r="D403" s="38">
        <v>5.0</v>
      </c>
      <c r="E403" s="38">
        <v>6.0</v>
      </c>
      <c r="F403" s="38">
        <v>8.0</v>
      </c>
      <c r="G403" s="38">
        <v>3.0</v>
      </c>
      <c r="H403" s="38">
        <v>1476.0</v>
      </c>
      <c r="I403" s="38">
        <v>0.8347</v>
      </c>
      <c r="J403" s="38">
        <v>0.9624</v>
      </c>
      <c r="K403" s="38">
        <v>0.8063</v>
      </c>
      <c r="L403" s="38">
        <v>1.0</v>
      </c>
      <c r="M403" s="38">
        <v>0.8415</v>
      </c>
    </row>
    <row r="404">
      <c r="A404" s="37" t="s">
        <v>108</v>
      </c>
      <c r="B404" s="37" t="s">
        <v>137</v>
      </c>
      <c r="C404" s="37" t="s">
        <v>55</v>
      </c>
      <c r="D404" s="38">
        <v>5.0</v>
      </c>
      <c r="E404" s="38">
        <v>7.0</v>
      </c>
      <c r="F404" s="38">
        <v>8.0</v>
      </c>
      <c r="G404" s="38">
        <v>3.0</v>
      </c>
      <c r="H404" s="38">
        <v>1476.0</v>
      </c>
      <c r="I404" s="38">
        <v>0.9929</v>
      </c>
      <c r="J404" s="38">
        <v>1.0</v>
      </c>
      <c r="K404" s="38">
        <v>1.0</v>
      </c>
      <c r="L404" s="38">
        <v>1.0</v>
      </c>
      <c r="M404" s="38">
        <v>0.9934</v>
      </c>
    </row>
    <row r="405">
      <c r="A405" s="37" t="s">
        <v>108</v>
      </c>
      <c r="B405" s="37" t="s">
        <v>137</v>
      </c>
      <c r="C405" s="37" t="s">
        <v>55</v>
      </c>
      <c r="D405" s="38">
        <v>5.0</v>
      </c>
      <c r="E405" s="38">
        <v>8.0</v>
      </c>
      <c r="F405" s="38">
        <v>8.0</v>
      </c>
      <c r="G405" s="38">
        <v>3.0</v>
      </c>
      <c r="H405" s="38">
        <v>1476.0</v>
      </c>
      <c r="I405" s="38">
        <v>1.0</v>
      </c>
      <c r="J405" s="38">
        <v>1.0</v>
      </c>
      <c r="K405" s="38">
        <v>1.0</v>
      </c>
      <c r="L405" s="38">
        <v>1.0</v>
      </c>
      <c r="M405" s="38">
        <v>1.0</v>
      </c>
    </row>
    <row r="406">
      <c r="A406" s="37" t="s">
        <v>108</v>
      </c>
      <c r="B406" s="37" t="s">
        <v>339</v>
      </c>
      <c r="C406" s="37" t="s">
        <v>55</v>
      </c>
      <c r="D406" s="38">
        <v>5.0</v>
      </c>
      <c r="E406" s="38">
        <v>1.0</v>
      </c>
      <c r="F406" s="38">
        <v>8.0</v>
      </c>
      <c r="G406" s="38">
        <v>2.0</v>
      </c>
      <c r="H406" s="38">
        <v>1062.0</v>
      </c>
      <c r="I406" s="38">
        <v>0.1532</v>
      </c>
      <c r="J406" s="38">
        <v>0.0</v>
      </c>
      <c r="K406" s="38">
        <v>0.0</v>
      </c>
      <c r="L406" s="38">
        <v>0.1624</v>
      </c>
      <c r="M406" s="38">
        <v>0.1653</v>
      </c>
    </row>
    <row r="407">
      <c r="A407" s="37" t="s">
        <v>108</v>
      </c>
      <c r="B407" s="37" t="s">
        <v>339</v>
      </c>
      <c r="C407" s="37" t="s">
        <v>55</v>
      </c>
      <c r="D407" s="38">
        <v>5.0</v>
      </c>
      <c r="E407" s="38">
        <v>2.0</v>
      </c>
      <c r="F407" s="38">
        <v>8.0</v>
      </c>
      <c r="G407" s="38">
        <v>2.0</v>
      </c>
      <c r="H407" s="38">
        <v>1062.0</v>
      </c>
      <c r="I407" s="38">
        <v>0.2607</v>
      </c>
      <c r="J407" s="38">
        <v>0.0159</v>
      </c>
      <c r="K407" s="38">
        <v>0.0</v>
      </c>
      <c r="L407" s="38">
        <v>0.4231</v>
      </c>
      <c r="M407" s="38">
        <v>0.2735</v>
      </c>
    </row>
    <row r="408">
      <c r="A408" s="37" t="s">
        <v>108</v>
      </c>
      <c r="B408" s="37" t="s">
        <v>339</v>
      </c>
      <c r="C408" s="37" t="s">
        <v>55</v>
      </c>
      <c r="D408" s="38">
        <v>5.0</v>
      </c>
      <c r="E408" s="38">
        <v>3.0</v>
      </c>
      <c r="F408" s="38">
        <v>8.0</v>
      </c>
      <c r="G408" s="38">
        <v>2.0</v>
      </c>
      <c r="H408" s="38">
        <v>1062.0</v>
      </c>
      <c r="I408" s="38">
        <v>0.3856</v>
      </c>
      <c r="J408" s="38">
        <v>0.2908</v>
      </c>
      <c r="K408" s="38">
        <v>0.0</v>
      </c>
      <c r="L408" s="38">
        <v>0.7793</v>
      </c>
      <c r="M408" s="38">
        <v>0.3977</v>
      </c>
    </row>
    <row r="409">
      <c r="A409" s="37" t="s">
        <v>108</v>
      </c>
      <c r="B409" s="37" t="s">
        <v>339</v>
      </c>
      <c r="C409" s="37" t="s">
        <v>55</v>
      </c>
      <c r="D409" s="38">
        <v>5.0</v>
      </c>
      <c r="E409" s="38">
        <v>4.0</v>
      </c>
      <c r="F409" s="38">
        <v>8.0</v>
      </c>
      <c r="G409" s="38">
        <v>2.0</v>
      </c>
      <c r="H409" s="38">
        <v>1062.0</v>
      </c>
      <c r="I409" s="38">
        <v>0.5342</v>
      </c>
      <c r="J409" s="38">
        <v>0.584</v>
      </c>
      <c r="K409" s="38">
        <v>4.0E-4</v>
      </c>
      <c r="L409" s="38">
        <v>0.9997</v>
      </c>
      <c r="M409" s="38">
        <v>0.5452</v>
      </c>
    </row>
    <row r="410">
      <c r="A410" s="37" t="s">
        <v>108</v>
      </c>
      <c r="B410" s="37" t="s">
        <v>339</v>
      </c>
      <c r="C410" s="37" t="s">
        <v>55</v>
      </c>
      <c r="D410" s="38">
        <v>5.0</v>
      </c>
      <c r="E410" s="38">
        <v>5.0</v>
      </c>
      <c r="F410" s="38">
        <v>8.0</v>
      </c>
      <c r="G410" s="38">
        <v>2.0</v>
      </c>
      <c r="H410" s="38">
        <v>1062.0</v>
      </c>
      <c r="I410" s="38">
        <v>0.6696</v>
      </c>
      <c r="J410" s="38">
        <v>0.8233</v>
      </c>
      <c r="K410" s="38">
        <v>0.4047</v>
      </c>
      <c r="L410" s="38">
        <v>1.0</v>
      </c>
      <c r="M410" s="38">
        <v>0.6789</v>
      </c>
    </row>
    <row r="411">
      <c r="A411" s="37" t="s">
        <v>108</v>
      </c>
      <c r="B411" s="37" t="s">
        <v>339</v>
      </c>
      <c r="C411" s="37" t="s">
        <v>55</v>
      </c>
      <c r="D411" s="38">
        <v>5.0</v>
      </c>
      <c r="E411" s="38">
        <v>6.0</v>
      </c>
      <c r="F411" s="38">
        <v>8.0</v>
      </c>
      <c r="G411" s="38">
        <v>2.0</v>
      </c>
      <c r="H411" s="38">
        <v>1062.0</v>
      </c>
      <c r="I411" s="38">
        <v>0.8112</v>
      </c>
      <c r="J411" s="38">
        <v>0.9977</v>
      </c>
      <c r="K411" s="38">
        <v>0.8001</v>
      </c>
      <c r="L411" s="38">
        <v>1.0</v>
      </c>
      <c r="M411" s="38">
        <v>0.8164</v>
      </c>
    </row>
    <row r="412">
      <c r="A412" s="37" t="s">
        <v>108</v>
      </c>
      <c r="B412" s="37" t="s">
        <v>339</v>
      </c>
      <c r="C412" s="37" t="s">
        <v>55</v>
      </c>
      <c r="D412" s="38">
        <v>5.0</v>
      </c>
      <c r="E412" s="38">
        <v>7.0</v>
      </c>
      <c r="F412" s="38">
        <v>8.0</v>
      </c>
      <c r="G412" s="38">
        <v>2.0</v>
      </c>
      <c r="H412" s="38">
        <v>1062.0</v>
      </c>
      <c r="I412" s="38">
        <v>0.9908</v>
      </c>
      <c r="J412" s="38">
        <v>1.0</v>
      </c>
      <c r="K412" s="38">
        <v>1.0</v>
      </c>
      <c r="L412" s="38">
        <v>1.0</v>
      </c>
      <c r="M412" s="38">
        <v>0.9913</v>
      </c>
    </row>
    <row r="413">
      <c r="A413" s="37" t="s">
        <v>108</v>
      </c>
      <c r="B413" s="37" t="s">
        <v>339</v>
      </c>
      <c r="C413" s="37" t="s">
        <v>55</v>
      </c>
      <c r="D413" s="38">
        <v>5.0</v>
      </c>
      <c r="E413" s="38">
        <v>8.0</v>
      </c>
      <c r="F413" s="38">
        <v>8.0</v>
      </c>
      <c r="G413" s="38">
        <v>2.0</v>
      </c>
      <c r="H413" s="38">
        <v>1062.0</v>
      </c>
      <c r="I413" s="38">
        <v>1.0</v>
      </c>
      <c r="J413" s="38">
        <v>1.0</v>
      </c>
      <c r="K413" s="38">
        <v>1.0</v>
      </c>
      <c r="L413" s="38">
        <v>1.0</v>
      </c>
      <c r="M413" s="38">
        <v>1.0</v>
      </c>
    </row>
    <row r="414">
      <c r="A414" s="37" t="s">
        <v>27</v>
      </c>
      <c r="B414" s="37" t="s">
        <v>137</v>
      </c>
      <c r="C414" s="37" t="s">
        <v>51</v>
      </c>
      <c r="D414" s="38">
        <v>1.0</v>
      </c>
      <c r="E414" s="38">
        <v>1.0</v>
      </c>
      <c r="F414" s="38">
        <v>2.0</v>
      </c>
      <c r="G414" s="38">
        <v>1.0</v>
      </c>
      <c r="H414" s="38">
        <v>28509.0</v>
      </c>
      <c r="I414" s="38">
        <v>0.9188</v>
      </c>
      <c r="J414" s="38">
        <v>1.0</v>
      </c>
      <c r="K414" s="38">
        <v>1.0</v>
      </c>
      <c r="L414" s="38">
        <v>1.0</v>
      </c>
      <c r="M414" s="38">
        <v>0.9188</v>
      </c>
    </row>
    <row r="415">
      <c r="A415" s="37" t="s">
        <v>27</v>
      </c>
      <c r="B415" s="37" t="s">
        <v>137</v>
      </c>
      <c r="C415" s="37" t="s">
        <v>51</v>
      </c>
      <c r="D415" s="38">
        <v>1.0</v>
      </c>
      <c r="E415" s="38">
        <v>2.0</v>
      </c>
      <c r="F415" s="38">
        <v>2.0</v>
      </c>
      <c r="G415" s="38">
        <v>1.0</v>
      </c>
      <c r="H415" s="38">
        <v>28509.0</v>
      </c>
      <c r="I415" s="38">
        <v>1.0</v>
      </c>
      <c r="J415" s="38">
        <v>1.0</v>
      </c>
      <c r="K415" s="38">
        <v>1.0</v>
      </c>
      <c r="L415" s="38">
        <v>1.0</v>
      </c>
      <c r="M415" s="38">
        <v>1.0</v>
      </c>
    </row>
    <row r="416">
      <c r="A416" s="37" t="s">
        <v>27</v>
      </c>
      <c r="B416" s="37" t="s">
        <v>339</v>
      </c>
      <c r="C416" s="37" t="s">
        <v>51</v>
      </c>
      <c r="D416" s="38">
        <v>1.0</v>
      </c>
      <c r="E416" s="38">
        <v>1.0</v>
      </c>
      <c r="F416" s="38">
        <v>2.0</v>
      </c>
      <c r="G416" s="38">
        <v>1.0</v>
      </c>
      <c r="H416" s="38">
        <v>23906.0</v>
      </c>
      <c r="I416" s="38">
        <v>0.9146</v>
      </c>
      <c r="J416" s="38">
        <v>1.0</v>
      </c>
      <c r="K416" s="38">
        <v>1.0</v>
      </c>
      <c r="L416" s="38">
        <v>1.0</v>
      </c>
      <c r="M416" s="38">
        <v>0.9146</v>
      </c>
    </row>
    <row r="417">
      <c r="A417" s="37" t="s">
        <v>27</v>
      </c>
      <c r="B417" s="37" t="s">
        <v>339</v>
      </c>
      <c r="C417" s="37" t="s">
        <v>51</v>
      </c>
      <c r="D417" s="38">
        <v>1.0</v>
      </c>
      <c r="E417" s="38">
        <v>2.0</v>
      </c>
      <c r="F417" s="38">
        <v>2.0</v>
      </c>
      <c r="G417" s="38">
        <v>1.0</v>
      </c>
      <c r="H417" s="38">
        <v>23906.0</v>
      </c>
      <c r="I417" s="38">
        <v>1.0</v>
      </c>
      <c r="J417" s="38">
        <v>1.0</v>
      </c>
      <c r="K417" s="38">
        <v>1.0</v>
      </c>
      <c r="L417" s="38">
        <v>1.0</v>
      </c>
      <c r="M417" s="38">
        <v>1.0</v>
      </c>
    </row>
    <row r="418">
      <c r="A418" s="37" t="s">
        <v>27</v>
      </c>
      <c r="B418" s="37" t="s">
        <v>137</v>
      </c>
      <c r="C418" s="37" t="s">
        <v>52</v>
      </c>
      <c r="D418" s="38">
        <v>2.0</v>
      </c>
      <c r="E418" s="38">
        <v>1.0</v>
      </c>
      <c r="F418" s="38">
        <v>2.0</v>
      </c>
      <c r="G418" s="38">
        <v>1.0</v>
      </c>
      <c r="H418" s="38">
        <v>22272.0</v>
      </c>
      <c r="I418" s="38">
        <v>0.9206</v>
      </c>
      <c r="J418" s="38">
        <v>1.0</v>
      </c>
      <c r="K418" s="38">
        <v>0.9979</v>
      </c>
      <c r="L418" s="38">
        <v>1.0</v>
      </c>
      <c r="M418" s="38">
        <v>0.9206</v>
      </c>
    </row>
    <row r="419">
      <c r="A419" s="37" t="s">
        <v>27</v>
      </c>
      <c r="B419" s="37" t="s">
        <v>137</v>
      </c>
      <c r="C419" s="37" t="s">
        <v>52</v>
      </c>
      <c r="D419" s="38">
        <v>2.0</v>
      </c>
      <c r="E419" s="38">
        <v>2.0</v>
      </c>
      <c r="F419" s="38">
        <v>2.0</v>
      </c>
      <c r="G419" s="38">
        <v>1.0</v>
      </c>
      <c r="H419" s="38">
        <v>22272.0</v>
      </c>
      <c r="I419" s="38">
        <v>1.0</v>
      </c>
      <c r="J419" s="38">
        <v>1.0</v>
      </c>
      <c r="K419" s="38">
        <v>1.0</v>
      </c>
      <c r="L419" s="38">
        <v>1.0</v>
      </c>
      <c r="M419" s="38">
        <v>1.0</v>
      </c>
    </row>
    <row r="420">
      <c r="A420" s="37" t="s">
        <v>27</v>
      </c>
      <c r="B420" s="37" t="s">
        <v>339</v>
      </c>
      <c r="C420" s="37" t="s">
        <v>52</v>
      </c>
      <c r="D420" s="38">
        <v>2.0</v>
      </c>
      <c r="E420" s="38">
        <v>1.0</v>
      </c>
      <c r="F420" s="38">
        <v>2.0</v>
      </c>
      <c r="G420" s="38">
        <v>1.0</v>
      </c>
      <c r="H420" s="38">
        <v>13908.0</v>
      </c>
      <c r="I420" s="38">
        <v>0.9113</v>
      </c>
      <c r="J420" s="38">
        <v>1.0</v>
      </c>
      <c r="K420" s="38">
        <v>0.9979</v>
      </c>
      <c r="L420" s="38">
        <v>1.0</v>
      </c>
      <c r="M420" s="38">
        <v>0.9113</v>
      </c>
    </row>
    <row r="421">
      <c r="A421" s="37" t="s">
        <v>27</v>
      </c>
      <c r="B421" s="37" t="s">
        <v>339</v>
      </c>
      <c r="C421" s="37" t="s">
        <v>52</v>
      </c>
      <c r="D421" s="38">
        <v>2.0</v>
      </c>
      <c r="E421" s="38">
        <v>2.0</v>
      </c>
      <c r="F421" s="38">
        <v>2.0</v>
      </c>
      <c r="G421" s="38">
        <v>1.0</v>
      </c>
      <c r="H421" s="38">
        <v>13908.0</v>
      </c>
      <c r="I421" s="38">
        <v>1.0</v>
      </c>
      <c r="J421" s="38">
        <v>1.0</v>
      </c>
      <c r="K421" s="38">
        <v>1.0</v>
      </c>
      <c r="L421" s="38">
        <v>1.0</v>
      </c>
      <c r="M421" s="38">
        <v>1.0</v>
      </c>
    </row>
    <row r="422">
      <c r="A422" s="37" t="s">
        <v>27</v>
      </c>
      <c r="B422" s="37" t="s">
        <v>137</v>
      </c>
      <c r="C422" s="37" t="s">
        <v>53</v>
      </c>
      <c r="D422" s="38">
        <v>3.0</v>
      </c>
      <c r="E422" s="38">
        <v>1.0</v>
      </c>
      <c r="F422" s="38">
        <v>2.0</v>
      </c>
      <c r="G422" s="38">
        <v>1.0</v>
      </c>
      <c r="H422" s="38">
        <v>12497.0</v>
      </c>
      <c r="I422" s="38">
        <v>0.9177</v>
      </c>
      <c r="J422" s="38">
        <v>1.0</v>
      </c>
      <c r="K422" s="38">
        <v>0.9762</v>
      </c>
      <c r="L422" s="38">
        <v>1.0</v>
      </c>
      <c r="M422" s="38">
        <v>0.9177</v>
      </c>
    </row>
    <row r="423">
      <c r="A423" s="37" t="s">
        <v>27</v>
      </c>
      <c r="B423" s="37" t="s">
        <v>137</v>
      </c>
      <c r="C423" s="37" t="s">
        <v>53</v>
      </c>
      <c r="D423" s="38">
        <v>3.0</v>
      </c>
      <c r="E423" s="38">
        <v>2.0</v>
      </c>
      <c r="F423" s="38">
        <v>2.0</v>
      </c>
      <c r="G423" s="38">
        <v>1.0</v>
      </c>
      <c r="H423" s="38">
        <v>12497.0</v>
      </c>
      <c r="I423" s="38">
        <v>1.0</v>
      </c>
      <c r="J423" s="38">
        <v>1.0</v>
      </c>
      <c r="K423" s="38">
        <v>1.0</v>
      </c>
      <c r="L423" s="38">
        <v>1.0</v>
      </c>
      <c r="M423" s="38">
        <v>1.0</v>
      </c>
    </row>
    <row r="424">
      <c r="A424" s="37" t="s">
        <v>27</v>
      </c>
      <c r="B424" s="37" t="s">
        <v>339</v>
      </c>
      <c r="C424" s="37" t="s">
        <v>53</v>
      </c>
      <c r="D424" s="38">
        <v>3.0</v>
      </c>
      <c r="E424" s="38">
        <v>1.0</v>
      </c>
      <c r="F424" s="38">
        <v>2.0</v>
      </c>
      <c r="G424" s="38">
        <v>1.0</v>
      </c>
      <c r="H424" s="38">
        <v>7426.0</v>
      </c>
      <c r="I424" s="38">
        <v>0.9081</v>
      </c>
      <c r="J424" s="38">
        <v>1.0</v>
      </c>
      <c r="K424" s="38">
        <v>0.9742</v>
      </c>
      <c r="L424" s="38">
        <v>1.0</v>
      </c>
      <c r="M424" s="38">
        <v>0.9081</v>
      </c>
    </row>
    <row r="425">
      <c r="A425" s="37" t="s">
        <v>27</v>
      </c>
      <c r="B425" s="37" t="s">
        <v>339</v>
      </c>
      <c r="C425" s="37" t="s">
        <v>53</v>
      </c>
      <c r="D425" s="38">
        <v>3.0</v>
      </c>
      <c r="E425" s="38">
        <v>2.0</v>
      </c>
      <c r="F425" s="38">
        <v>2.0</v>
      </c>
      <c r="G425" s="38">
        <v>1.0</v>
      </c>
      <c r="H425" s="38">
        <v>7426.0</v>
      </c>
      <c r="I425" s="38">
        <v>1.0</v>
      </c>
      <c r="J425" s="38">
        <v>1.0</v>
      </c>
      <c r="K425" s="38">
        <v>1.0</v>
      </c>
      <c r="L425" s="38">
        <v>1.0</v>
      </c>
      <c r="M425" s="38">
        <v>1.0</v>
      </c>
    </row>
    <row r="426">
      <c r="A426" s="37" t="s">
        <v>27</v>
      </c>
      <c r="B426" s="37" t="s">
        <v>137</v>
      </c>
      <c r="C426" s="37" t="s">
        <v>54</v>
      </c>
      <c r="D426" s="38">
        <v>4.0</v>
      </c>
      <c r="E426" s="38">
        <v>1.0</v>
      </c>
      <c r="F426" s="38">
        <v>2.0</v>
      </c>
      <c r="G426" s="38">
        <v>1.0</v>
      </c>
      <c r="H426" s="38">
        <v>5526.0</v>
      </c>
      <c r="I426" s="38">
        <v>0.9239</v>
      </c>
      <c r="J426" s="38">
        <v>1.0</v>
      </c>
      <c r="K426" s="38">
        <v>0.972</v>
      </c>
      <c r="L426" s="38">
        <v>1.0</v>
      </c>
      <c r="M426" s="38">
        <v>0.9239</v>
      </c>
    </row>
    <row r="427">
      <c r="A427" s="37" t="s">
        <v>27</v>
      </c>
      <c r="B427" s="37" t="s">
        <v>137</v>
      </c>
      <c r="C427" s="37" t="s">
        <v>54</v>
      </c>
      <c r="D427" s="38">
        <v>4.0</v>
      </c>
      <c r="E427" s="38">
        <v>2.0</v>
      </c>
      <c r="F427" s="38">
        <v>2.0</v>
      </c>
      <c r="G427" s="38">
        <v>1.0</v>
      </c>
      <c r="H427" s="38">
        <v>5526.0</v>
      </c>
      <c r="I427" s="38">
        <v>1.0</v>
      </c>
      <c r="J427" s="38">
        <v>1.0</v>
      </c>
      <c r="K427" s="38">
        <v>1.0</v>
      </c>
      <c r="L427" s="38">
        <v>1.0</v>
      </c>
      <c r="M427" s="38">
        <v>1.0</v>
      </c>
    </row>
    <row r="428">
      <c r="A428" s="37" t="s">
        <v>27</v>
      </c>
      <c r="B428" s="37" t="s">
        <v>339</v>
      </c>
      <c r="C428" s="37" t="s">
        <v>54</v>
      </c>
      <c r="D428" s="38">
        <v>4.0</v>
      </c>
      <c r="E428" s="38">
        <v>1.0</v>
      </c>
      <c r="F428" s="38">
        <v>2.0</v>
      </c>
      <c r="G428" s="38">
        <v>1.0</v>
      </c>
      <c r="H428" s="38">
        <v>3245.0</v>
      </c>
      <c r="I428" s="38">
        <v>0.9141</v>
      </c>
      <c r="J428" s="38">
        <v>1.0</v>
      </c>
      <c r="K428" s="38">
        <v>0.9616</v>
      </c>
      <c r="L428" s="38">
        <v>1.0</v>
      </c>
      <c r="M428" s="38">
        <v>0.9141</v>
      </c>
    </row>
    <row r="429">
      <c r="A429" s="37" t="s">
        <v>27</v>
      </c>
      <c r="B429" s="37" t="s">
        <v>339</v>
      </c>
      <c r="C429" s="37" t="s">
        <v>54</v>
      </c>
      <c r="D429" s="38">
        <v>4.0</v>
      </c>
      <c r="E429" s="38">
        <v>2.0</v>
      </c>
      <c r="F429" s="38">
        <v>2.0</v>
      </c>
      <c r="G429" s="38">
        <v>1.0</v>
      </c>
      <c r="H429" s="38">
        <v>3245.0</v>
      </c>
      <c r="I429" s="38">
        <v>1.0</v>
      </c>
      <c r="J429" s="38">
        <v>1.0</v>
      </c>
      <c r="K429" s="38">
        <v>1.0</v>
      </c>
      <c r="L429" s="38">
        <v>1.0</v>
      </c>
      <c r="M429" s="38">
        <v>1.0</v>
      </c>
    </row>
    <row r="430">
      <c r="A430" s="37" t="s">
        <v>27</v>
      </c>
      <c r="B430" s="37" t="s">
        <v>137</v>
      </c>
      <c r="C430" s="37" t="s">
        <v>55</v>
      </c>
      <c r="D430" s="38">
        <v>5.0</v>
      </c>
      <c r="E430" s="38">
        <v>1.0</v>
      </c>
      <c r="F430" s="38">
        <v>2.0</v>
      </c>
      <c r="G430" s="38">
        <v>1.0</v>
      </c>
      <c r="H430" s="38">
        <v>817.0</v>
      </c>
      <c r="I430" s="38">
        <v>0.9183</v>
      </c>
      <c r="J430" s="38">
        <v>0.9998</v>
      </c>
      <c r="K430" s="38">
        <v>0.9338</v>
      </c>
      <c r="L430" s="38">
        <v>1.0</v>
      </c>
      <c r="M430" s="38">
        <v>0.9183</v>
      </c>
    </row>
    <row r="431">
      <c r="A431" s="37" t="s">
        <v>27</v>
      </c>
      <c r="B431" s="37" t="s">
        <v>137</v>
      </c>
      <c r="C431" s="37" t="s">
        <v>55</v>
      </c>
      <c r="D431" s="38">
        <v>5.0</v>
      </c>
      <c r="E431" s="38">
        <v>2.0</v>
      </c>
      <c r="F431" s="38">
        <v>2.0</v>
      </c>
      <c r="G431" s="38">
        <v>1.0</v>
      </c>
      <c r="H431" s="38">
        <v>817.0</v>
      </c>
      <c r="I431" s="38">
        <v>1.0</v>
      </c>
      <c r="J431" s="38">
        <v>1.0</v>
      </c>
      <c r="K431" s="38">
        <v>1.0</v>
      </c>
      <c r="L431" s="38">
        <v>1.0</v>
      </c>
      <c r="M431" s="38">
        <v>1.0</v>
      </c>
    </row>
    <row r="432">
      <c r="A432" s="37" t="s">
        <v>27</v>
      </c>
      <c r="B432" s="37" t="s">
        <v>339</v>
      </c>
      <c r="C432" s="37" t="s">
        <v>55</v>
      </c>
      <c r="D432" s="38">
        <v>5.0</v>
      </c>
      <c r="E432" s="38">
        <v>1.0</v>
      </c>
      <c r="F432" s="38">
        <v>2.0</v>
      </c>
      <c r="G432" s="38">
        <v>1.0</v>
      </c>
      <c r="H432" s="38">
        <v>467.0</v>
      </c>
      <c r="I432" s="38">
        <v>0.9178</v>
      </c>
      <c r="J432" s="38">
        <v>1.0</v>
      </c>
      <c r="K432" s="38">
        <v>0.9274</v>
      </c>
      <c r="L432" s="38">
        <v>1.0</v>
      </c>
      <c r="M432" s="38">
        <v>0.9178</v>
      </c>
    </row>
    <row r="433">
      <c r="A433" s="37" t="s">
        <v>27</v>
      </c>
      <c r="B433" s="37" t="s">
        <v>339</v>
      </c>
      <c r="C433" s="37" t="s">
        <v>55</v>
      </c>
      <c r="D433" s="38">
        <v>5.0</v>
      </c>
      <c r="E433" s="38">
        <v>2.0</v>
      </c>
      <c r="F433" s="38">
        <v>2.0</v>
      </c>
      <c r="G433" s="38">
        <v>1.0</v>
      </c>
      <c r="H433" s="38">
        <v>467.0</v>
      </c>
      <c r="I433" s="38">
        <v>1.0</v>
      </c>
      <c r="J433" s="38">
        <v>1.0</v>
      </c>
      <c r="K433" s="38">
        <v>1.0</v>
      </c>
      <c r="L433" s="38">
        <v>1.0</v>
      </c>
      <c r="M433" s="38">
        <v>1.0</v>
      </c>
    </row>
  </sheetData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388" t="s">
        <v>2009</v>
      </c>
      <c r="B1" s="388" t="s">
        <v>1954</v>
      </c>
      <c r="C1" s="388" t="s">
        <v>1974</v>
      </c>
      <c r="D1" s="388" t="s">
        <v>1975</v>
      </c>
      <c r="E1" s="388" t="s">
        <v>2027</v>
      </c>
      <c r="F1" s="388" t="s">
        <v>2028</v>
      </c>
      <c r="G1" s="388" t="s">
        <v>2010</v>
      </c>
      <c r="H1" s="388" t="s">
        <v>2029</v>
      </c>
      <c r="I1" s="388" t="s">
        <v>2030</v>
      </c>
      <c r="J1" s="388" t="s">
        <v>2031</v>
      </c>
      <c r="K1" s="388" t="s">
        <v>2032</v>
      </c>
      <c r="L1" s="388" t="s">
        <v>2033</v>
      </c>
      <c r="M1" s="388" t="s">
        <v>2034</v>
      </c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</row>
    <row r="2">
      <c r="A2" s="37" t="s">
        <v>38</v>
      </c>
      <c r="B2" s="37" t="s">
        <v>137</v>
      </c>
      <c r="C2" s="37" t="s">
        <v>51</v>
      </c>
      <c r="D2" s="38">
        <v>1.0</v>
      </c>
      <c r="E2" s="38">
        <v>1.0</v>
      </c>
      <c r="F2" s="38">
        <v>8.0</v>
      </c>
      <c r="G2" s="38">
        <v>5.0</v>
      </c>
      <c r="H2" s="38">
        <v>41771.0</v>
      </c>
      <c r="I2" s="38">
        <v>0.1826</v>
      </c>
      <c r="J2" s="38">
        <v>0.0</v>
      </c>
      <c r="K2" s="38">
        <v>0.0</v>
      </c>
      <c r="L2" s="38">
        <v>0.0181</v>
      </c>
      <c r="M2" s="37" t="s">
        <v>364</v>
      </c>
    </row>
    <row r="3">
      <c r="A3" s="37" t="s">
        <v>38</v>
      </c>
      <c r="B3" s="37" t="s">
        <v>137</v>
      </c>
      <c r="C3" s="37" t="s">
        <v>51</v>
      </c>
      <c r="D3" s="38">
        <v>1.0</v>
      </c>
      <c r="E3" s="38">
        <v>2.0</v>
      </c>
      <c r="F3" s="38">
        <v>8.0</v>
      </c>
      <c r="G3" s="38">
        <v>5.0</v>
      </c>
      <c r="H3" s="38">
        <v>41771.0</v>
      </c>
      <c r="I3" s="38">
        <v>0.3369</v>
      </c>
      <c r="J3" s="38">
        <v>0.0015</v>
      </c>
      <c r="K3" s="38">
        <v>0.0</v>
      </c>
      <c r="L3" s="38">
        <v>0.9949</v>
      </c>
      <c r="M3" s="37" t="s">
        <v>364</v>
      </c>
    </row>
    <row r="4">
      <c r="A4" s="37" t="s">
        <v>38</v>
      </c>
      <c r="B4" s="37" t="s">
        <v>137</v>
      </c>
      <c r="C4" s="37" t="s">
        <v>51</v>
      </c>
      <c r="D4" s="38">
        <v>1.0</v>
      </c>
      <c r="E4" s="38">
        <v>3.0</v>
      </c>
      <c r="F4" s="38">
        <v>8.0</v>
      </c>
      <c r="G4" s="38">
        <v>5.0</v>
      </c>
      <c r="H4" s="38">
        <v>41771.0</v>
      </c>
      <c r="I4" s="38">
        <v>0.4737</v>
      </c>
      <c r="J4" s="38">
        <v>0.336</v>
      </c>
      <c r="K4" s="38">
        <v>0.0</v>
      </c>
      <c r="L4" s="38">
        <v>1.0</v>
      </c>
      <c r="M4" s="37" t="s">
        <v>364</v>
      </c>
    </row>
    <row r="5">
      <c r="A5" s="37" t="s">
        <v>38</v>
      </c>
      <c r="B5" s="37" t="s">
        <v>137</v>
      </c>
      <c r="C5" s="37" t="s">
        <v>51</v>
      </c>
      <c r="D5" s="38">
        <v>1.0</v>
      </c>
      <c r="E5" s="38">
        <v>4.0</v>
      </c>
      <c r="F5" s="38">
        <v>8.0</v>
      </c>
      <c r="G5" s="38">
        <v>5.0</v>
      </c>
      <c r="H5" s="38">
        <v>41771.0</v>
      </c>
      <c r="I5" s="38">
        <v>0.6049</v>
      </c>
      <c r="J5" s="38">
        <v>0.9597</v>
      </c>
      <c r="K5" s="38">
        <v>0.0023</v>
      </c>
      <c r="L5" s="38">
        <v>1.0</v>
      </c>
      <c r="M5" s="37" t="s">
        <v>364</v>
      </c>
    </row>
    <row r="6">
      <c r="A6" s="37" t="s">
        <v>38</v>
      </c>
      <c r="B6" s="37" t="s">
        <v>137</v>
      </c>
      <c r="C6" s="37" t="s">
        <v>51</v>
      </c>
      <c r="D6" s="38">
        <v>1.0</v>
      </c>
      <c r="E6" s="38">
        <v>5.0</v>
      </c>
      <c r="F6" s="38">
        <v>8.0</v>
      </c>
      <c r="G6" s="38">
        <v>5.0</v>
      </c>
      <c r="H6" s="38">
        <v>41771.0</v>
      </c>
      <c r="I6" s="38">
        <v>0.7301</v>
      </c>
      <c r="J6" s="38">
        <v>1.0</v>
      </c>
      <c r="K6" s="38">
        <v>0.3989</v>
      </c>
      <c r="L6" s="38">
        <v>1.0</v>
      </c>
      <c r="M6" s="37" t="s">
        <v>364</v>
      </c>
    </row>
    <row r="7">
      <c r="A7" s="37" t="s">
        <v>38</v>
      </c>
      <c r="B7" s="37" t="s">
        <v>137</v>
      </c>
      <c r="C7" s="37" t="s">
        <v>51</v>
      </c>
      <c r="D7" s="38">
        <v>1.0</v>
      </c>
      <c r="E7" s="38">
        <v>6.0</v>
      </c>
      <c r="F7" s="38">
        <v>8.0</v>
      </c>
      <c r="G7" s="38">
        <v>5.0</v>
      </c>
      <c r="H7" s="38">
        <v>41771.0</v>
      </c>
      <c r="I7" s="38">
        <v>0.8468</v>
      </c>
      <c r="J7" s="38">
        <v>1.0</v>
      </c>
      <c r="K7" s="38">
        <v>0.9985</v>
      </c>
      <c r="L7" s="38">
        <v>1.0</v>
      </c>
      <c r="M7" s="37" t="s">
        <v>364</v>
      </c>
    </row>
    <row r="8">
      <c r="A8" s="37" t="s">
        <v>38</v>
      </c>
      <c r="B8" s="37" t="s">
        <v>137</v>
      </c>
      <c r="C8" s="37" t="s">
        <v>51</v>
      </c>
      <c r="D8" s="38">
        <v>1.0</v>
      </c>
      <c r="E8" s="38">
        <v>7.0</v>
      </c>
      <c r="F8" s="38">
        <v>8.0</v>
      </c>
      <c r="G8" s="38">
        <v>5.0</v>
      </c>
      <c r="H8" s="38">
        <v>41771.0</v>
      </c>
      <c r="I8" s="38">
        <v>0.9883</v>
      </c>
      <c r="J8" s="38">
        <v>1.0</v>
      </c>
      <c r="K8" s="38">
        <v>1.0</v>
      </c>
      <c r="L8" s="38">
        <v>1.0</v>
      </c>
      <c r="M8" s="37" t="s">
        <v>364</v>
      </c>
    </row>
    <row r="9">
      <c r="A9" s="37" t="s">
        <v>38</v>
      </c>
      <c r="B9" s="37" t="s">
        <v>137</v>
      </c>
      <c r="C9" s="37" t="s">
        <v>51</v>
      </c>
      <c r="D9" s="38">
        <v>1.0</v>
      </c>
      <c r="E9" s="38">
        <v>8.0</v>
      </c>
      <c r="F9" s="38">
        <v>8.0</v>
      </c>
      <c r="G9" s="38">
        <v>5.0</v>
      </c>
      <c r="H9" s="38">
        <v>41771.0</v>
      </c>
      <c r="I9" s="38">
        <v>0.9977</v>
      </c>
      <c r="J9" s="38">
        <v>1.0</v>
      </c>
      <c r="K9" s="38">
        <v>1.0</v>
      </c>
      <c r="L9" s="38">
        <v>1.0</v>
      </c>
      <c r="M9" s="37" t="s">
        <v>364</v>
      </c>
    </row>
    <row r="10">
      <c r="A10" s="37" t="s">
        <v>38</v>
      </c>
      <c r="B10" s="37" t="s">
        <v>339</v>
      </c>
      <c r="C10" s="37" t="s">
        <v>51</v>
      </c>
      <c r="D10" s="38">
        <v>1.0</v>
      </c>
      <c r="E10" s="38">
        <v>1.0</v>
      </c>
      <c r="F10" s="38">
        <v>8.0</v>
      </c>
      <c r="G10" s="38">
        <v>2.0</v>
      </c>
      <c r="H10" s="38">
        <v>32964.0</v>
      </c>
      <c r="I10" s="38">
        <v>0.173</v>
      </c>
      <c r="J10" s="38">
        <v>0.0</v>
      </c>
      <c r="K10" s="38">
        <v>0.0</v>
      </c>
      <c r="L10" s="38">
        <v>0.0062</v>
      </c>
      <c r="M10" s="37" t="s">
        <v>364</v>
      </c>
    </row>
    <row r="11">
      <c r="A11" s="37" t="s">
        <v>38</v>
      </c>
      <c r="B11" s="37" t="s">
        <v>339</v>
      </c>
      <c r="C11" s="37" t="s">
        <v>51</v>
      </c>
      <c r="D11" s="38">
        <v>1.0</v>
      </c>
      <c r="E11" s="38">
        <v>2.0</v>
      </c>
      <c r="F11" s="38">
        <v>8.0</v>
      </c>
      <c r="G11" s="38">
        <v>2.0</v>
      </c>
      <c r="H11" s="38">
        <v>32964.0</v>
      </c>
      <c r="I11" s="38">
        <v>0.3289</v>
      </c>
      <c r="J11" s="38">
        <v>8.0E-4</v>
      </c>
      <c r="K11" s="38">
        <v>0.0</v>
      </c>
      <c r="L11" s="38">
        <v>0.9837</v>
      </c>
      <c r="M11" s="37" t="s">
        <v>364</v>
      </c>
    </row>
    <row r="12">
      <c r="A12" s="37" t="s">
        <v>38</v>
      </c>
      <c r="B12" s="37" t="s">
        <v>339</v>
      </c>
      <c r="C12" s="37" t="s">
        <v>51</v>
      </c>
      <c r="D12" s="38">
        <v>1.0</v>
      </c>
      <c r="E12" s="38">
        <v>3.0</v>
      </c>
      <c r="F12" s="38">
        <v>8.0</v>
      </c>
      <c r="G12" s="38">
        <v>2.0</v>
      </c>
      <c r="H12" s="38">
        <v>32964.0</v>
      </c>
      <c r="I12" s="38">
        <v>0.4684</v>
      </c>
      <c r="J12" s="38">
        <v>0.3027</v>
      </c>
      <c r="K12" s="38">
        <v>0.0</v>
      </c>
      <c r="L12" s="38">
        <v>1.0</v>
      </c>
      <c r="M12" s="37" t="s">
        <v>364</v>
      </c>
    </row>
    <row r="13">
      <c r="A13" s="37" t="s">
        <v>38</v>
      </c>
      <c r="B13" s="37" t="s">
        <v>339</v>
      </c>
      <c r="C13" s="37" t="s">
        <v>51</v>
      </c>
      <c r="D13" s="38">
        <v>1.0</v>
      </c>
      <c r="E13" s="38">
        <v>4.0</v>
      </c>
      <c r="F13" s="38">
        <v>8.0</v>
      </c>
      <c r="G13" s="38">
        <v>2.0</v>
      </c>
      <c r="H13" s="38">
        <v>32964.0</v>
      </c>
      <c r="I13" s="38">
        <v>0.5976</v>
      </c>
      <c r="J13" s="38">
        <v>0.959</v>
      </c>
      <c r="K13" s="38">
        <v>6.0E-4</v>
      </c>
      <c r="L13" s="38">
        <v>1.0</v>
      </c>
      <c r="M13" s="37" t="s">
        <v>364</v>
      </c>
    </row>
    <row r="14">
      <c r="A14" s="37" t="s">
        <v>38</v>
      </c>
      <c r="B14" s="37" t="s">
        <v>339</v>
      </c>
      <c r="C14" s="37" t="s">
        <v>51</v>
      </c>
      <c r="D14" s="38">
        <v>1.0</v>
      </c>
      <c r="E14" s="38">
        <v>5.0</v>
      </c>
      <c r="F14" s="38">
        <v>8.0</v>
      </c>
      <c r="G14" s="38">
        <v>2.0</v>
      </c>
      <c r="H14" s="38">
        <v>32964.0</v>
      </c>
      <c r="I14" s="38">
        <v>0.7259</v>
      </c>
      <c r="J14" s="38">
        <v>1.0</v>
      </c>
      <c r="K14" s="38">
        <v>0.3518</v>
      </c>
      <c r="L14" s="38">
        <v>1.0</v>
      </c>
      <c r="M14" s="37" t="s">
        <v>364</v>
      </c>
    </row>
    <row r="15">
      <c r="A15" s="37" t="s">
        <v>38</v>
      </c>
      <c r="B15" s="37" t="s">
        <v>339</v>
      </c>
      <c r="C15" s="37" t="s">
        <v>51</v>
      </c>
      <c r="D15" s="38">
        <v>1.0</v>
      </c>
      <c r="E15" s="38">
        <v>6.0</v>
      </c>
      <c r="F15" s="38">
        <v>8.0</v>
      </c>
      <c r="G15" s="38">
        <v>2.0</v>
      </c>
      <c r="H15" s="38">
        <v>32964.0</v>
      </c>
      <c r="I15" s="38">
        <v>0.8452</v>
      </c>
      <c r="J15" s="38">
        <v>1.0</v>
      </c>
      <c r="K15" s="38">
        <v>0.9983</v>
      </c>
      <c r="L15" s="38">
        <v>1.0</v>
      </c>
      <c r="M15" s="37" t="s">
        <v>364</v>
      </c>
    </row>
    <row r="16">
      <c r="A16" s="37" t="s">
        <v>38</v>
      </c>
      <c r="B16" s="37" t="s">
        <v>339</v>
      </c>
      <c r="C16" s="37" t="s">
        <v>51</v>
      </c>
      <c r="D16" s="38">
        <v>1.0</v>
      </c>
      <c r="E16" s="38">
        <v>7.0</v>
      </c>
      <c r="F16" s="38">
        <v>8.0</v>
      </c>
      <c r="G16" s="38">
        <v>2.0</v>
      </c>
      <c r="H16" s="38">
        <v>32964.0</v>
      </c>
      <c r="I16" s="38">
        <v>0.9877</v>
      </c>
      <c r="J16" s="38">
        <v>1.0</v>
      </c>
      <c r="K16" s="38">
        <v>1.0</v>
      </c>
      <c r="L16" s="38">
        <v>1.0</v>
      </c>
      <c r="M16" s="37" t="s">
        <v>364</v>
      </c>
    </row>
    <row r="17">
      <c r="A17" s="37" t="s">
        <v>38</v>
      </c>
      <c r="B17" s="37" t="s">
        <v>339</v>
      </c>
      <c r="C17" s="37" t="s">
        <v>51</v>
      </c>
      <c r="D17" s="38">
        <v>1.0</v>
      </c>
      <c r="E17" s="38">
        <v>8.0</v>
      </c>
      <c r="F17" s="38">
        <v>8.0</v>
      </c>
      <c r="G17" s="38">
        <v>2.0</v>
      </c>
      <c r="H17" s="38">
        <v>32964.0</v>
      </c>
      <c r="I17" s="38">
        <v>0.9986</v>
      </c>
      <c r="J17" s="38">
        <v>1.0</v>
      </c>
      <c r="K17" s="38">
        <v>1.0</v>
      </c>
      <c r="L17" s="38">
        <v>1.0</v>
      </c>
      <c r="M17" s="37" t="s">
        <v>364</v>
      </c>
    </row>
    <row r="18">
      <c r="A18" s="37" t="s">
        <v>38</v>
      </c>
      <c r="B18" s="37" t="s">
        <v>137</v>
      </c>
      <c r="C18" s="37" t="s">
        <v>52</v>
      </c>
      <c r="D18" s="38">
        <v>2.0</v>
      </c>
      <c r="E18" s="38">
        <v>1.0</v>
      </c>
      <c r="F18" s="38">
        <v>8.0</v>
      </c>
      <c r="G18" s="38">
        <v>12.0</v>
      </c>
      <c r="H18" s="38">
        <v>46180.0</v>
      </c>
      <c r="I18" s="38">
        <v>0.1789</v>
      </c>
      <c r="J18" s="38">
        <v>0.0</v>
      </c>
      <c r="K18" s="38">
        <v>0.0</v>
      </c>
      <c r="L18" s="38">
        <v>0.1015</v>
      </c>
      <c r="M18" s="37" t="s">
        <v>364</v>
      </c>
    </row>
    <row r="19">
      <c r="A19" s="37" t="s">
        <v>38</v>
      </c>
      <c r="B19" s="37" t="s">
        <v>137</v>
      </c>
      <c r="C19" s="37" t="s">
        <v>52</v>
      </c>
      <c r="D19" s="38">
        <v>2.0</v>
      </c>
      <c r="E19" s="38">
        <v>2.0</v>
      </c>
      <c r="F19" s="38">
        <v>8.0</v>
      </c>
      <c r="G19" s="38">
        <v>12.0</v>
      </c>
      <c r="H19" s="38">
        <v>46180.0</v>
      </c>
      <c r="I19" s="38">
        <v>0.3324</v>
      </c>
      <c r="J19" s="38">
        <v>0.0342</v>
      </c>
      <c r="K19" s="38">
        <v>0.0</v>
      </c>
      <c r="L19" s="38">
        <v>0.8475</v>
      </c>
      <c r="M19" s="37" t="s">
        <v>364</v>
      </c>
    </row>
    <row r="20">
      <c r="A20" s="37" t="s">
        <v>38</v>
      </c>
      <c r="B20" s="37" t="s">
        <v>137</v>
      </c>
      <c r="C20" s="37" t="s">
        <v>52</v>
      </c>
      <c r="D20" s="38">
        <v>2.0</v>
      </c>
      <c r="E20" s="38">
        <v>3.0</v>
      </c>
      <c r="F20" s="38">
        <v>8.0</v>
      </c>
      <c r="G20" s="38">
        <v>12.0</v>
      </c>
      <c r="H20" s="38">
        <v>46180.0</v>
      </c>
      <c r="I20" s="38">
        <v>0.4655</v>
      </c>
      <c r="J20" s="38">
        <v>0.3678</v>
      </c>
      <c r="K20" s="38">
        <v>0.0</v>
      </c>
      <c r="L20" s="38">
        <v>1.0</v>
      </c>
      <c r="M20" s="37" t="s">
        <v>364</v>
      </c>
    </row>
    <row r="21">
      <c r="A21" s="37" t="s">
        <v>38</v>
      </c>
      <c r="B21" s="37" t="s">
        <v>137</v>
      </c>
      <c r="C21" s="37" t="s">
        <v>52</v>
      </c>
      <c r="D21" s="38">
        <v>2.0</v>
      </c>
      <c r="E21" s="38">
        <v>4.0</v>
      </c>
      <c r="F21" s="38">
        <v>8.0</v>
      </c>
      <c r="G21" s="38">
        <v>12.0</v>
      </c>
      <c r="H21" s="38">
        <v>46180.0</v>
      </c>
      <c r="I21" s="38">
        <v>0.6005</v>
      </c>
      <c r="J21" s="38">
        <v>0.808</v>
      </c>
      <c r="K21" s="38">
        <v>0.0466</v>
      </c>
      <c r="L21" s="38">
        <v>1.0</v>
      </c>
      <c r="M21" s="37" t="s">
        <v>364</v>
      </c>
    </row>
    <row r="22">
      <c r="A22" s="37" t="s">
        <v>38</v>
      </c>
      <c r="B22" s="37" t="s">
        <v>137</v>
      </c>
      <c r="C22" s="37" t="s">
        <v>52</v>
      </c>
      <c r="D22" s="38">
        <v>2.0</v>
      </c>
      <c r="E22" s="38">
        <v>5.0</v>
      </c>
      <c r="F22" s="38">
        <v>8.0</v>
      </c>
      <c r="G22" s="38">
        <v>12.0</v>
      </c>
      <c r="H22" s="38">
        <v>46180.0</v>
      </c>
      <c r="I22" s="38">
        <v>0.7289</v>
      </c>
      <c r="J22" s="38">
        <v>0.9999</v>
      </c>
      <c r="K22" s="38">
        <v>0.4729</v>
      </c>
      <c r="L22" s="38">
        <v>1.0</v>
      </c>
      <c r="M22" s="37" t="s">
        <v>364</v>
      </c>
    </row>
    <row r="23">
      <c r="A23" s="37" t="s">
        <v>38</v>
      </c>
      <c r="B23" s="37" t="s">
        <v>137</v>
      </c>
      <c r="C23" s="37" t="s">
        <v>52</v>
      </c>
      <c r="D23" s="38">
        <v>2.0</v>
      </c>
      <c r="E23" s="38">
        <v>6.0</v>
      </c>
      <c r="F23" s="38">
        <v>8.0</v>
      </c>
      <c r="G23" s="38">
        <v>12.0</v>
      </c>
      <c r="H23" s="38">
        <v>46180.0</v>
      </c>
      <c r="I23" s="38">
        <v>0.8481</v>
      </c>
      <c r="J23" s="38">
        <v>1.0</v>
      </c>
      <c r="K23" s="38">
        <v>0.9305</v>
      </c>
      <c r="L23" s="38">
        <v>1.0</v>
      </c>
      <c r="M23" s="37" t="s">
        <v>364</v>
      </c>
    </row>
    <row r="24">
      <c r="A24" s="37" t="s">
        <v>38</v>
      </c>
      <c r="B24" s="37" t="s">
        <v>137</v>
      </c>
      <c r="C24" s="37" t="s">
        <v>52</v>
      </c>
      <c r="D24" s="38">
        <v>2.0</v>
      </c>
      <c r="E24" s="38">
        <v>7.0</v>
      </c>
      <c r="F24" s="38">
        <v>8.0</v>
      </c>
      <c r="G24" s="38">
        <v>12.0</v>
      </c>
      <c r="H24" s="38">
        <v>46180.0</v>
      </c>
      <c r="I24" s="38">
        <v>0.9883</v>
      </c>
      <c r="J24" s="38">
        <v>1.0</v>
      </c>
      <c r="K24" s="38">
        <v>1.0</v>
      </c>
      <c r="L24" s="38">
        <v>1.0</v>
      </c>
      <c r="M24" s="37" t="s">
        <v>364</v>
      </c>
    </row>
    <row r="25">
      <c r="A25" s="37" t="s">
        <v>38</v>
      </c>
      <c r="B25" s="37" t="s">
        <v>137</v>
      </c>
      <c r="C25" s="37" t="s">
        <v>52</v>
      </c>
      <c r="D25" s="38">
        <v>2.0</v>
      </c>
      <c r="E25" s="38">
        <v>8.0</v>
      </c>
      <c r="F25" s="38">
        <v>8.0</v>
      </c>
      <c r="G25" s="38">
        <v>12.0</v>
      </c>
      <c r="H25" s="38">
        <v>46180.0</v>
      </c>
      <c r="I25" s="38">
        <v>0.9986</v>
      </c>
      <c r="J25" s="38">
        <v>1.0</v>
      </c>
      <c r="K25" s="38">
        <v>1.0</v>
      </c>
      <c r="L25" s="38">
        <v>1.0</v>
      </c>
      <c r="M25" s="37" t="s">
        <v>364</v>
      </c>
    </row>
    <row r="26">
      <c r="A26" s="37" t="s">
        <v>38</v>
      </c>
      <c r="B26" s="37" t="s">
        <v>339</v>
      </c>
      <c r="C26" s="37" t="s">
        <v>52</v>
      </c>
      <c r="D26" s="38">
        <v>2.0</v>
      </c>
      <c r="E26" s="38">
        <v>1.0</v>
      </c>
      <c r="F26" s="38">
        <v>8.0</v>
      </c>
      <c r="G26" s="38">
        <v>2.0</v>
      </c>
      <c r="H26" s="38">
        <v>29832.0</v>
      </c>
      <c r="I26" s="38">
        <v>0.1653</v>
      </c>
      <c r="J26" s="38">
        <v>0.0</v>
      </c>
      <c r="K26" s="38">
        <v>0.0</v>
      </c>
      <c r="L26" s="38">
        <v>0.0537</v>
      </c>
      <c r="M26" s="37" t="s">
        <v>364</v>
      </c>
    </row>
    <row r="27">
      <c r="A27" s="37" t="s">
        <v>38</v>
      </c>
      <c r="B27" s="37" t="s">
        <v>339</v>
      </c>
      <c r="C27" s="37" t="s">
        <v>52</v>
      </c>
      <c r="D27" s="38">
        <v>2.0</v>
      </c>
      <c r="E27" s="38">
        <v>2.0</v>
      </c>
      <c r="F27" s="38">
        <v>8.0</v>
      </c>
      <c r="G27" s="38">
        <v>2.0</v>
      </c>
      <c r="H27" s="38">
        <v>29832.0</v>
      </c>
      <c r="I27" s="38">
        <v>0.3212</v>
      </c>
      <c r="J27" s="38">
        <v>0.0133</v>
      </c>
      <c r="K27" s="38">
        <v>0.0</v>
      </c>
      <c r="L27" s="38">
        <v>0.804</v>
      </c>
      <c r="M27" s="37" t="s">
        <v>364</v>
      </c>
    </row>
    <row r="28">
      <c r="A28" s="37" t="s">
        <v>38</v>
      </c>
      <c r="B28" s="37" t="s">
        <v>339</v>
      </c>
      <c r="C28" s="37" t="s">
        <v>52</v>
      </c>
      <c r="D28" s="38">
        <v>2.0</v>
      </c>
      <c r="E28" s="38">
        <v>3.0</v>
      </c>
      <c r="F28" s="38">
        <v>8.0</v>
      </c>
      <c r="G28" s="38">
        <v>2.0</v>
      </c>
      <c r="H28" s="38">
        <v>29832.0</v>
      </c>
      <c r="I28" s="38">
        <v>0.4607</v>
      </c>
      <c r="J28" s="38">
        <v>0.3525</v>
      </c>
      <c r="K28" s="38">
        <v>0.0</v>
      </c>
      <c r="L28" s="38">
        <v>1.0</v>
      </c>
      <c r="M28" s="37" t="s">
        <v>364</v>
      </c>
    </row>
    <row r="29">
      <c r="A29" s="37" t="s">
        <v>38</v>
      </c>
      <c r="B29" s="37" t="s">
        <v>339</v>
      </c>
      <c r="C29" s="37" t="s">
        <v>52</v>
      </c>
      <c r="D29" s="38">
        <v>2.0</v>
      </c>
      <c r="E29" s="38">
        <v>4.0</v>
      </c>
      <c r="F29" s="38">
        <v>8.0</v>
      </c>
      <c r="G29" s="38">
        <v>2.0</v>
      </c>
      <c r="H29" s="38">
        <v>29832.0</v>
      </c>
      <c r="I29" s="38">
        <v>0.5954</v>
      </c>
      <c r="J29" s="38">
        <v>0.812</v>
      </c>
      <c r="K29" s="38">
        <v>0.0261</v>
      </c>
      <c r="L29" s="38">
        <v>1.0</v>
      </c>
      <c r="M29" s="37" t="s">
        <v>364</v>
      </c>
    </row>
    <row r="30">
      <c r="A30" s="37" t="s">
        <v>38</v>
      </c>
      <c r="B30" s="37" t="s">
        <v>339</v>
      </c>
      <c r="C30" s="37" t="s">
        <v>52</v>
      </c>
      <c r="D30" s="38">
        <v>2.0</v>
      </c>
      <c r="E30" s="38">
        <v>5.0</v>
      </c>
      <c r="F30" s="38">
        <v>8.0</v>
      </c>
      <c r="G30" s="38">
        <v>2.0</v>
      </c>
      <c r="H30" s="38">
        <v>29832.0</v>
      </c>
      <c r="I30" s="38">
        <v>0.7244</v>
      </c>
      <c r="J30" s="38">
        <v>0.9999</v>
      </c>
      <c r="K30" s="38">
        <v>0.4377</v>
      </c>
      <c r="L30" s="38">
        <v>1.0</v>
      </c>
      <c r="M30" s="37" t="s">
        <v>364</v>
      </c>
    </row>
    <row r="31">
      <c r="A31" s="37" t="s">
        <v>38</v>
      </c>
      <c r="B31" s="37" t="s">
        <v>339</v>
      </c>
      <c r="C31" s="37" t="s">
        <v>52</v>
      </c>
      <c r="D31" s="38">
        <v>2.0</v>
      </c>
      <c r="E31" s="38">
        <v>6.0</v>
      </c>
      <c r="F31" s="38">
        <v>8.0</v>
      </c>
      <c r="G31" s="38">
        <v>2.0</v>
      </c>
      <c r="H31" s="38">
        <v>29832.0</v>
      </c>
      <c r="I31" s="38">
        <v>0.8492</v>
      </c>
      <c r="J31" s="38">
        <v>1.0</v>
      </c>
      <c r="K31" s="38">
        <v>0.9588</v>
      </c>
      <c r="L31" s="38">
        <v>1.0</v>
      </c>
      <c r="M31" s="37" t="s">
        <v>364</v>
      </c>
    </row>
    <row r="32">
      <c r="A32" s="37" t="s">
        <v>38</v>
      </c>
      <c r="B32" s="37" t="s">
        <v>339</v>
      </c>
      <c r="C32" s="37" t="s">
        <v>52</v>
      </c>
      <c r="D32" s="38">
        <v>2.0</v>
      </c>
      <c r="E32" s="38">
        <v>7.0</v>
      </c>
      <c r="F32" s="38">
        <v>8.0</v>
      </c>
      <c r="G32" s="38">
        <v>2.0</v>
      </c>
      <c r="H32" s="38">
        <v>29832.0</v>
      </c>
      <c r="I32" s="38">
        <v>0.9868</v>
      </c>
      <c r="J32" s="38">
        <v>1.0</v>
      </c>
      <c r="K32" s="38">
        <v>1.0</v>
      </c>
      <c r="L32" s="38">
        <v>1.0</v>
      </c>
      <c r="M32" s="37" t="s">
        <v>364</v>
      </c>
    </row>
    <row r="33">
      <c r="A33" s="37" t="s">
        <v>38</v>
      </c>
      <c r="B33" s="37" t="s">
        <v>339</v>
      </c>
      <c r="C33" s="37" t="s">
        <v>52</v>
      </c>
      <c r="D33" s="38">
        <v>2.0</v>
      </c>
      <c r="E33" s="38">
        <v>8.0</v>
      </c>
      <c r="F33" s="38">
        <v>8.0</v>
      </c>
      <c r="G33" s="38">
        <v>2.0</v>
      </c>
      <c r="H33" s="38">
        <v>29832.0</v>
      </c>
      <c r="I33" s="38">
        <v>0.9982</v>
      </c>
      <c r="J33" s="38">
        <v>1.0</v>
      </c>
      <c r="K33" s="38">
        <v>1.0</v>
      </c>
      <c r="L33" s="38">
        <v>1.0</v>
      </c>
      <c r="M33" s="37" t="s">
        <v>364</v>
      </c>
    </row>
    <row r="34">
      <c r="A34" s="37" t="s">
        <v>38</v>
      </c>
      <c r="B34" s="37" t="s">
        <v>137</v>
      </c>
      <c r="C34" s="37" t="s">
        <v>53</v>
      </c>
      <c r="D34" s="38">
        <v>3.0</v>
      </c>
      <c r="E34" s="38">
        <v>1.0</v>
      </c>
      <c r="F34" s="38">
        <v>8.0</v>
      </c>
      <c r="G34" s="38">
        <v>54.0</v>
      </c>
      <c r="H34" s="38">
        <v>33084.0</v>
      </c>
      <c r="I34" s="38">
        <v>0.1763</v>
      </c>
      <c r="J34" s="38">
        <v>0.0</v>
      </c>
      <c r="K34" s="38">
        <v>0.0</v>
      </c>
      <c r="L34" s="38">
        <v>0.1521</v>
      </c>
      <c r="M34" s="37" t="s">
        <v>364</v>
      </c>
    </row>
    <row r="35">
      <c r="A35" s="37" t="s">
        <v>38</v>
      </c>
      <c r="B35" s="37" t="s">
        <v>137</v>
      </c>
      <c r="C35" s="37" t="s">
        <v>53</v>
      </c>
      <c r="D35" s="38">
        <v>3.0</v>
      </c>
      <c r="E35" s="38">
        <v>2.0</v>
      </c>
      <c r="F35" s="38">
        <v>8.0</v>
      </c>
      <c r="G35" s="38">
        <v>54.0</v>
      </c>
      <c r="H35" s="38">
        <v>33084.0</v>
      </c>
      <c r="I35" s="38">
        <v>0.3235</v>
      </c>
      <c r="J35" s="38">
        <v>0.0888</v>
      </c>
      <c r="K35" s="38">
        <v>0.0</v>
      </c>
      <c r="L35" s="38">
        <v>0.6665</v>
      </c>
      <c r="M35" s="37" t="s">
        <v>364</v>
      </c>
    </row>
    <row r="36">
      <c r="A36" s="37" t="s">
        <v>38</v>
      </c>
      <c r="B36" s="37" t="s">
        <v>137</v>
      </c>
      <c r="C36" s="37" t="s">
        <v>53</v>
      </c>
      <c r="D36" s="38">
        <v>3.0</v>
      </c>
      <c r="E36" s="38">
        <v>3.0</v>
      </c>
      <c r="F36" s="38">
        <v>8.0</v>
      </c>
      <c r="G36" s="38">
        <v>54.0</v>
      </c>
      <c r="H36" s="38">
        <v>33084.0</v>
      </c>
      <c r="I36" s="38">
        <v>0.4556</v>
      </c>
      <c r="J36" s="38">
        <v>0.378</v>
      </c>
      <c r="K36" s="38">
        <v>2.0E-4</v>
      </c>
      <c r="L36" s="38">
        <v>0.9933</v>
      </c>
      <c r="M36" s="37" t="s">
        <v>364</v>
      </c>
    </row>
    <row r="37">
      <c r="A37" s="37" t="s">
        <v>38</v>
      </c>
      <c r="B37" s="37" t="s">
        <v>137</v>
      </c>
      <c r="C37" s="37" t="s">
        <v>53</v>
      </c>
      <c r="D37" s="38">
        <v>3.0</v>
      </c>
      <c r="E37" s="38">
        <v>4.0</v>
      </c>
      <c r="F37" s="38">
        <v>8.0</v>
      </c>
      <c r="G37" s="38">
        <v>54.0</v>
      </c>
      <c r="H37" s="38">
        <v>33084.0</v>
      </c>
      <c r="I37" s="38">
        <v>0.5874</v>
      </c>
      <c r="J37" s="38">
        <v>0.6815</v>
      </c>
      <c r="K37" s="38">
        <v>0.1179</v>
      </c>
      <c r="L37" s="38">
        <v>1.0</v>
      </c>
      <c r="M37" s="37" t="s">
        <v>364</v>
      </c>
    </row>
    <row r="38">
      <c r="A38" s="37" t="s">
        <v>38</v>
      </c>
      <c r="B38" s="37" t="s">
        <v>137</v>
      </c>
      <c r="C38" s="37" t="s">
        <v>53</v>
      </c>
      <c r="D38" s="38">
        <v>3.0</v>
      </c>
      <c r="E38" s="38">
        <v>5.0</v>
      </c>
      <c r="F38" s="38">
        <v>8.0</v>
      </c>
      <c r="G38" s="38">
        <v>54.0</v>
      </c>
      <c r="H38" s="38">
        <v>33084.0</v>
      </c>
      <c r="I38" s="38">
        <v>0.7187</v>
      </c>
      <c r="J38" s="38">
        <v>0.9712</v>
      </c>
      <c r="K38" s="38">
        <v>0.4874</v>
      </c>
      <c r="L38" s="38">
        <v>1.0</v>
      </c>
      <c r="M38" s="37" t="s">
        <v>364</v>
      </c>
    </row>
    <row r="39">
      <c r="A39" s="37" t="s">
        <v>38</v>
      </c>
      <c r="B39" s="37" t="s">
        <v>137</v>
      </c>
      <c r="C39" s="37" t="s">
        <v>53</v>
      </c>
      <c r="D39" s="38">
        <v>3.0</v>
      </c>
      <c r="E39" s="38">
        <v>6.0</v>
      </c>
      <c r="F39" s="38">
        <v>8.0</v>
      </c>
      <c r="G39" s="38">
        <v>54.0</v>
      </c>
      <c r="H39" s="38">
        <v>33084.0</v>
      </c>
      <c r="I39" s="38">
        <v>0.845</v>
      </c>
      <c r="J39" s="38">
        <v>1.0</v>
      </c>
      <c r="K39" s="38">
        <v>0.8512</v>
      </c>
      <c r="L39" s="38">
        <v>1.0</v>
      </c>
      <c r="M39" s="37" t="s">
        <v>364</v>
      </c>
    </row>
    <row r="40">
      <c r="A40" s="37" t="s">
        <v>38</v>
      </c>
      <c r="B40" s="37" t="s">
        <v>137</v>
      </c>
      <c r="C40" s="37" t="s">
        <v>53</v>
      </c>
      <c r="D40" s="38">
        <v>3.0</v>
      </c>
      <c r="E40" s="38">
        <v>7.0</v>
      </c>
      <c r="F40" s="38">
        <v>8.0</v>
      </c>
      <c r="G40" s="38">
        <v>54.0</v>
      </c>
      <c r="H40" s="38">
        <v>33084.0</v>
      </c>
      <c r="I40" s="38">
        <v>0.9857</v>
      </c>
      <c r="J40" s="38">
        <v>1.0</v>
      </c>
      <c r="K40" s="38">
        <v>1.0</v>
      </c>
      <c r="L40" s="38">
        <v>1.0</v>
      </c>
      <c r="M40" s="37" t="s">
        <v>364</v>
      </c>
    </row>
    <row r="41">
      <c r="A41" s="37" t="s">
        <v>38</v>
      </c>
      <c r="B41" s="37" t="s">
        <v>137</v>
      </c>
      <c r="C41" s="37" t="s">
        <v>53</v>
      </c>
      <c r="D41" s="38">
        <v>3.0</v>
      </c>
      <c r="E41" s="38">
        <v>8.0</v>
      </c>
      <c r="F41" s="38">
        <v>8.0</v>
      </c>
      <c r="G41" s="38">
        <v>54.0</v>
      </c>
      <c r="H41" s="38">
        <v>33084.0</v>
      </c>
      <c r="I41" s="38">
        <v>0.9983</v>
      </c>
      <c r="J41" s="38">
        <v>1.0</v>
      </c>
      <c r="K41" s="38">
        <v>1.0</v>
      </c>
      <c r="L41" s="38">
        <v>1.0</v>
      </c>
      <c r="M41" s="37" t="s">
        <v>364</v>
      </c>
    </row>
    <row r="42">
      <c r="A42" s="37" t="s">
        <v>38</v>
      </c>
      <c r="B42" s="37" t="s">
        <v>339</v>
      </c>
      <c r="C42" s="37" t="s">
        <v>53</v>
      </c>
      <c r="D42" s="38">
        <v>3.0</v>
      </c>
      <c r="E42" s="38">
        <v>1.0</v>
      </c>
      <c r="F42" s="38">
        <v>8.0</v>
      </c>
      <c r="G42" s="38">
        <v>46.0</v>
      </c>
      <c r="H42" s="38">
        <v>20897.0</v>
      </c>
      <c r="I42" s="38">
        <v>0.1637</v>
      </c>
      <c r="J42" s="38">
        <v>0.0</v>
      </c>
      <c r="K42" s="38">
        <v>0.0</v>
      </c>
      <c r="L42" s="38">
        <v>0.1155</v>
      </c>
      <c r="M42" s="37" t="s">
        <v>364</v>
      </c>
    </row>
    <row r="43">
      <c r="A43" s="37" t="s">
        <v>38</v>
      </c>
      <c r="B43" s="37" t="s">
        <v>339</v>
      </c>
      <c r="C43" s="37" t="s">
        <v>53</v>
      </c>
      <c r="D43" s="38">
        <v>3.0</v>
      </c>
      <c r="E43" s="38">
        <v>2.0</v>
      </c>
      <c r="F43" s="38">
        <v>8.0</v>
      </c>
      <c r="G43" s="38">
        <v>46.0</v>
      </c>
      <c r="H43" s="38">
        <v>20897.0</v>
      </c>
      <c r="I43" s="38">
        <v>0.31</v>
      </c>
      <c r="J43" s="38">
        <v>0.0449</v>
      </c>
      <c r="K43" s="38">
        <v>0.0</v>
      </c>
      <c r="L43" s="38">
        <v>0.6324</v>
      </c>
      <c r="M43" s="37" t="s">
        <v>364</v>
      </c>
    </row>
    <row r="44">
      <c r="A44" s="37" t="s">
        <v>38</v>
      </c>
      <c r="B44" s="37" t="s">
        <v>339</v>
      </c>
      <c r="C44" s="37" t="s">
        <v>53</v>
      </c>
      <c r="D44" s="38">
        <v>3.0</v>
      </c>
      <c r="E44" s="38">
        <v>3.0</v>
      </c>
      <c r="F44" s="38">
        <v>8.0</v>
      </c>
      <c r="G44" s="38">
        <v>46.0</v>
      </c>
      <c r="H44" s="38">
        <v>20897.0</v>
      </c>
      <c r="I44" s="38">
        <v>0.4467</v>
      </c>
      <c r="J44" s="38">
        <v>0.3502</v>
      </c>
      <c r="K44" s="38">
        <v>0.0</v>
      </c>
      <c r="L44" s="38">
        <v>0.9938</v>
      </c>
      <c r="M44" s="37" t="s">
        <v>364</v>
      </c>
    </row>
    <row r="45">
      <c r="A45" s="37" t="s">
        <v>38</v>
      </c>
      <c r="B45" s="37" t="s">
        <v>339</v>
      </c>
      <c r="C45" s="37" t="s">
        <v>53</v>
      </c>
      <c r="D45" s="38">
        <v>3.0</v>
      </c>
      <c r="E45" s="38">
        <v>4.0</v>
      </c>
      <c r="F45" s="38">
        <v>8.0</v>
      </c>
      <c r="G45" s="38">
        <v>46.0</v>
      </c>
      <c r="H45" s="38">
        <v>20897.0</v>
      </c>
      <c r="I45" s="38">
        <v>0.5855</v>
      </c>
      <c r="J45" s="38">
        <v>0.6983</v>
      </c>
      <c r="K45" s="38">
        <v>0.0784</v>
      </c>
      <c r="L45" s="38">
        <v>1.0</v>
      </c>
      <c r="M45" s="37" t="s">
        <v>364</v>
      </c>
    </row>
    <row r="46">
      <c r="A46" s="37" t="s">
        <v>38</v>
      </c>
      <c r="B46" s="37" t="s">
        <v>339</v>
      </c>
      <c r="C46" s="37" t="s">
        <v>53</v>
      </c>
      <c r="D46" s="38">
        <v>3.0</v>
      </c>
      <c r="E46" s="38">
        <v>5.0</v>
      </c>
      <c r="F46" s="38">
        <v>8.0</v>
      </c>
      <c r="G46" s="38">
        <v>46.0</v>
      </c>
      <c r="H46" s="38">
        <v>20897.0</v>
      </c>
      <c r="I46" s="38">
        <v>0.7197</v>
      </c>
      <c r="J46" s="38">
        <v>0.9871</v>
      </c>
      <c r="K46" s="38">
        <v>0.4718</v>
      </c>
      <c r="L46" s="38">
        <v>1.0</v>
      </c>
      <c r="M46" s="37" t="s">
        <v>364</v>
      </c>
    </row>
    <row r="47">
      <c r="A47" s="37" t="s">
        <v>38</v>
      </c>
      <c r="B47" s="37" t="s">
        <v>339</v>
      </c>
      <c r="C47" s="37" t="s">
        <v>53</v>
      </c>
      <c r="D47" s="38">
        <v>3.0</v>
      </c>
      <c r="E47" s="38">
        <v>6.0</v>
      </c>
      <c r="F47" s="38">
        <v>8.0</v>
      </c>
      <c r="G47" s="38">
        <v>46.0</v>
      </c>
      <c r="H47" s="38">
        <v>20897.0</v>
      </c>
      <c r="I47" s="38">
        <v>0.8473</v>
      </c>
      <c r="J47" s="38">
        <v>1.0</v>
      </c>
      <c r="K47" s="38">
        <v>0.8707</v>
      </c>
      <c r="L47" s="38">
        <v>1.0</v>
      </c>
      <c r="M47" s="37" t="s">
        <v>364</v>
      </c>
    </row>
    <row r="48">
      <c r="A48" s="37" t="s">
        <v>38</v>
      </c>
      <c r="B48" s="37" t="s">
        <v>339</v>
      </c>
      <c r="C48" s="37" t="s">
        <v>53</v>
      </c>
      <c r="D48" s="38">
        <v>3.0</v>
      </c>
      <c r="E48" s="38">
        <v>7.0</v>
      </c>
      <c r="F48" s="38">
        <v>8.0</v>
      </c>
      <c r="G48" s="38">
        <v>46.0</v>
      </c>
      <c r="H48" s="38">
        <v>20897.0</v>
      </c>
      <c r="I48" s="38">
        <v>0.9847</v>
      </c>
      <c r="J48" s="38">
        <v>1.0</v>
      </c>
      <c r="K48" s="38">
        <v>1.0</v>
      </c>
      <c r="L48" s="38">
        <v>1.0</v>
      </c>
      <c r="M48" s="37" t="s">
        <v>364</v>
      </c>
    </row>
    <row r="49">
      <c r="A49" s="37" t="s">
        <v>38</v>
      </c>
      <c r="B49" s="37" t="s">
        <v>339</v>
      </c>
      <c r="C49" s="37" t="s">
        <v>53</v>
      </c>
      <c r="D49" s="38">
        <v>3.0</v>
      </c>
      <c r="E49" s="38">
        <v>8.0</v>
      </c>
      <c r="F49" s="38">
        <v>8.0</v>
      </c>
      <c r="G49" s="38">
        <v>46.0</v>
      </c>
      <c r="H49" s="38">
        <v>20897.0</v>
      </c>
      <c r="I49" s="38">
        <v>0.9985</v>
      </c>
      <c r="J49" s="38">
        <v>1.0</v>
      </c>
      <c r="K49" s="38">
        <v>1.0</v>
      </c>
      <c r="L49" s="38">
        <v>1.0</v>
      </c>
      <c r="M49" s="37" t="s">
        <v>364</v>
      </c>
    </row>
    <row r="50">
      <c r="A50" s="37" t="s">
        <v>38</v>
      </c>
      <c r="B50" s="37" t="s">
        <v>137</v>
      </c>
      <c r="C50" s="37" t="s">
        <v>54</v>
      </c>
      <c r="D50" s="38">
        <v>4.0</v>
      </c>
      <c r="E50" s="38">
        <v>1.0</v>
      </c>
      <c r="F50" s="38">
        <v>8.0</v>
      </c>
      <c r="G50" s="38">
        <v>54.0</v>
      </c>
      <c r="H50" s="38">
        <v>16828.0</v>
      </c>
      <c r="I50" s="38">
        <v>0.1551</v>
      </c>
      <c r="J50" s="38">
        <v>0.0</v>
      </c>
      <c r="K50" s="38">
        <v>0.0</v>
      </c>
      <c r="L50" s="38">
        <v>0.1521</v>
      </c>
      <c r="M50" s="37" t="s">
        <v>364</v>
      </c>
    </row>
    <row r="51">
      <c r="A51" s="37" t="s">
        <v>38</v>
      </c>
      <c r="B51" s="37" t="s">
        <v>137</v>
      </c>
      <c r="C51" s="37" t="s">
        <v>54</v>
      </c>
      <c r="D51" s="38">
        <v>4.0</v>
      </c>
      <c r="E51" s="38">
        <v>2.0</v>
      </c>
      <c r="F51" s="38">
        <v>8.0</v>
      </c>
      <c r="G51" s="38">
        <v>54.0</v>
      </c>
      <c r="H51" s="38">
        <v>16828.0</v>
      </c>
      <c r="I51" s="38">
        <v>0.2904</v>
      </c>
      <c r="J51" s="38">
        <v>0.1281</v>
      </c>
      <c r="K51" s="38">
        <v>0.0</v>
      </c>
      <c r="L51" s="38">
        <v>0.479</v>
      </c>
      <c r="M51" s="37" t="s">
        <v>364</v>
      </c>
    </row>
    <row r="52">
      <c r="A52" s="37" t="s">
        <v>38</v>
      </c>
      <c r="B52" s="37" t="s">
        <v>137</v>
      </c>
      <c r="C52" s="37" t="s">
        <v>54</v>
      </c>
      <c r="D52" s="38">
        <v>4.0</v>
      </c>
      <c r="E52" s="38">
        <v>3.0</v>
      </c>
      <c r="F52" s="38">
        <v>8.0</v>
      </c>
      <c r="G52" s="38">
        <v>54.0</v>
      </c>
      <c r="H52" s="38">
        <v>16828.0</v>
      </c>
      <c r="I52" s="38">
        <v>0.4265</v>
      </c>
      <c r="J52" s="38">
        <v>0.3639</v>
      </c>
      <c r="K52" s="38">
        <v>0.0026</v>
      </c>
      <c r="L52" s="38">
        <v>0.816</v>
      </c>
      <c r="M52" s="37" t="s">
        <v>364</v>
      </c>
    </row>
    <row r="53">
      <c r="A53" s="37" t="s">
        <v>38</v>
      </c>
      <c r="B53" s="37" t="s">
        <v>137</v>
      </c>
      <c r="C53" s="37" t="s">
        <v>54</v>
      </c>
      <c r="D53" s="38">
        <v>4.0</v>
      </c>
      <c r="E53" s="38">
        <v>4.0</v>
      </c>
      <c r="F53" s="38">
        <v>8.0</v>
      </c>
      <c r="G53" s="38">
        <v>54.0</v>
      </c>
      <c r="H53" s="38">
        <v>16828.0</v>
      </c>
      <c r="I53" s="38">
        <v>0.566</v>
      </c>
      <c r="J53" s="38">
        <v>0.6053</v>
      </c>
      <c r="K53" s="38">
        <v>0.1876</v>
      </c>
      <c r="L53" s="38">
        <v>0.9997</v>
      </c>
      <c r="M53" s="37" t="s">
        <v>364</v>
      </c>
    </row>
    <row r="54">
      <c r="A54" s="37" t="s">
        <v>38</v>
      </c>
      <c r="B54" s="37" t="s">
        <v>137</v>
      </c>
      <c r="C54" s="37" t="s">
        <v>54</v>
      </c>
      <c r="D54" s="38">
        <v>4.0</v>
      </c>
      <c r="E54" s="38">
        <v>5.0</v>
      </c>
      <c r="F54" s="38">
        <v>8.0</v>
      </c>
      <c r="G54" s="38">
        <v>54.0</v>
      </c>
      <c r="H54" s="38">
        <v>16828.0</v>
      </c>
      <c r="I54" s="38">
        <v>0.7008</v>
      </c>
      <c r="J54" s="38">
        <v>0.8499</v>
      </c>
      <c r="K54" s="38">
        <v>0.4912</v>
      </c>
      <c r="L54" s="38">
        <v>1.0</v>
      </c>
      <c r="M54" s="37" t="s">
        <v>364</v>
      </c>
    </row>
    <row r="55">
      <c r="A55" s="37" t="s">
        <v>38</v>
      </c>
      <c r="B55" s="37" t="s">
        <v>137</v>
      </c>
      <c r="C55" s="37" t="s">
        <v>54</v>
      </c>
      <c r="D55" s="38">
        <v>4.0</v>
      </c>
      <c r="E55" s="38">
        <v>6.0</v>
      </c>
      <c r="F55" s="38">
        <v>8.0</v>
      </c>
      <c r="G55" s="38">
        <v>54.0</v>
      </c>
      <c r="H55" s="38">
        <v>16828.0</v>
      </c>
      <c r="I55" s="38">
        <v>0.8235</v>
      </c>
      <c r="J55" s="38">
        <v>0.9999</v>
      </c>
      <c r="K55" s="38">
        <v>0.7758</v>
      </c>
      <c r="L55" s="38">
        <v>1.0</v>
      </c>
      <c r="M55" s="37" t="s">
        <v>364</v>
      </c>
    </row>
    <row r="56">
      <c r="A56" s="37" t="s">
        <v>38</v>
      </c>
      <c r="B56" s="37" t="s">
        <v>137</v>
      </c>
      <c r="C56" s="37" t="s">
        <v>54</v>
      </c>
      <c r="D56" s="38">
        <v>4.0</v>
      </c>
      <c r="E56" s="38">
        <v>7.0</v>
      </c>
      <c r="F56" s="38">
        <v>8.0</v>
      </c>
      <c r="G56" s="38">
        <v>54.0</v>
      </c>
      <c r="H56" s="38">
        <v>16828.0</v>
      </c>
      <c r="I56" s="38">
        <v>0.978</v>
      </c>
      <c r="J56" s="38">
        <v>1.0</v>
      </c>
      <c r="K56" s="38">
        <v>1.0</v>
      </c>
      <c r="L56" s="38">
        <v>1.0</v>
      </c>
      <c r="M56" s="37" t="s">
        <v>364</v>
      </c>
    </row>
    <row r="57">
      <c r="A57" s="37" t="s">
        <v>38</v>
      </c>
      <c r="B57" s="37" t="s">
        <v>137</v>
      </c>
      <c r="C57" s="37" t="s">
        <v>54</v>
      </c>
      <c r="D57" s="38">
        <v>4.0</v>
      </c>
      <c r="E57" s="38">
        <v>8.0</v>
      </c>
      <c r="F57" s="38">
        <v>8.0</v>
      </c>
      <c r="G57" s="38">
        <v>54.0</v>
      </c>
      <c r="H57" s="38">
        <v>16828.0</v>
      </c>
      <c r="I57" s="38">
        <v>0.9983</v>
      </c>
      <c r="J57" s="38">
        <v>1.0</v>
      </c>
      <c r="K57" s="38">
        <v>1.0</v>
      </c>
      <c r="L57" s="38">
        <v>1.0</v>
      </c>
      <c r="M57" s="37" t="s">
        <v>364</v>
      </c>
    </row>
    <row r="58">
      <c r="A58" s="37" t="s">
        <v>38</v>
      </c>
      <c r="B58" s="37" t="s">
        <v>339</v>
      </c>
      <c r="C58" s="37" t="s">
        <v>54</v>
      </c>
      <c r="D58" s="38">
        <v>4.0</v>
      </c>
      <c r="E58" s="38">
        <v>1.0</v>
      </c>
      <c r="F58" s="38">
        <v>8.0</v>
      </c>
      <c r="G58" s="38">
        <v>54.0</v>
      </c>
      <c r="H58" s="38">
        <v>10691.0</v>
      </c>
      <c r="I58" s="38">
        <v>0.1524</v>
      </c>
      <c r="J58" s="38">
        <v>0.0</v>
      </c>
      <c r="K58" s="38">
        <v>0.0</v>
      </c>
      <c r="L58" s="38">
        <v>0.141</v>
      </c>
      <c r="M58" s="37" t="s">
        <v>364</v>
      </c>
    </row>
    <row r="59">
      <c r="A59" s="37" t="s">
        <v>38</v>
      </c>
      <c r="B59" s="37" t="s">
        <v>339</v>
      </c>
      <c r="C59" s="37" t="s">
        <v>54</v>
      </c>
      <c r="D59" s="38">
        <v>4.0</v>
      </c>
      <c r="E59" s="38">
        <v>2.0</v>
      </c>
      <c r="F59" s="38">
        <v>8.0</v>
      </c>
      <c r="G59" s="38">
        <v>54.0</v>
      </c>
      <c r="H59" s="38">
        <v>10691.0</v>
      </c>
      <c r="I59" s="38">
        <v>0.2855</v>
      </c>
      <c r="J59" s="38">
        <v>0.0901</v>
      </c>
      <c r="K59" s="38">
        <v>0.0</v>
      </c>
      <c r="L59" s="38">
        <v>0.4922</v>
      </c>
      <c r="M59" s="37" t="s">
        <v>364</v>
      </c>
    </row>
    <row r="60">
      <c r="A60" s="37" t="s">
        <v>38</v>
      </c>
      <c r="B60" s="37" t="s">
        <v>339</v>
      </c>
      <c r="C60" s="37" t="s">
        <v>54</v>
      </c>
      <c r="D60" s="38">
        <v>4.0</v>
      </c>
      <c r="E60" s="38">
        <v>3.0</v>
      </c>
      <c r="F60" s="38">
        <v>8.0</v>
      </c>
      <c r="G60" s="38">
        <v>54.0</v>
      </c>
      <c r="H60" s="38">
        <v>10691.0</v>
      </c>
      <c r="I60" s="38">
        <v>0.4234</v>
      </c>
      <c r="J60" s="38">
        <v>0.3428</v>
      </c>
      <c r="K60" s="38">
        <v>0.0</v>
      </c>
      <c r="L60" s="38">
        <v>0.8644</v>
      </c>
      <c r="M60" s="37" t="s">
        <v>364</v>
      </c>
    </row>
    <row r="61">
      <c r="A61" s="37" t="s">
        <v>38</v>
      </c>
      <c r="B61" s="37" t="s">
        <v>339</v>
      </c>
      <c r="C61" s="37" t="s">
        <v>54</v>
      </c>
      <c r="D61" s="38">
        <v>4.0</v>
      </c>
      <c r="E61" s="38">
        <v>4.0</v>
      </c>
      <c r="F61" s="38">
        <v>8.0</v>
      </c>
      <c r="G61" s="38">
        <v>54.0</v>
      </c>
      <c r="H61" s="38">
        <v>10691.0</v>
      </c>
      <c r="I61" s="38">
        <v>0.567</v>
      </c>
      <c r="J61" s="38">
        <v>0.6205</v>
      </c>
      <c r="K61" s="38">
        <v>0.1323</v>
      </c>
      <c r="L61" s="38">
        <v>0.9999</v>
      </c>
      <c r="M61" s="37" t="s">
        <v>364</v>
      </c>
    </row>
    <row r="62">
      <c r="A62" s="37" t="s">
        <v>38</v>
      </c>
      <c r="B62" s="37" t="s">
        <v>339</v>
      </c>
      <c r="C62" s="37" t="s">
        <v>54</v>
      </c>
      <c r="D62" s="38">
        <v>4.0</v>
      </c>
      <c r="E62" s="38">
        <v>5.0</v>
      </c>
      <c r="F62" s="38">
        <v>8.0</v>
      </c>
      <c r="G62" s="38">
        <v>54.0</v>
      </c>
      <c r="H62" s="38">
        <v>10691.0</v>
      </c>
      <c r="I62" s="38">
        <v>0.7066</v>
      </c>
      <c r="J62" s="38">
        <v>0.8947</v>
      </c>
      <c r="K62" s="38">
        <v>0.4918</v>
      </c>
      <c r="L62" s="38">
        <v>1.0</v>
      </c>
      <c r="M62" s="37" t="s">
        <v>364</v>
      </c>
    </row>
    <row r="63">
      <c r="A63" s="37" t="s">
        <v>38</v>
      </c>
      <c r="B63" s="37" t="s">
        <v>339</v>
      </c>
      <c r="C63" s="37" t="s">
        <v>54</v>
      </c>
      <c r="D63" s="38">
        <v>4.0</v>
      </c>
      <c r="E63" s="38">
        <v>6.0</v>
      </c>
      <c r="F63" s="38">
        <v>8.0</v>
      </c>
      <c r="G63" s="38">
        <v>54.0</v>
      </c>
      <c r="H63" s="38">
        <v>10691.0</v>
      </c>
      <c r="I63" s="38">
        <v>0.8369</v>
      </c>
      <c r="J63" s="38">
        <v>1.0</v>
      </c>
      <c r="K63" s="38">
        <v>0.8024</v>
      </c>
      <c r="L63" s="38">
        <v>1.0</v>
      </c>
      <c r="M63" s="37" t="s">
        <v>364</v>
      </c>
    </row>
    <row r="64">
      <c r="A64" s="37" t="s">
        <v>38</v>
      </c>
      <c r="B64" s="37" t="s">
        <v>339</v>
      </c>
      <c r="C64" s="37" t="s">
        <v>54</v>
      </c>
      <c r="D64" s="38">
        <v>4.0</v>
      </c>
      <c r="E64" s="38">
        <v>7.0</v>
      </c>
      <c r="F64" s="38">
        <v>8.0</v>
      </c>
      <c r="G64" s="38">
        <v>54.0</v>
      </c>
      <c r="H64" s="38">
        <v>10691.0</v>
      </c>
      <c r="I64" s="38">
        <v>0.9798</v>
      </c>
      <c r="J64" s="38">
        <v>1.0</v>
      </c>
      <c r="K64" s="38">
        <v>1.0</v>
      </c>
      <c r="L64" s="38">
        <v>1.0</v>
      </c>
      <c r="M64" s="37" t="s">
        <v>364</v>
      </c>
    </row>
    <row r="65">
      <c r="A65" s="37" t="s">
        <v>38</v>
      </c>
      <c r="B65" s="37" t="s">
        <v>339</v>
      </c>
      <c r="C65" s="37" t="s">
        <v>54</v>
      </c>
      <c r="D65" s="38">
        <v>4.0</v>
      </c>
      <c r="E65" s="38">
        <v>8.0</v>
      </c>
      <c r="F65" s="38">
        <v>8.0</v>
      </c>
      <c r="G65" s="38">
        <v>54.0</v>
      </c>
      <c r="H65" s="38">
        <v>10691.0</v>
      </c>
      <c r="I65" s="38">
        <v>0.9982</v>
      </c>
      <c r="J65" s="38">
        <v>1.0</v>
      </c>
      <c r="K65" s="38">
        <v>1.0</v>
      </c>
      <c r="L65" s="38">
        <v>1.0</v>
      </c>
      <c r="M65" s="37" t="s">
        <v>364</v>
      </c>
    </row>
    <row r="66">
      <c r="A66" s="37" t="s">
        <v>38</v>
      </c>
      <c r="B66" s="37" t="s">
        <v>137</v>
      </c>
      <c r="C66" s="37" t="s">
        <v>55</v>
      </c>
      <c r="D66" s="38">
        <v>5.0</v>
      </c>
      <c r="E66" s="38">
        <v>1.0</v>
      </c>
      <c r="F66" s="38">
        <v>8.0</v>
      </c>
      <c r="G66" s="38">
        <v>54.0</v>
      </c>
      <c r="H66" s="38">
        <v>3058.0</v>
      </c>
      <c r="I66" s="38">
        <v>0.1546</v>
      </c>
      <c r="J66" s="38">
        <v>0.0</v>
      </c>
      <c r="K66" s="38">
        <v>0.0</v>
      </c>
      <c r="L66" s="38">
        <v>0.1774</v>
      </c>
      <c r="M66" s="37" t="s">
        <v>364</v>
      </c>
    </row>
    <row r="67">
      <c r="A67" s="37" t="s">
        <v>38</v>
      </c>
      <c r="B67" s="37" t="s">
        <v>137</v>
      </c>
      <c r="C67" s="37" t="s">
        <v>55</v>
      </c>
      <c r="D67" s="38">
        <v>5.0</v>
      </c>
      <c r="E67" s="38">
        <v>2.0</v>
      </c>
      <c r="F67" s="38">
        <v>8.0</v>
      </c>
      <c r="G67" s="38">
        <v>54.0</v>
      </c>
      <c r="H67" s="38">
        <v>3058.0</v>
      </c>
      <c r="I67" s="38">
        <v>0.4018</v>
      </c>
      <c r="J67" s="38">
        <v>0.2972</v>
      </c>
      <c r="K67" s="38">
        <v>0.0</v>
      </c>
      <c r="L67" s="38">
        <v>0.7982</v>
      </c>
      <c r="M67" s="37" t="s">
        <v>364</v>
      </c>
    </row>
    <row r="68">
      <c r="A68" s="37" t="s">
        <v>38</v>
      </c>
      <c r="B68" s="37" t="s">
        <v>137</v>
      </c>
      <c r="C68" s="37" t="s">
        <v>55</v>
      </c>
      <c r="D68" s="38">
        <v>5.0</v>
      </c>
      <c r="E68" s="38">
        <v>3.0</v>
      </c>
      <c r="F68" s="38">
        <v>8.0</v>
      </c>
      <c r="G68" s="38">
        <v>54.0</v>
      </c>
      <c r="H68" s="38">
        <v>3058.0</v>
      </c>
      <c r="I68" s="38">
        <v>0.556</v>
      </c>
      <c r="J68" s="38">
        <v>0.5694</v>
      </c>
      <c r="K68" s="38">
        <v>0.1539</v>
      </c>
      <c r="L68" s="38">
        <v>1.0</v>
      </c>
      <c r="M68" s="37" t="s">
        <v>364</v>
      </c>
    </row>
    <row r="69">
      <c r="A69" s="37" t="s">
        <v>38</v>
      </c>
      <c r="B69" s="37" t="s">
        <v>137</v>
      </c>
      <c r="C69" s="37" t="s">
        <v>55</v>
      </c>
      <c r="D69" s="38">
        <v>5.0</v>
      </c>
      <c r="E69" s="38">
        <v>4.0</v>
      </c>
      <c r="F69" s="38">
        <v>8.0</v>
      </c>
      <c r="G69" s="38">
        <v>54.0</v>
      </c>
      <c r="H69" s="38">
        <v>3058.0</v>
      </c>
      <c r="I69" s="38">
        <v>0.6691</v>
      </c>
      <c r="J69" s="38">
        <v>0.8116</v>
      </c>
      <c r="K69" s="38">
        <v>0.4121</v>
      </c>
      <c r="L69" s="38">
        <v>1.0</v>
      </c>
      <c r="M69" s="37" t="s">
        <v>364</v>
      </c>
    </row>
    <row r="70">
      <c r="A70" s="37" t="s">
        <v>38</v>
      </c>
      <c r="B70" s="37" t="s">
        <v>137</v>
      </c>
      <c r="C70" s="37" t="s">
        <v>55</v>
      </c>
      <c r="D70" s="38">
        <v>5.0</v>
      </c>
      <c r="E70" s="38">
        <v>5.0</v>
      </c>
      <c r="F70" s="38">
        <v>8.0</v>
      </c>
      <c r="G70" s="38">
        <v>54.0</v>
      </c>
      <c r="H70" s="38">
        <v>3058.0</v>
      </c>
      <c r="I70" s="38">
        <v>0.7713</v>
      </c>
      <c r="J70" s="38">
        <v>0.9857</v>
      </c>
      <c r="K70" s="38">
        <v>0.6434</v>
      </c>
      <c r="L70" s="38">
        <v>1.0</v>
      </c>
      <c r="M70" s="37" t="s">
        <v>364</v>
      </c>
    </row>
    <row r="71">
      <c r="A71" s="37" t="s">
        <v>38</v>
      </c>
      <c r="B71" s="37" t="s">
        <v>137</v>
      </c>
      <c r="C71" s="37" t="s">
        <v>55</v>
      </c>
      <c r="D71" s="38">
        <v>5.0</v>
      </c>
      <c r="E71" s="38">
        <v>6.0</v>
      </c>
      <c r="F71" s="38">
        <v>8.0</v>
      </c>
      <c r="G71" s="38">
        <v>54.0</v>
      </c>
      <c r="H71" s="38">
        <v>3058.0</v>
      </c>
      <c r="I71" s="38">
        <v>0.8657</v>
      </c>
      <c r="J71" s="38">
        <v>1.0</v>
      </c>
      <c r="K71" s="38">
        <v>0.8438</v>
      </c>
      <c r="L71" s="38">
        <v>1.0</v>
      </c>
      <c r="M71" s="37" t="s">
        <v>364</v>
      </c>
    </row>
    <row r="72">
      <c r="A72" s="37" t="s">
        <v>38</v>
      </c>
      <c r="B72" s="37" t="s">
        <v>137</v>
      </c>
      <c r="C72" s="37" t="s">
        <v>55</v>
      </c>
      <c r="D72" s="38">
        <v>5.0</v>
      </c>
      <c r="E72" s="38">
        <v>7.0</v>
      </c>
      <c r="F72" s="38">
        <v>8.0</v>
      </c>
      <c r="G72" s="38">
        <v>54.0</v>
      </c>
      <c r="H72" s="38">
        <v>3058.0</v>
      </c>
      <c r="I72" s="38">
        <v>0.9785</v>
      </c>
      <c r="J72" s="38">
        <v>1.0</v>
      </c>
      <c r="K72" s="38">
        <v>1.0</v>
      </c>
      <c r="L72" s="38">
        <v>1.0</v>
      </c>
      <c r="M72" s="37" t="s">
        <v>364</v>
      </c>
    </row>
    <row r="73">
      <c r="A73" s="37" t="s">
        <v>38</v>
      </c>
      <c r="B73" s="37" t="s">
        <v>137</v>
      </c>
      <c r="C73" s="37" t="s">
        <v>55</v>
      </c>
      <c r="D73" s="38">
        <v>5.0</v>
      </c>
      <c r="E73" s="38">
        <v>8.0</v>
      </c>
      <c r="F73" s="38">
        <v>8.0</v>
      </c>
      <c r="G73" s="38">
        <v>54.0</v>
      </c>
      <c r="H73" s="38">
        <v>3058.0</v>
      </c>
      <c r="I73" s="38">
        <v>0.9995</v>
      </c>
      <c r="J73" s="38">
        <v>1.0</v>
      </c>
      <c r="K73" s="38">
        <v>1.0</v>
      </c>
      <c r="L73" s="38">
        <v>1.0</v>
      </c>
      <c r="M73" s="37" t="s">
        <v>364</v>
      </c>
    </row>
    <row r="74">
      <c r="A74" s="37" t="s">
        <v>38</v>
      </c>
      <c r="B74" s="37" t="s">
        <v>339</v>
      </c>
      <c r="C74" s="37" t="s">
        <v>55</v>
      </c>
      <c r="D74" s="38">
        <v>5.0</v>
      </c>
      <c r="E74" s="38">
        <v>1.0</v>
      </c>
      <c r="F74" s="38">
        <v>8.0</v>
      </c>
      <c r="G74" s="38">
        <v>54.0</v>
      </c>
      <c r="H74" s="38">
        <v>1883.0</v>
      </c>
      <c r="I74" s="38">
        <v>0.1454</v>
      </c>
      <c r="J74" s="38">
        <v>0.0</v>
      </c>
      <c r="K74" s="38">
        <v>0.0</v>
      </c>
      <c r="L74" s="38">
        <v>0.1504</v>
      </c>
      <c r="M74" s="37" t="s">
        <v>364</v>
      </c>
    </row>
    <row r="75">
      <c r="A75" s="37" t="s">
        <v>38</v>
      </c>
      <c r="B75" s="37" t="s">
        <v>339</v>
      </c>
      <c r="C75" s="37" t="s">
        <v>55</v>
      </c>
      <c r="D75" s="38">
        <v>5.0</v>
      </c>
      <c r="E75" s="38">
        <v>2.0</v>
      </c>
      <c r="F75" s="38">
        <v>8.0</v>
      </c>
      <c r="G75" s="38">
        <v>54.0</v>
      </c>
      <c r="H75" s="38">
        <v>1883.0</v>
      </c>
      <c r="I75" s="38">
        <v>0.3501</v>
      </c>
      <c r="J75" s="38">
        <v>0.202</v>
      </c>
      <c r="K75" s="38">
        <v>0.0</v>
      </c>
      <c r="L75" s="38">
        <v>0.6927</v>
      </c>
      <c r="M75" s="37" t="s">
        <v>364</v>
      </c>
    </row>
    <row r="76">
      <c r="A76" s="37" t="s">
        <v>38</v>
      </c>
      <c r="B76" s="37" t="s">
        <v>339</v>
      </c>
      <c r="C76" s="37" t="s">
        <v>55</v>
      </c>
      <c r="D76" s="38">
        <v>5.0</v>
      </c>
      <c r="E76" s="38">
        <v>3.0</v>
      </c>
      <c r="F76" s="38">
        <v>8.0</v>
      </c>
      <c r="G76" s="38">
        <v>54.0</v>
      </c>
      <c r="H76" s="38">
        <v>1883.0</v>
      </c>
      <c r="I76" s="38">
        <v>0.5104</v>
      </c>
      <c r="J76" s="38">
        <v>0.5173</v>
      </c>
      <c r="K76" s="38">
        <v>0.0121</v>
      </c>
      <c r="L76" s="38">
        <v>0.9902</v>
      </c>
      <c r="M76" s="37" t="s">
        <v>364</v>
      </c>
    </row>
    <row r="77">
      <c r="A77" s="37" t="s">
        <v>38</v>
      </c>
      <c r="B77" s="37" t="s">
        <v>339</v>
      </c>
      <c r="C77" s="37" t="s">
        <v>55</v>
      </c>
      <c r="D77" s="38">
        <v>5.0</v>
      </c>
      <c r="E77" s="38">
        <v>4.0</v>
      </c>
      <c r="F77" s="38">
        <v>8.0</v>
      </c>
      <c r="G77" s="38">
        <v>54.0</v>
      </c>
      <c r="H77" s="38">
        <v>1883.0</v>
      </c>
      <c r="I77" s="38">
        <v>0.6417</v>
      </c>
      <c r="J77" s="38">
        <v>0.7775</v>
      </c>
      <c r="K77" s="38">
        <v>0.332</v>
      </c>
      <c r="L77" s="38">
        <v>1.0</v>
      </c>
      <c r="M77" s="37" t="s">
        <v>364</v>
      </c>
    </row>
    <row r="78">
      <c r="A78" s="37" t="s">
        <v>38</v>
      </c>
      <c r="B78" s="37" t="s">
        <v>339</v>
      </c>
      <c r="C78" s="37" t="s">
        <v>55</v>
      </c>
      <c r="D78" s="38">
        <v>5.0</v>
      </c>
      <c r="E78" s="38">
        <v>5.0</v>
      </c>
      <c r="F78" s="38">
        <v>8.0</v>
      </c>
      <c r="G78" s="38">
        <v>54.0</v>
      </c>
      <c r="H78" s="38">
        <v>1883.0</v>
      </c>
      <c r="I78" s="38">
        <v>0.7493</v>
      </c>
      <c r="J78" s="38">
        <v>0.9604</v>
      </c>
      <c r="K78" s="38">
        <v>0.6158</v>
      </c>
      <c r="L78" s="38">
        <v>1.0</v>
      </c>
      <c r="M78" s="37" t="s">
        <v>364</v>
      </c>
    </row>
    <row r="79">
      <c r="A79" s="37" t="s">
        <v>38</v>
      </c>
      <c r="B79" s="37" t="s">
        <v>339</v>
      </c>
      <c r="C79" s="37" t="s">
        <v>55</v>
      </c>
      <c r="D79" s="38">
        <v>5.0</v>
      </c>
      <c r="E79" s="38">
        <v>6.0</v>
      </c>
      <c r="F79" s="38">
        <v>8.0</v>
      </c>
      <c r="G79" s="38">
        <v>54.0</v>
      </c>
      <c r="H79" s="38">
        <v>1883.0</v>
      </c>
      <c r="I79" s="38">
        <v>0.8517</v>
      </c>
      <c r="J79" s="38">
        <v>1.0</v>
      </c>
      <c r="K79" s="38">
        <v>0.8427</v>
      </c>
      <c r="L79" s="38">
        <v>1.0</v>
      </c>
      <c r="M79" s="37" t="s">
        <v>364</v>
      </c>
    </row>
    <row r="80">
      <c r="A80" s="37" t="s">
        <v>38</v>
      </c>
      <c r="B80" s="37" t="s">
        <v>339</v>
      </c>
      <c r="C80" s="37" t="s">
        <v>55</v>
      </c>
      <c r="D80" s="38">
        <v>5.0</v>
      </c>
      <c r="E80" s="38">
        <v>7.0</v>
      </c>
      <c r="F80" s="38">
        <v>8.0</v>
      </c>
      <c r="G80" s="38">
        <v>54.0</v>
      </c>
      <c r="H80" s="38">
        <v>1883.0</v>
      </c>
      <c r="I80" s="38">
        <v>0.9793</v>
      </c>
      <c r="J80" s="38">
        <v>1.0</v>
      </c>
      <c r="K80" s="38">
        <v>1.0</v>
      </c>
      <c r="L80" s="38">
        <v>1.0</v>
      </c>
      <c r="M80" s="37" t="s">
        <v>364</v>
      </c>
    </row>
    <row r="81">
      <c r="A81" s="37" t="s">
        <v>38</v>
      </c>
      <c r="B81" s="37" t="s">
        <v>339</v>
      </c>
      <c r="C81" s="37" t="s">
        <v>55</v>
      </c>
      <c r="D81" s="38">
        <v>5.0</v>
      </c>
      <c r="E81" s="38">
        <v>8.0</v>
      </c>
      <c r="F81" s="38">
        <v>8.0</v>
      </c>
      <c r="G81" s="38">
        <v>54.0</v>
      </c>
      <c r="H81" s="38">
        <v>1883.0</v>
      </c>
      <c r="I81" s="38">
        <v>0.9995</v>
      </c>
      <c r="J81" s="38">
        <v>1.0</v>
      </c>
      <c r="K81" s="38">
        <v>1.0</v>
      </c>
      <c r="L81" s="38">
        <v>1.0</v>
      </c>
      <c r="M81" s="37" t="s">
        <v>364</v>
      </c>
    </row>
  </sheetData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395" t="s">
        <v>1974</v>
      </c>
      <c r="B1" s="395" t="s">
        <v>1954</v>
      </c>
      <c r="C1" s="395" t="s">
        <v>2035</v>
      </c>
      <c r="D1" s="395" t="s">
        <v>2036</v>
      </c>
      <c r="E1" s="395" t="s">
        <v>2037</v>
      </c>
      <c r="F1" s="395" t="s">
        <v>2038</v>
      </c>
      <c r="G1" s="395" t="s">
        <v>2039</v>
      </c>
      <c r="H1" s="395" t="s">
        <v>2040</v>
      </c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</row>
    <row r="2">
      <c r="A2" s="37" t="s">
        <v>51</v>
      </c>
      <c r="B2" s="37" t="s">
        <v>137</v>
      </c>
      <c r="C2" s="37">
        <v>7906.1</v>
      </c>
      <c r="D2" s="37">
        <v>772.0</v>
      </c>
      <c r="E2" s="37">
        <v>1911.0</v>
      </c>
      <c r="F2" s="37">
        <v>4553.0</v>
      </c>
      <c r="G2" s="37">
        <v>10021.0</v>
      </c>
      <c r="H2" s="37">
        <v>17251.0</v>
      </c>
    </row>
    <row r="3">
      <c r="A3" s="37" t="s">
        <v>52</v>
      </c>
      <c r="B3" s="37" t="s">
        <v>137</v>
      </c>
      <c r="C3" s="37">
        <v>24490.1</v>
      </c>
      <c r="D3" s="37">
        <v>5536.0</v>
      </c>
      <c r="E3" s="37">
        <v>9419.0</v>
      </c>
      <c r="F3" s="37">
        <v>19134.0</v>
      </c>
      <c r="G3" s="37">
        <v>31258.0</v>
      </c>
      <c r="H3" s="37">
        <v>45422.0</v>
      </c>
    </row>
    <row r="4">
      <c r="A4" s="37" t="s">
        <v>53</v>
      </c>
      <c r="B4" s="37" t="s">
        <v>137</v>
      </c>
      <c r="C4" s="37">
        <v>47180.2</v>
      </c>
      <c r="D4" s="37">
        <v>11180.0</v>
      </c>
      <c r="E4" s="37">
        <v>18851.0</v>
      </c>
      <c r="F4" s="37">
        <v>38620.0</v>
      </c>
      <c r="G4" s="37">
        <v>61778.0</v>
      </c>
      <c r="H4" s="37">
        <v>88902.0</v>
      </c>
    </row>
    <row r="5">
      <c r="A5" s="37" t="s">
        <v>54</v>
      </c>
      <c r="B5" s="37" t="s">
        <v>137</v>
      </c>
      <c r="C5" s="37">
        <v>96527.0</v>
      </c>
      <c r="D5" s="37">
        <v>24408.0</v>
      </c>
      <c r="E5" s="37">
        <v>44118.0</v>
      </c>
      <c r="F5" s="37">
        <v>83292.0</v>
      </c>
      <c r="G5" s="37">
        <v>128357.0</v>
      </c>
      <c r="H5" s="37">
        <v>185129.0</v>
      </c>
    </row>
    <row r="6">
      <c r="A6" s="37" t="s">
        <v>55</v>
      </c>
      <c r="B6" s="37" t="s">
        <v>137</v>
      </c>
      <c r="C6" s="37">
        <v>173958.4</v>
      </c>
      <c r="D6" s="37">
        <v>44295.0</v>
      </c>
      <c r="E6" s="37">
        <v>82596.0</v>
      </c>
      <c r="F6" s="37">
        <v>139889.0</v>
      </c>
      <c r="G6" s="37">
        <v>246841.0</v>
      </c>
      <c r="H6" s="37">
        <v>343988.0</v>
      </c>
    </row>
    <row r="7">
      <c r="A7" s="37" t="s">
        <v>51</v>
      </c>
      <c r="B7" s="37" t="s">
        <v>339</v>
      </c>
      <c r="C7" s="37">
        <v>8513.2</v>
      </c>
      <c r="D7" s="37">
        <v>1017.0</v>
      </c>
      <c r="E7" s="37">
        <v>2378.0</v>
      </c>
      <c r="F7" s="37">
        <v>5438.0</v>
      </c>
      <c r="G7" s="37">
        <v>11064.0</v>
      </c>
      <c r="H7" s="37">
        <v>17880.0</v>
      </c>
    </row>
    <row r="8">
      <c r="A8" s="37" t="s">
        <v>52</v>
      </c>
      <c r="B8" s="37" t="s">
        <v>339</v>
      </c>
      <c r="C8" s="37">
        <v>24799.5</v>
      </c>
      <c r="D8" s="37">
        <v>5914.0</v>
      </c>
      <c r="E8" s="37">
        <v>10409.0</v>
      </c>
      <c r="F8" s="37">
        <v>20371.0</v>
      </c>
      <c r="G8" s="37">
        <v>32242.0</v>
      </c>
      <c r="H8" s="37">
        <v>45193.0</v>
      </c>
    </row>
    <row r="9">
      <c r="A9" s="37" t="s">
        <v>53</v>
      </c>
      <c r="B9" s="37" t="s">
        <v>339</v>
      </c>
      <c r="C9" s="37">
        <v>46374.6</v>
      </c>
      <c r="D9" s="37">
        <v>11888.0</v>
      </c>
      <c r="E9" s="37">
        <v>19475.0</v>
      </c>
      <c r="F9" s="37">
        <v>38625.0</v>
      </c>
      <c r="G9" s="37">
        <v>61751.0</v>
      </c>
      <c r="H9" s="37">
        <v>87662.0</v>
      </c>
    </row>
    <row r="10">
      <c r="A10" s="37" t="s">
        <v>54</v>
      </c>
      <c r="B10" s="37" t="s">
        <v>339</v>
      </c>
      <c r="C10" s="37">
        <v>96358.6</v>
      </c>
      <c r="D10" s="37">
        <v>24192.0</v>
      </c>
      <c r="E10" s="37">
        <v>41977.0</v>
      </c>
      <c r="F10" s="37">
        <v>83537.0</v>
      </c>
      <c r="G10" s="37">
        <v>126253.0</v>
      </c>
      <c r="H10" s="37">
        <v>182099.0</v>
      </c>
    </row>
    <row r="11">
      <c r="A11" s="37" t="s">
        <v>55</v>
      </c>
      <c r="B11" s="37" t="s">
        <v>339</v>
      </c>
      <c r="C11" s="37">
        <v>186726.2</v>
      </c>
      <c r="D11" s="37">
        <v>62161.0</v>
      </c>
      <c r="E11" s="37">
        <v>92376.0</v>
      </c>
      <c r="F11" s="37">
        <v>157274.0</v>
      </c>
      <c r="G11" s="37">
        <v>254767.0</v>
      </c>
      <c r="H11" s="37">
        <v>351071.0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388" t="s">
        <v>1974</v>
      </c>
      <c r="B1" s="388" t="s">
        <v>1954</v>
      </c>
      <c r="C1" s="388" t="s">
        <v>1975</v>
      </c>
      <c r="D1" s="388" t="s">
        <v>2041</v>
      </c>
      <c r="E1" s="388" t="s">
        <v>1977</v>
      </c>
      <c r="F1" s="388" t="s">
        <v>2042</v>
      </c>
      <c r="G1" s="388" t="s">
        <v>2043</v>
      </c>
      <c r="H1" s="388" t="s">
        <v>2044</v>
      </c>
      <c r="I1" s="388" t="s">
        <v>2045</v>
      </c>
      <c r="J1" s="388" t="s">
        <v>2046</v>
      </c>
      <c r="K1" s="388" t="s">
        <v>2047</v>
      </c>
      <c r="L1" s="388" t="s">
        <v>2048</v>
      </c>
      <c r="M1" s="388" t="s">
        <v>2049</v>
      </c>
      <c r="N1" s="388" t="s">
        <v>2050</v>
      </c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</row>
    <row r="2">
      <c r="A2" s="37" t="s">
        <v>51</v>
      </c>
      <c r="B2" s="37" t="s">
        <v>137</v>
      </c>
      <c r="C2" s="38">
        <v>1.0</v>
      </c>
      <c r="D2" s="38">
        <v>199702.0</v>
      </c>
      <c r="E2" s="38">
        <v>1285123.0</v>
      </c>
      <c r="F2" s="38">
        <v>13.5319</v>
      </c>
      <c r="G2" s="38">
        <v>5.4311</v>
      </c>
      <c r="H2" s="38">
        <v>0.4014</v>
      </c>
      <c r="I2" s="38">
        <v>1.0</v>
      </c>
      <c r="J2" s="38">
        <v>3.0</v>
      </c>
      <c r="K2" s="38">
        <v>5.0</v>
      </c>
      <c r="L2" s="38">
        <v>9.0</v>
      </c>
      <c r="M2" s="38">
        <v>2.5778</v>
      </c>
      <c r="N2" s="38">
        <v>0.6758</v>
      </c>
    </row>
    <row r="3">
      <c r="A3" s="37" t="s">
        <v>51</v>
      </c>
      <c r="B3" s="37" t="s">
        <v>339</v>
      </c>
      <c r="C3" s="38">
        <v>1.0</v>
      </c>
      <c r="D3" s="38">
        <v>123781.0</v>
      </c>
      <c r="E3" s="38">
        <v>1020283.0</v>
      </c>
      <c r="F3" s="38">
        <v>17.4387</v>
      </c>
      <c r="G3" s="38">
        <v>5.2593</v>
      </c>
      <c r="H3" s="38">
        <v>0.3016</v>
      </c>
      <c r="I3" s="38">
        <v>1.0</v>
      </c>
      <c r="J3" s="38">
        <v>2.0</v>
      </c>
      <c r="K3" s="38">
        <v>5.0</v>
      </c>
      <c r="L3" s="38">
        <v>8.0</v>
      </c>
      <c r="M3" s="38">
        <v>2.2137</v>
      </c>
      <c r="N3" s="38">
        <v>0.5943</v>
      </c>
    </row>
    <row r="4">
      <c r="A4" s="37" t="s">
        <v>52</v>
      </c>
      <c r="B4" s="37" t="s">
        <v>137</v>
      </c>
      <c r="C4" s="38">
        <v>2.0</v>
      </c>
      <c r="D4" s="38">
        <v>154324.0</v>
      </c>
      <c r="E4" s="38">
        <v>862903.0</v>
      </c>
      <c r="F4" s="38">
        <v>26.0386</v>
      </c>
      <c r="G4" s="38">
        <v>13.6966</v>
      </c>
      <c r="H4" s="38">
        <v>0.526</v>
      </c>
      <c r="I4" s="38">
        <v>4.0</v>
      </c>
      <c r="J4" s="38">
        <v>7.0</v>
      </c>
      <c r="K4" s="38">
        <v>13.0</v>
      </c>
      <c r="L4" s="38">
        <v>20.0</v>
      </c>
      <c r="M4" s="38">
        <v>4.0807</v>
      </c>
      <c r="N4" s="38">
        <v>0.786</v>
      </c>
    </row>
    <row r="5">
      <c r="A5" s="37" t="s">
        <v>52</v>
      </c>
      <c r="B5" s="37" t="s">
        <v>339</v>
      </c>
      <c r="C5" s="38">
        <v>2.0</v>
      </c>
      <c r="D5" s="38">
        <v>91879.0</v>
      </c>
      <c r="E5" s="38">
        <v>506459.0</v>
      </c>
      <c r="F5" s="38">
        <v>33.1912</v>
      </c>
      <c r="G5" s="38">
        <v>13.4861</v>
      </c>
      <c r="H5" s="38">
        <v>0.4063</v>
      </c>
      <c r="I5" s="38">
        <v>3.0</v>
      </c>
      <c r="J5" s="38">
        <v>6.0</v>
      </c>
      <c r="K5" s="38">
        <v>12.0</v>
      </c>
      <c r="L5" s="38">
        <v>20.0</v>
      </c>
      <c r="M5" s="38">
        <v>3.4365</v>
      </c>
      <c r="N5" s="38">
        <v>0.733</v>
      </c>
    </row>
    <row r="6">
      <c r="A6" s="37" t="s">
        <v>53</v>
      </c>
      <c r="B6" s="37" t="s">
        <v>137</v>
      </c>
      <c r="C6" s="38">
        <v>3.0</v>
      </c>
      <c r="D6" s="38">
        <v>97654.0</v>
      </c>
      <c r="E6" s="38">
        <v>492318.0</v>
      </c>
      <c r="F6" s="38">
        <v>39.9647</v>
      </c>
      <c r="G6" s="38">
        <v>26.4356</v>
      </c>
      <c r="H6" s="38">
        <v>0.6615</v>
      </c>
      <c r="I6" s="38">
        <v>7.0</v>
      </c>
      <c r="J6" s="38">
        <v>14.0</v>
      </c>
      <c r="K6" s="38">
        <v>25.0</v>
      </c>
      <c r="L6" s="38">
        <v>38.0</v>
      </c>
      <c r="M6" s="38">
        <v>6.2408</v>
      </c>
      <c r="N6" s="38">
        <v>0.86</v>
      </c>
    </row>
    <row r="7">
      <c r="A7" s="37" t="s">
        <v>53</v>
      </c>
      <c r="B7" s="37" t="s">
        <v>339</v>
      </c>
      <c r="C7" s="38">
        <v>3.0</v>
      </c>
      <c r="D7" s="38">
        <v>57404.0</v>
      </c>
      <c r="E7" s="38">
        <v>267973.0</v>
      </c>
      <c r="F7" s="38">
        <v>48.3583</v>
      </c>
      <c r="G7" s="38">
        <v>26.095</v>
      </c>
      <c r="H7" s="38">
        <v>0.5396</v>
      </c>
      <c r="I7" s="38">
        <v>6.0</v>
      </c>
      <c r="J7" s="38">
        <v>13.0</v>
      </c>
      <c r="K7" s="38">
        <v>25.0</v>
      </c>
      <c r="L7" s="38">
        <v>38.0</v>
      </c>
      <c r="M7" s="38">
        <v>5.1256</v>
      </c>
      <c r="N7" s="38">
        <v>0.8215</v>
      </c>
    </row>
    <row r="8">
      <c r="A8" s="37" t="s">
        <v>54</v>
      </c>
      <c r="B8" s="37" t="s">
        <v>137</v>
      </c>
      <c r="C8" s="38">
        <v>4.0</v>
      </c>
      <c r="D8" s="38">
        <v>40592.0</v>
      </c>
      <c r="E8" s="38">
        <v>215203.0</v>
      </c>
      <c r="F8" s="38">
        <v>68.115</v>
      </c>
      <c r="G8" s="38">
        <v>53.6797</v>
      </c>
      <c r="H8" s="38">
        <v>0.7881</v>
      </c>
      <c r="I8" s="38">
        <v>15.0</v>
      </c>
      <c r="J8" s="38">
        <v>29.0</v>
      </c>
      <c r="K8" s="38">
        <v>52.0</v>
      </c>
      <c r="L8" s="38">
        <v>79.0</v>
      </c>
      <c r="M8" s="38">
        <v>10.5225</v>
      </c>
      <c r="N8" s="38">
        <v>0.9171</v>
      </c>
    </row>
    <row r="9">
      <c r="A9" s="37" t="s">
        <v>54</v>
      </c>
      <c r="B9" s="37" t="s">
        <v>339</v>
      </c>
      <c r="C9" s="38">
        <v>4.0</v>
      </c>
      <c r="D9" s="38">
        <v>24871.0</v>
      </c>
      <c r="E9" s="38">
        <v>113783.0</v>
      </c>
      <c r="F9" s="38">
        <v>77.3272</v>
      </c>
      <c r="G9" s="38">
        <v>52.8368</v>
      </c>
      <c r="H9" s="38">
        <v>0.6833</v>
      </c>
      <c r="I9" s="38">
        <v>12.0</v>
      </c>
      <c r="J9" s="38">
        <v>28.0</v>
      </c>
      <c r="K9" s="38">
        <v>51.0</v>
      </c>
      <c r="L9" s="38">
        <v>79.0</v>
      </c>
      <c r="M9" s="38">
        <v>8.2265</v>
      </c>
      <c r="N9" s="38">
        <v>0.8888</v>
      </c>
    </row>
    <row r="10">
      <c r="A10" s="37" t="s">
        <v>55</v>
      </c>
      <c r="B10" s="37" t="s">
        <v>137</v>
      </c>
      <c r="C10" s="38">
        <v>5.0</v>
      </c>
      <c r="D10" s="38">
        <v>7224.0</v>
      </c>
      <c r="E10" s="38">
        <v>27005.0</v>
      </c>
      <c r="F10" s="38">
        <v>147.4654</v>
      </c>
      <c r="G10" s="38">
        <v>127.084</v>
      </c>
      <c r="H10" s="38">
        <v>0.8618</v>
      </c>
      <c r="I10" s="38">
        <v>32.0</v>
      </c>
      <c r="J10" s="38">
        <v>69.0</v>
      </c>
      <c r="K10" s="38">
        <v>120.0</v>
      </c>
      <c r="L10" s="38">
        <v>176.0</v>
      </c>
      <c r="M10" s="38">
        <v>16.7456</v>
      </c>
      <c r="N10" s="38">
        <v>0.9459</v>
      </c>
    </row>
    <row r="11">
      <c r="A11" s="37" t="s">
        <v>55</v>
      </c>
      <c r="B11" s="37" t="s">
        <v>339</v>
      </c>
      <c r="C11" s="38">
        <v>5.0</v>
      </c>
      <c r="D11" s="38">
        <v>4193.0</v>
      </c>
      <c r="E11" s="38">
        <v>14107.0</v>
      </c>
      <c r="F11" s="38">
        <v>156.5976</v>
      </c>
      <c r="G11" s="38">
        <v>126.6097</v>
      </c>
      <c r="H11" s="38">
        <v>0.8085</v>
      </c>
      <c r="I11" s="38">
        <v>29.0</v>
      </c>
      <c r="J11" s="38">
        <v>67.0</v>
      </c>
      <c r="K11" s="38">
        <v>121.0</v>
      </c>
      <c r="L11" s="38">
        <v>178.0</v>
      </c>
      <c r="M11" s="38">
        <v>13.7309</v>
      </c>
      <c r="N11" s="38">
        <v>0.9323</v>
      </c>
    </row>
  </sheetData>
  <drawing r:id="rId2"/>
  <legacyDrawing r:id="rId3"/>
</worksheet>
</file>