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280" windowHeight="8055" activeTab="2"/>
  </bookViews>
  <sheets>
    <sheet name="Sheet1" sheetId="1" r:id="rId1"/>
    <sheet name="Ratio" sheetId="2" r:id="rId2"/>
    <sheet name="Sheet3" sheetId="3" r:id="rId3"/>
  </sheets>
  <definedNames>
    <definedName name="_xlnm.Print_Area" localSheetId="1">Ratio!$A$1:$F$40</definedName>
    <definedName name="_xlnm.Print_Area" localSheetId="0">Sheet1!$A$1:$I$276</definedName>
    <definedName name="_xlnm.Print_Area" localSheetId="2">Sheet3!$A$1:$C$35</definedName>
  </definedNames>
  <calcPr calcId="144525"/>
</workbook>
</file>

<file path=xl/calcChain.xml><?xml version="1.0" encoding="utf-8"?>
<calcChain xmlns="http://schemas.openxmlformats.org/spreadsheetml/2006/main">
  <c r="C17" i="3" l="1"/>
  <c r="B17" i="3"/>
  <c r="B8" i="3" l="1"/>
  <c r="B9" i="3"/>
  <c r="B10" i="3"/>
  <c r="B13" i="3"/>
  <c r="B15" i="3" s="1"/>
  <c r="B14" i="3"/>
  <c r="C16" i="3"/>
  <c r="C15" i="3"/>
  <c r="C14" i="3"/>
  <c r="C13" i="3"/>
  <c r="C10" i="3"/>
  <c r="C9" i="3"/>
  <c r="C8" i="3"/>
  <c r="B7" i="3"/>
  <c r="C7" i="3"/>
  <c r="B16" i="3" l="1"/>
  <c r="L242" i="1"/>
  <c r="L241" i="1"/>
  <c r="E17" i="2"/>
  <c r="L148" i="1"/>
  <c r="L147" i="1"/>
  <c r="L146" i="1"/>
  <c r="D17" i="2"/>
  <c r="L56" i="1"/>
  <c r="L55" i="1"/>
  <c r="L54" i="1"/>
  <c r="F15" i="2"/>
  <c r="F13" i="2"/>
  <c r="F11" i="2"/>
  <c r="F9" i="2"/>
  <c r="E15" i="2"/>
  <c r="E13" i="2"/>
  <c r="E11" i="2"/>
  <c r="E9" i="2"/>
  <c r="D15" i="2"/>
  <c r="D13" i="2"/>
  <c r="D11" i="2"/>
  <c r="D9" i="2"/>
  <c r="E246" i="1"/>
  <c r="E239" i="1"/>
  <c r="D238" i="1"/>
  <c r="I241" i="1"/>
  <c r="I246" i="1" s="1"/>
  <c r="H239" i="1"/>
  <c r="D237" i="1"/>
  <c r="D236" i="1"/>
  <c r="H148" i="1"/>
  <c r="I149" i="1"/>
  <c r="I154" i="1" s="1"/>
  <c r="K154" i="1" s="1"/>
  <c r="E147" i="1"/>
  <c r="E154" i="1" s="1"/>
  <c r="D146" i="1"/>
  <c r="H147" i="1"/>
  <c r="D145" i="1"/>
  <c r="D144" i="1"/>
  <c r="I62" i="1"/>
  <c r="K59" i="1" s="1"/>
  <c r="E62" i="1"/>
  <c r="I57" i="1"/>
  <c r="E55" i="1"/>
  <c r="D54" i="1"/>
  <c r="D53" i="1"/>
  <c r="H55" i="1"/>
  <c r="L243" i="1" l="1"/>
  <c r="F17" i="2" s="1"/>
  <c r="K246" i="1"/>
  <c r="K194" i="1"/>
  <c r="K193" i="1"/>
  <c r="E206" i="1"/>
  <c r="E207" i="1"/>
  <c r="I207" i="1"/>
  <c r="P207" i="1"/>
  <c r="P206" i="1"/>
  <c r="O206" i="1"/>
  <c r="N206" i="1"/>
  <c r="P197" i="1"/>
  <c r="P198" i="1"/>
  <c r="P199" i="1"/>
  <c r="P200" i="1"/>
  <c r="P201" i="1"/>
  <c r="P202" i="1"/>
  <c r="P203" i="1"/>
  <c r="P204" i="1"/>
  <c r="P205" i="1"/>
  <c r="P196" i="1"/>
  <c r="O205" i="1"/>
  <c r="O204" i="1"/>
  <c r="O203" i="1"/>
  <c r="O202" i="1"/>
  <c r="O201" i="1"/>
  <c r="O200" i="1"/>
  <c r="O199" i="1"/>
  <c r="O198" i="1"/>
  <c r="O197" i="1"/>
  <c r="O196" i="1"/>
  <c r="I196" i="1"/>
  <c r="I193" i="1"/>
  <c r="I195" i="1"/>
  <c r="E195" i="1"/>
  <c r="E194" i="1"/>
  <c r="E193" i="1"/>
  <c r="I192" i="1"/>
  <c r="E192" i="1"/>
  <c r="K99" i="1"/>
  <c r="K98" i="1"/>
  <c r="E113" i="1"/>
  <c r="L112" i="1"/>
  <c r="P102" i="1"/>
  <c r="P103" i="1"/>
  <c r="P104" i="1"/>
  <c r="P105" i="1"/>
  <c r="P106" i="1"/>
  <c r="P107" i="1"/>
  <c r="P108" i="1"/>
  <c r="P109" i="1"/>
  <c r="P110" i="1"/>
  <c r="P101" i="1"/>
  <c r="E114" i="1"/>
  <c r="I114" i="1"/>
  <c r="I103" i="1"/>
  <c r="E101" i="1"/>
  <c r="E102" i="1"/>
  <c r="I102" i="1" s="1"/>
  <c r="I100" i="1" s="1"/>
  <c r="I99" i="1"/>
  <c r="E100" i="1"/>
  <c r="E99" i="1"/>
  <c r="K14" i="1"/>
  <c r="I10" i="1"/>
  <c r="E10" i="1" s="1"/>
  <c r="E9" i="1" s="1"/>
  <c r="L9" i="1" s="1"/>
  <c r="I11" i="1" l="1"/>
  <c r="I22" i="1" s="1"/>
  <c r="E22" i="1" s="1"/>
  <c r="E21" i="1" s="1"/>
  <c r="L10" i="1" s="1"/>
</calcChain>
</file>

<file path=xl/sharedStrings.xml><?xml version="1.0" encoding="utf-8"?>
<sst xmlns="http://schemas.openxmlformats.org/spreadsheetml/2006/main" count="217" uniqueCount="92">
  <si>
    <t>Prop- Vinod Prasad Gupta</t>
  </si>
  <si>
    <t>Bhikariya,Ballia 277121(U.P.)</t>
  </si>
  <si>
    <t>Particular</t>
  </si>
  <si>
    <t>Amount (In Rs.)</t>
  </si>
  <si>
    <t>To Opening Stock</t>
  </si>
  <si>
    <t>To Purches</t>
  </si>
  <si>
    <t>ToGross Profit C/F</t>
  </si>
  <si>
    <t>To Salary to Staff</t>
  </si>
  <si>
    <t>To Staff Walefare</t>
  </si>
  <si>
    <t>To Travelling Expences</t>
  </si>
  <si>
    <t>To Shop Expences</t>
  </si>
  <si>
    <t>To power &amp; Fuel</t>
  </si>
  <si>
    <t>To Stationary Expences</t>
  </si>
  <si>
    <t>To Bank Charge</t>
  </si>
  <si>
    <t>To Bank Intrest</t>
  </si>
  <si>
    <t>To Gift Expence</t>
  </si>
  <si>
    <t>To Misc. Expences</t>
  </si>
  <si>
    <t>To Net Profit transferred to capital A/c</t>
  </si>
  <si>
    <t>By Sales</t>
  </si>
  <si>
    <t>By Closing Stock</t>
  </si>
  <si>
    <t>By Gross profit B/F</t>
  </si>
  <si>
    <t>by Intrest on FD</t>
  </si>
  <si>
    <t>Provisional Balance sheet as on 31st March 2023</t>
  </si>
  <si>
    <t>Liablities</t>
  </si>
  <si>
    <t>Amount(IN Rs.)</t>
  </si>
  <si>
    <t>Propriter,s Capital</t>
  </si>
  <si>
    <t>Opening Capital</t>
  </si>
  <si>
    <t>Add. Profit</t>
  </si>
  <si>
    <t>Less:- Drawing</t>
  </si>
  <si>
    <t>Secured Loan</t>
  </si>
  <si>
    <t>SBI CC A/c-9544</t>
  </si>
  <si>
    <t>Current Liablities</t>
  </si>
  <si>
    <t>Sundry creditors</t>
  </si>
  <si>
    <t>Non Current Asssets</t>
  </si>
  <si>
    <t>Investment - FD</t>
  </si>
  <si>
    <t>Current assets,Loan &amp; Advances</t>
  </si>
  <si>
    <t>Closing Stock</t>
  </si>
  <si>
    <t>Sundry Debtors</t>
  </si>
  <si>
    <t>Aadvance To suplier</t>
  </si>
  <si>
    <t>Cassh and Bank Balances</t>
  </si>
  <si>
    <t>Cash in Hand</t>
  </si>
  <si>
    <t>Provisional profi &amp; Loss for The Year Ending 31.03.2023</t>
  </si>
  <si>
    <t>Estimated profi &amp; Loss for The Year Ending 31.03.2024</t>
  </si>
  <si>
    <t>Projected Profi &amp; Loss for The Year Ending 31.03.2025</t>
  </si>
  <si>
    <t>Estimated Balance sheet as on 31st March 2024</t>
  </si>
  <si>
    <t>Projected Balance sheet as on 31st March 2025</t>
  </si>
  <si>
    <t>Important Financial Ratios &amp; Analysis</t>
  </si>
  <si>
    <t>Particulars</t>
  </si>
  <si>
    <t>Provisional</t>
  </si>
  <si>
    <t xml:space="preserve">Estimated </t>
  </si>
  <si>
    <t>Projected</t>
  </si>
  <si>
    <t>FY 2022-23</t>
  </si>
  <si>
    <t>FY 2023-24</t>
  </si>
  <si>
    <t>FY 2024-25</t>
  </si>
  <si>
    <t>Net Profit (in Lakhs)</t>
  </si>
  <si>
    <t>Gross profit (in Lakhs)</t>
  </si>
  <si>
    <t>Gross profit Ratio %</t>
  </si>
  <si>
    <t>Net Profit Ratio (%)</t>
  </si>
  <si>
    <t>TOL/NW Ratio (Time)</t>
  </si>
  <si>
    <t>Current Ratio (Time)</t>
  </si>
  <si>
    <t>As Per Nayak Committee Recommendation</t>
  </si>
  <si>
    <t xml:space="preserve">Particular </t>
  </si>
  <si>
    <t>Estimated</t>
  </si>
  <si>
    <t>FY 2024-2025</t>
  </si>
  <si>
    <t>(Figures in Lakhs)</t>
  </si>
  <si>
    <t>1.Turnover Method</t>
  </si>
  <si>
    <t>Projected Annual Turnover</t>
  </si>
  <si>
    <t>Working Capital Required(25% of PAT)</t>
  </si>
  <si>
    <t>Less:-5% Margin of PAT</t>
  </si>
  <si>
    <t>Permissable Bank Finance(PBF) (20% of PAT)</t>
  </si>
  <si>
    <t>2.Maximum Permissable Bank Finance Method</t>
  </si>
  <si>
    <t>A.Current Assets</t>
  </si>
  <si>
    <t>B. Less:-Other Current Liablities</t>
  </si>
  <si>
    <t>D. 25% Margin of current assets</t>
  </si>
  <si>
    <t>E. Maximum Permissable Bank Finance</t>
  </si>
  <si>
    <t>Loan Applied for</t>
  </si>
  <si>
    <t>Working Capital Finance (Point E of Fwhich ever is lower)</t>
  </si>
  <si>
    <t>F.Limit Applied for Working Capital</t>
  </si>
  <si>
    <t>C. Working Capital Gap(A-B)</t>
  </si>
  <si>
    <t>GP=</t>
  </si>
  <si>
    <t>NP=</t>
  </si>
  <si>
    <t>Misc Exp.=</t>
  </si>
  <si>
    <t>Cash and Bank Balances</t>
  </si>
  <si>
    <t>Amount(In Rs.)</t>
  </si>
  <si>
    <t>CA</t>
  </si>
  <si>
    <t>CL</t>
  </si>
  <si>
    <t>Ratio</t>
  </si>
  <si>
    <t xml:space="preserve"> </t>
  </si>
  <si>
    <t>ca</t>
  </si>
  <si>
    <t>cl</t>
  </si>
  <si>
    <t>ratio</t>
  </si>
  <si>
    <t>Propriter`s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</si>
</sst>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3" fillId="2" borderId="0" xfId="0" applyFont="1" applyFill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0" borderId="6" xfId="0" applyFont="1" applyBorder="1"/>
    <xf numFmtId="0" fontId="4" fillId="0" borderId="0" xfId="0" applyFont="1" applyBorder="1"/>
    <xf numFmtId="0" fontId="1" fillId="0" borderId="0" xfId="0" applyFont="1" applyBorder="1"/>
    <xf numFmtId="0" fontId="1" fillId="0" borderId="7" xfId="0" applyFont="1" applyBorder="1"/>
    <xf numFmtId="0" fontId="4" fillId="0" borderId="6" xfId="0" applyFont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10" xfId="0" applyFont="1" applyBorder="1"/>
    <xf numFmtId="0" fontId="1" fillId="0" borderId="8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1" fillId="2" borderId="0" xfId="0" applyFont="1" applyFill="1" applyBorder="1"/>
    <xf numFmtId="0" fontId="1" fillId="0" borderId="16" xfId="0" applyFont="1" applyBorder="1"/>
    <xf numFmtId="0" fontId="1" fillId="0" borderId="2" xfId="0" applyFont="1" applyBorder="1"/>
    <xf numFmtId="0" fontId="1" fillId="0" borderId="17" xfId="0" applyFont="1" applyBorder="1"/>
    <xf numFmtId="2" fontId="0" fillId="0" borderId="15" xfId="0" applyNumberFormat="1" applyBorder="1"/>
    <xf numFmtId="2" fontId="0" fillId="0" borderId="7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1" fillId="0" borderId="1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view="pageBreakPreview" topLeftCell="A230" zoomScale="118" zoomScaleNormal="100" zoomScaleSheetLayoutView="118" workbookViewId="0">
      <selection activeCell="O233" sqref="O233"/>
    </sheetView>
  </sheetViews>
  <sheetFormatPr defaultRowHeight="15" x14ac:dyDescent="0.25"/>
  <cols>
    <col min="1" max="1" width="3.5703125" customWidth="1"/>
    <col min="2" max="2" width="16.5703125" customWidth="1"/>
    <col min="3" max="3" width="0.7109375" customWidth="1"/>
    <col min="4" max="4" width="9.42578125" customWidth="1"/>
    <col min="5" max="5" width="14.85546875" customWidth="1"/>
    <col min="6" max="6" width="17" customWidth="1"/>
    <col min="7" max="7" width="2.140625" customWidth="1"/>
    <col min="8" max="8" width="9.7109375" customWidth="1"/>
    <col min="9" max="9" width="15.42578125" customWidth="1"/>
    <col min="10" max="10" width="8.85546875" customWidth="1"/>
  </cols>
  <sheetData>
    <row r="1" spans="2:12" ht="18.75" x14ac:dyDescent="0.3">
      <c r="B1" s="49" t="s">
        <v>0</v>
      </c>
      <c r="C1" s="49"/>
      <c r="D1" s="49"/>
      <c r="E1" s="49"/>
      <c r="F1" s="49"/>
      <c r="G1" s="49"/>
      <c r="H1" s="49"/>
      <c r="I1" s="49"/>
    </row>
    <row r="2" spans="2:12" x14ac:dyDescent="0.25">
      <c r="B2" s="50" t="s">
        <v>0</v>
      </c>
      <c r="C2" s="50"/>
      <c r="D2" s="50"/>
      <c r="E2" s="50"/>
      <c r="F2" s="50"/>
      <c r="G2" s="50"/>
      <c r="H2" s="50"/>
      <c r="I2" s="50"/>
    </row>
    <row r="3" spans="2:12" ht="15.75" x14ac:dyDescent="0.25">
      <c r="B3" s="48" t="s">
        <v>1</v>
      </c>
      <c r="C3" s="48"/>
      <c r="D3" s="48"/>
      <c r="E3" s="48"/>
      <c r="F3" s="48"/>
      <c r="G3" s="48"/>
      <c r="H3" s="48"/>
      <c r="I3" s="48"/>
    </row>
    <row r="5" spans="2:12" ht="15.75" x14ac:dyDescent="0.25">
      <c r="B5" s="48" t="s">
        <v>41</v>
      </c>
      <c r="C5" s="48"/>
      <c r="D5" s="48"/>
      <c r="E5" s="48"/>
      <c r="F5" s="48"/>
      <c r="G5" s="48"/>
      <c r="H5" s="48"/>
      <c r="I5" s="48"/>
    </row>
    <row r="6" spans="2:12" x14ac:dyDescent="0.25">
      <c r="B6" s="18" t="s">
        <v>2</v>
      </c>
      <c r="C6" s="19"/>
      <c r="D6" s="19"/>
      <c r="E6" s="19" t="s">
        <v>3</v>
      </c>
      <c r="F6" s="19" t="s">
        <v>2</v>
      </c>
      <c r="G6" s="19"/>
      <c r="H6" s="19"/>
      <c r="I6" s="20" t="s">
        <v>3</v>
      </c>
    </row>
    <row r="7" spans="2:12" x14ac:dyDescent="0.25">
      <c r="B7" s="4" t="s">
        <v>4</v>
      </c>
      <c r="C7" s="3"/>
      <c r="D7" s="3"/>
      <c r="E7" s="3">
        <v>250000</v>
      </c>
      <c r="F7" s="3" t="s">
        <v>18</v>
      </c>
      <c r="G7" s="3"/>
      <c r="H7" s="3"/>
      <c r="I7" s="5">
        <v>7000000</v>
      </c>
    </row>
    <row r="8" spans="2:12" x14ac:dyDescent="0.25">
      <c r="B8" s="4" t="s">
        <v>5</v>
      </c>
      <c r="C8" s="3"/>
      <c r="D8" s="3"/>
      <c r="E8" s="3">
        <v>6200000</v>
      </c>
      <c r="F8" s="3" t="s">
        <v>19</v>
      </c>
      <c r="G8" s="3"/>
      <c r="H8" s="3"/>
      <c r="I8" s="5">
        <v>275000</v>
      </c>
    </row>
    <row r="9" spans="2:12" x14ac:dyDescent="0.25">
      <c r="B9" s="13" t="s">
        <v>6</v>
      </c>
      <c r="C9" s="3"/>
      <c r="D9" s="3"/>
      <c r="E9" s="3">
        <f>SUM(E10-E7-E8)</f>
        <v>825000</v>
      </c>
      <c r="F9" s="3"/>
      <c r="G9" s="3"/>
      <c r="H9" s="3"/>
      <c r="I9" s="5"/>
      <c r="K9" t="s">
        <v>79</v>
      </c>
      <c r="L9">
        <f>E9*100/I7</f>
        <v>11.785714285714286</v>
      </c>
    </row>
    <row r="10" spans="2:12" ht="15.75" thickBot="1" x14ac:dyDescent="0.3">
      <c r="B10" s="4"/>
      <c r="C10" s="3"/>
      <c r="D10" s="3"/>
      <c r="E10" s="40">
        <f>I10</f>
        <v>7275000</v>
      </c>
      <c r="F10" s="3"/>
      <c r="G10" s="3"/>
      <c r="H10" s="3"/>
      <c r="I10" s="39">
        <f>SUM(I7:I9)</f>
        <v>7275000</v>
      </c>
      <c r="K10" t="s">
        <v>80</v>
      </c>
      <c r="L10">
        <f>E21*100/I7</f>
        <v>9.2142857142857135</v>
      </c>
    </row>
    <row r="11" spans="2:12" x14ac:dyDescent="0.25">
      <c r="B11" s="4" t="s">
        <v>7</v>
      </c>
      <c r="C11" s="3"/>
      <c r="D11" s="3"/>
      <c r="E11" s="3">
        <v>120000</v>
      </c>
      <c r="F11" s="15" t="s">
        <v>20</v>
      </c>
      <c r="G11" s="15"/>
      <c r="H11" s="15"/>
      <c r="I11" s="5">
        <f>E9</f>
        <v>825000</v>
      </c>
    </row>
    <row r="12" spans="2:12" x14ac:dyDescent="0.25">
      <c r="B12" s="4" t="s">
        <v>8</v>
      </c>
      <c r="C12" s="3"/>
      <c r="D12" s="3"/>
      <c r="E12" s="41">
        <v>25000</v>
      </c>
      <c r="F12" s="3" t="s">
        <v>21</v>
      </c>
      <c r="G12" s="3"/>
      <c r="H12" s="3"/>
      <c r="I12" s="5">
        <v>5600</v>
      </c>
    </row>
    <row r="13" spans="2:12" x14ac:dyDescent="0.25">
      <c r="B13" s="4" t="s">
        <v>9</v>
      </c>
      <c r="C13" s="3"/>
      <c r="D13" s="3"/>
      <c r="E13" s="41">
        <v>13500</v>
      </c>
      <c r="F13" s="3"/>
      <c r="G13" s="3"/>
      <c r="H13" s="3"/>
      <c r="I13" s="5"/>
    </row>
    <row r="14" spans="2:12" x14ac:dyDescent="0.25">
      <c r="B14" s="4" t="s">
        <v>10</v>
      </c>
      <c r="C14" s="3"/>
      <c r="D14" s="3"/>
      <c r="E14" s="41">
        <v>4500</v>
      </c>
      <c r="F14" s="3"/>
      <c r="G14" s="3"/>
      <c r="H14" s="3"/>
      <c r="I14" s="5"/>
      <c r="J14" t="s">
        <v>81</v>
      </c>
      <c r="K14">
        <f>SUM(E11:E20)</f>
        <v>185600</v>
      </c>
    </row>
    <row r="15" spans="2:12" x14ac:dyDescent="0.25">
      <c r="B15" s="4" t="s">
        <v>11</v>
      </c>
      <c r="C15" s="3"/>
      <c r="D15" s="3"/>
      <c r="E15" s="41">
        <v>4500</v>
      </c>
      <c r="F15" s="3"/>
      <c r="G15" s="3"/>
      <c r="H15" s="3"/>
      <c r="I15" s="5"/>
    </row>
    <row r="16" spans="2:12" x14ac:dyDescent="0.25">
      <c r="B16" s="4" t="s">
        <v>12</v>
      </c>
      <c r="C16" s="3"/>
      <c r="D16" s="3"/>
      <c r="E16" s="41">
        <v>1600</v>
      </c>
      <c r="F16" s="3"/>
      <c r="G16" s="3"/>
      <c r="H16" s="3"/>
      <c r="I16" s="5"/>
    </row>
    <row r="17" spans="2:9" x14ac:dyDescent="0.25">
      <c r="B17" s="4" t="s">
        <v>14</v>
      </c>
      <c r="C17" s="3"/>
      <c r="D17" s="3"/>
      <c r="E17" s="41">
        <v>4500</v>
      </c>
      <c r="F17" s="3"/>
      <c r="G17" s="3"/>
      <c r="H17" s="3"/>
      <c r="I17" s="5"/>
    </row>
    <row r="18" spans="2:9" x14ac:dyDescent="0.25">
      <c r="B18" s="4" t="s">
        <v>13</v>
      </c>
      <c r="C18" s="3"/>
      <c r="D18" s="3"/>
      <c r="E18" s="41">
        <v>1600</v>
      </c>
      <c r="F18" s="3"/>
      <c r="G18" s="3"/>
      <c r="H18" s="3"/>
      <c r="I18" s="5"/>
    </row>
    <row r="19" spans="2:9" x14ac:dyDescent="0.25">
      <c r="B19" s="4" t="s">
        <v>15</v>
      </c>
      <c r="C19" s="3"/>
      <c r="D19" s="3"/>
      <c r="E19" s="41">
        <v>2800</v>
      </c>
      <c r="F19" s="3"/>
      <c r="G19" s="3"/>
      <c r="H19" s="3"/>
      <c r="I19" s="5"/>
    </row>
    <row r="20" spans="2:9" x14ac:dyDescent="0.25">
      <c r="B20" s="4" t="s">
        <v>16</v>
      </c>
      <c r="C20" s="3"/>
      <c r="D20" s="3"/>
      <c r="E20" s="41">
        <v>7600</v>
      </c>
      <c r="F20" s="3"/>
      <c r="G20" s="3"/>
      <c r="H20" s="3"/>
      <c r="I20" s="5"/>
    </row>
    <row r="21" spans="2:9" x14ac:dyDescent="0.25">
      <c r="B21" s="13" t="s">
        <v>17</v>
      </c>
      <c r="C21" s="15"/>
      <c r="D21" s="15"/>
      <c r="E21" s="15">
        <f>E22-K14</f>
        <v>645000</v>
      </c>
      <c r="F21" s="3"/>
      <c r="G21" s="3"/>
      <c r="H21" s="3"/>
      <c r="I21" s="5"/>
    </row>
    <row r="22" spans="2:9" x14ac:dyDescent="0.25">
      <c r="B22" s="6"/>
      <c r="C22" s="1"/>
      <c r="D22" s="1"/>
      <c r="E22" s="1">
        <f>I22</f>
        <v>830600</v>
      </c>
      <c r="F22" s="1"/>
      <c r="G22" s="1"/>
      <c r="H22" s="1"/>
      <c r="I22" s="7">
        <f>SUM(I11:I11:I21)</f>
        <v>830600</v>
      </c>
    </row>
    <row r="49" spans="1:12" ht="18.75" x14ac:dyDescent="0.3">
      <c r="A49" s="49" t="s">
        <v>22</v>
      </c>
      <c r="B49" s="49"/>
      <c r="C49" s="49"/>
      <c r="D49" s="49"/>
      <c r="E49" s="49"/>
      <c r="F49" s="49"/>
      <c r="G49" s="49"/>
      <c r="H49" s="49"/>
      <c r="I49" s="49"/>
    </row>
    <row r="50" spans="1:12" ht="15.75" x14ac:dyDescent="0.25">
      <c r="A50" s="9"/>
      <c r="B50" s="10" t="s">
        <v>23</v>
      </c>
      <c r="C50" s="11"/>
      <c r="D50" s="11"/>
      <c r="E50" s="11" t="s">
        <v>24</v>
      </c>
      <c r="F50" s="11" t="s">
        <v>23</v>
      </c>
      <c r="G50" s="11"/>
      <c r="H50" s="11"/>
      <c r="I50" s="12" t="s">
        <v>24</v>
      </c>
    </row>
    <row r="51" spans="1:12" x14ac:dyDescent="0.25">
      <c r="A51" s="8"/>
      <c r="B51" s="17" t="s">
        <v>25</v>
      </c>
      <c r="C51" s="14"/>
      <c r="D51" s="15"/>
      <c r="E51" s="15"/>
      <c r="F51" s="14" t="s">
        <v>33</v>
      </c>
      <c r="G51" s="14"/>
      <c r="H51" s="15"/>
      <c r="I51" s="16"/>
    </row>
    <row r="52" spans="1:12" x14ac:dyDescent="0.25">
      <c r="B52" s="4" t="s">
        <v>26</v>
      </c>
      <c r="C52" s="3"/>
      <c r="D52" s="3">
        <v>956535</v>
      </c>
      <c r="E52" s="3"/>
      <c r="F52" s="3" t="s">
        <v>34</v>
      </c>
      <c r="G52" s="3"/>
      <c r="H52" s="3"/>
      <c r="I52" s="5">
        <v>400000</v>
      </c>
    </row>
    <row r="53" spans="1:12" x14ac:dyDescent="0.25">
      <c r="B53" s="4" t="s">
        <v>27</v>
      </c>
      <c r="C53" s="3"/>
      <c r="D53" s="3">
        <f>E21</f>
        <v>645000</v>
      </c>
      <c r="E53" s="3"/>
      <c r="F53" s="3"/>
      <c r="G53" s="3"/>
      <c r="H53" s="3"/>
      <c r="I53" s="5"/>
    </row>
    <row r="54" spans="1:12" x14ac:dyDescent="0.25">
      <c r="B54" s="4"/>
      <c r="C54" s="3"/>
      <c r="D54" s="3">
        <f>SUM(D52:D53)</f>
        <v>1601535</v>
      </c>
      <c r="E54" s="3"/>
      <c r="F54" s="14" t="s">
        <v>35</v>
      </c>
      <c r="G54" s="14"/>
      <c r="H54" s="14"/>
      <c r="I54" s="5"/>
      <c r="K54" t="s">
        <v>84</v>
      </c>
      <c r="L54">
        <f>I57+I60</f>
        <v>1291535</v>
      </c>
    </row>
    <row r="55" spans="1:12" x14ac:dyDescent="0.25">
      <c r="B55" s="4" t="s">
        <v>28</v>
      </c>
      <c r="C55" s="3"/>
      <c r="D55" s="1">
        <v>242500</v>
      </c>
      <c r="E55" s="3">
        <f>D54-D55</f>
        <v>1359035</v>
      </c>
      <c r="F55" s="3" t="s">
        <v>36</v>
      </c>
      <c r="G55" s="3"/>
      <c r="H55" s="3">
        <f>I8</f>
        <v>275000</v>
      </c>
      <c r="I55" s="5"/>
      <c r="K55" t="s">
        <v>85</v>
      </c>
      <c r="L55">
        <f>E61+E58</f>
        <v>332500</v>
      </c>
    </row>
    <row r="56" spans="1:12" x14ac:dyDescent="0.25">
      <c r="B56" s="4"/>
      <c r="C56" s="3"/>
      <c r="D56" s="3"/>
      <c r="E56" s="3"/>
      <c r="F56" s="3" t="s">
        <v>37</v>
      </c>
      <c r="G56" s="3"/>
      <c r="H56" s="3">
        <v>678500</v>
      </c>
      <c r="I56" s="5"/>
      <c r="K56" t="s">
        <v>86</v>
      </c>
      <c r="L56">
        <f>L54/L55</f>
        <v>3.8843157894736842</v>
      </c>
    </row>
    <row r="57" spans="1:12" x14ac:dyDescent="0.25">
      <c r="B57" s="17" t="s">
        <v>29</v>
      </c>
      <c r="C57" s="14"/>
      <c r="D57" s="3"/>
      <c r="E57" s="3"/>
      <c r="F57" s="3" t="s">
        <v>38</v>
      </c>
      <c r="G57" s="3"/>
      <c r="H57" s="1">
        <v>285000</v>
      </c>
      <c r="I57" s="5">
        <f>SUM(H55:H57)</f>
        <v>1238500</v>
      </c>
    </row>
    <row r="58" spans="1:12" x14ac:dyDescent="0.25">
      <c r="B58" s="4" t="s">
        <v>30</v>
      </c>
      <c r="C58" s="3"/>
      <c r="D58" s="3"/>
      <c r="E58" s="3">
        <v>256000</v>
      </c>
      <c r="F58" s="3"/>
      <c r="G58" s="3"/>
      <c r="H58" s="3"/>
      <c r="I58" s="5"/>
    </row>
    <row r="59" spans="1:12" x14ac:dyDescent="0.25">
      <c r="B59" s="4"/>
      <c r="C59" s="3"/>
      <c r="D59" s="3"/>
      <c r="E59" s="3"/>
      <c r="F59" s="14" t="s">
        <v>39</v>
      </c>
      <c r="G59" s="14"/>
      <c r="H59" s="14"/>
      <c r="I59" s="5"/>
      <c r="K59">
        <f>E62-I62</f>
        <v>0</v>
      </c>
    </row>
    <row r="60" spans="1:12" x14ac:dyDescent="0.25">
      <c r="B60" s="17" t="s">
        <v>31</v>
      </c>
      <c r="C60" s="14"/>
      <c r="D60" s="3"/>
      <c r="E60" s="3"/>
      <c r="F60" s="3" t="s">
        <v>40</v>
      </c>
      <c r="G60" s="3"/>
      <c r="H60" s="3"/>
      <c r="I60" s="5">
        <v>53035</v>
      </c>
    </row>
    <row r="61" spans="1:12" x14ac:dyDescent="0.25">
      <c r="B61" s="4" t="s">
        <v>32</v>
      </c>
      <c r="C61" s="3"/>
      <c r="D61" s="3"/>
      <c r="E61" s="3">
        <v>76500</v>
      </c>
      <c r="F61" s="3"/>
      <c r="G61" s="3"/>
      <c r="H61" s="3"/>
      <c r="I61" s="5"/>
    </row>
    <row r="62" spans="1:12" ht="15.75" thickBot="1" x14ac:dyDescent="0.3">
      <c r="B62" s="4"/>
      <c r="C62" s="3"/>
      <c r="D62" s="3"/>
      <c r="E62" s="40">
        <f>SUM(E52:E61)</f>
        <v>1691535</v>
      </c>
      <c r="F62" s="3"/>
      <c r="G62" s="3"/>
      <c r="H62" s="3"/>
      <c r="I62" s="39">
        <f>SUM(I52:I61)</f>
        <v>1691535</v>
      </c>
    </row>
    <row r="63" spans="1:12" x14ac:dyDescent="0.25">
      <c r="B63" s="6"/>
      <c r="C63" s="1"/>
      <c r="D63" s="1"/>
      <c r="E63" s="1"/>
      <c r="F63" s="1"/>
      <c r="G63" s="1"/>
      <c r="H63" s="1"/>
      <c r="I63" s="7"/>
    </row>
    <row r="93" spans="2:9" ht="18.75" x14ac:dyDescent="0.3">
      <c r="B93" s="49" t="s">
        <v>0</v>
      </c>
      <c r="C93" s="49"/>
      <c r="D93" s="49"/>
      <c r="E93" s="49"/>
      <c r="F93" s="49"/>
      <c r="G93" s="49"/>
      <c r="H93" s="49"/>
      <c r="I93" s="49"/>
    </row>
    <row r="94" spans="2:9" x14ac:dyDescent="0.25">
      <c r="B94" s="50" t="s">
        <v>0</v>
      </c>
      <c r="C94" s="50"/>
      <c r="D94" s="50"/>
      <c r="E94" s="50"/>
      <c r="F94" s="50"/>
      <c r="G94" s="50"/>
      <c r="H94" s="50"/>
      <c r="I94" s="50"/>
    </row>
    <row r="95" spans="2:9" ht="15.75" x14ac:dyDescent="0.25">
      <c r="B95" s="48" t="s">
        <v>1</v>
      </c>
      <c r="C95" s="48"/>
      <c r="D95" s="48"/>
      <c r="E95" s="48"/>
      <c r="F95" s="48"/>
      <c r="G95" s="48"/>
      <c r="H95" s="48"/>
      <c r="I95" s="48"/>
    </row>
    <row r="97" spans="2:16" ht="15.75" x14ac:dyDescent="0.25">
      <c r="B97" s="48" t="s">
        <v>42</v>
      </c>
      <c r="C97" s="48"/>
      <c r="D97" s="48"/>
      <c r="E97" s="48"/>
      <c r="F97" s="48"/>
      <c r="G97" s="48"/>
      <c r="H97" s="48"/>
      <c r="I97" s="48"/>
    </row>
    <row r="98" spans="2:16" x14ac:dyDescent="0.25">
      <c r="B98" s="18" t="s">
        <v>2</v>
      </c>
      <c r="C98" s="19"/>
      <c r="D98" s="19"/>
      <c r="E98" s="19" t="s">
        <v>3</v>
      </c>
      <c r="F98" s="19" t="s">
        <v>2</v>
      </c>
      <c r="G98" s="19"/>
      <c r="H98" s="19"/>
      <c r="I98" s="20" t="s">
        <v>3</v>
      </c>
      <c r="J98" s="42" t="s">
        <v>79</v>
      </c>
      <c r="K98">
        <f>E101*100/I99</f>
        <v>12.67</v>
      </c>
    </row>
    <row r="99" spans="2:16" x14ac:dyDescent="0.25">
      <c r="B99" s="4" t="s">
        <v>4</v>
      </c>
      <c r="C99" s="3"/>
      <c r="D99" s="3"/>
      <c r="E99" s="3">
        <f>I8</f>
        <v>275000</v>
      </c>
      <c r="F99" s="3" t="s">
        <v>18</v>
      </c>
      <c r="G99" s="3"/>
      <c r="H99" s="3"/>
      <c r="I99" s="5">
        <f>I7*1.15</f>
        <v>8049999.9999999991</v>
      </c>
      <c r="J99" t="s">
        <v>80</v>
      </c>
      <c r="K99">
        <f>E113*100/I99</f>
        <v>10.288012422360248</v>
      </c>
    </row>
    <row r="100" spans="2:16" x14ac:dyDescent="0.25">
      <c r="B100" s="4" t="s">
        <v>5</v>
      </c>
      <c r="C100" s="3"/>
      <c r="D100" s="3"/>
      <c r="E100" s="3">
        <f>E8*1.2</f>
        <v>7440000</v>
      </c>
      <c r="F100" s="3" t="s">
        <v>19</v>
      </c>
      <c r="G100" s="3"/>
      <c r="H100" s="3"/>
      <c r="I100" s="5">
        <f>I102-I99</f>
        <v>684935.00000000093</v>
      </c>
    </row>
    <row r="101" spans="2:16" x14ac:dyDescent="0.25">
      <c r="B101" s="13" t="s">
        <v>6</v>
      </c>
      <c r="C101" s="3"/>
      <c r="D101" s="3"/>
      <c r="E101" s="3">
        <f>I99*0.1267</f>
        <v>1019934.9999999999</v>
      </c>
      <c r="F101" s="3"/>
      <c r="G101" s="3"/>
      <c r="H101" s="3"/>
      <c r="I101" s="5"/>
      <c r="L101" s="4" t="s">
        <v>7</v>
      </c>
      <c r="M101" s="3"/>
      <c r="N101" s="3"/>
      <c r="O101" s="3">
        <v>120000</v>
      </c>
      <c r="P101">
        <f>O101*1.1</f>
        <v>132000</v>
      </c>
    </row>
    <row r="102" spans="2:16" x14ac:dyDescent="0.25">
      <c r="B102" s="4"/>
      <c r="C102" s="3"/>
      <c r="D102" s="3"/>
      <c r="E102" s="2">
        <f>SUM(E99:E101)</f>
        <v>8734935</v>
      </c>
      <c r="F102" s="3"/>
      <c r="G102" s="3"/>
      <c r="H102" s="3"/>
      <c r="I102" s="5">
        <f>E102</f>
        <v>8734935</v>
      </c>
      <c r="L102" s="4" t="s">
        <v>8</v>
      </c>
      <c r="M102" s="3"/>
      <c r="N102" s="3"/>
      <c r="O102" s="41">
        <v>25000</v>
      </c>
      <c r="P102">
        <f t="shared" ref="P102:P110" si="0">O102*1.1</f>
        <v>27500.000000000004</v>
      </c>
    </row>
    <row r="103" spans="2:16" x14ac:dyDescent="0.25">
      <c r="B103" s="4" t="s">
        <v>7</v>
      </c>
      <c r="C103" s="3"/>
      <c r="D103" s="3"/>
      <c r="E103" s="3">
        <v>125000</v>
      </c>
      <c r="F103" s="15" t="s">
        <v>20</v>
      </c>
      <c r="G103" s="15"/>
      <c r="H103" s="15"/>
      <c r="I103" s="5">
        <f>E101</f>
        <v>1019934.9999999999</v>
      </c>
      <c r="L103" s="4" t="s">
        <v>9</v>
      </c>
      <c r="M103" s="3"/>
      <c r="N103" s="3"/>
      <c r="O103" s="41">
        <v>13500</v>
      </c>
      <c r="P103">
        <f t="shared" si="0"/>
        <v>14850.000000000002</v>
      </c>
    </row>
    <row r="104" spans="2:16" x14ac:dyDescent="0.25">
      <c r="B104" s="4" t="s">
        <v>8</v>
      </c>
      <c r="C104" s="3"/>
      <c r="D104" s="3"/>
      <c r="E104" s="3">
        <v>26000</v>
      </c>
      <c r="F104" s="3" t="s">
        <v>21</v>
      </c>
      <c r="G104" s="3"/>
      <c r="H104" s="3"/>
      <c r="I104" s="5">
        <v>6800</v>
      </c>
      <c r="L104" s="4" t="s">
        <v>10</v>
      </c>
      <c r="M104" s="3"/>
      <c r="N104" s="3"/>
      <c r="O104" s="41">
        <v>4500</v>
      </c>
      <c r="P104">
        <f t="shared" si="0"/>
        <v>4950</v>
      </c>
    </row>
    <row r="105" spans="2:16" x14ac:dyDescent="0.25">
      <c r="B105" s="4" t="s">
        <v>9</v>
      </c>
      <c r="C105" s="3"/>
      <c r="D105" s="3"/>
      <c r="E105" s="3">
        <v>16500</v>
      </c>
      <c r="F105" s="3"/>
      <c r="G105" s="3"/>
      <c r="H105" s="3"/>
      <c r="I105" s="5"/>
      <c r="L105" s="4" t="s">
        <v>11</v>
      </c>
      <c r="M105" s="3"/>
      <c r="N105" s="3"/>
      <c r="O105" s="41">
        <v>4500</v>
      </c>
      <c r="P105">
        <f t="shared" si="0"/>
        <v>4950</v>
      </c>
    </row>
    <row r="106" spans="2:16" x14ac:dyDescent="0.25">
      <c r="B106" s="4" t="s">
        <v>10</v>
      </c>
      <c r="C106" s="3"/>
      <c r="D106" s="3"/>
      <c r="E106" s="41">
        <v>4700</v>
      </c>
      <c r="F106" s="3"/>
      <c r="G106" s="3"/>
      <c r="H106" s="3"/>
      <c r="I106" s="5"/>
      <c r="L106" s="4" t="s">
        <v>12</v>
      </c>
      <c r="M106" s="3"/>
      <c r="N106" s="3"/>
      <c r="O106" s="41">
        <v>1600</v>
      </c>
      <c r="P106">
        <f t="shared" si="0"/>
        <v>1760.0000000000002</v>
      </c>
    </row>
    <row r="107" spans="2:16" x14ac:dyDescent="0.25">
      <c r="B107" s="4" t="s">
        <v>11</v>
      </c>
      <c r="C107" s="3"/>
      <c r="D107" s="3"/>
      <c r="E107" s="41">
        <v>4600</v>
      </c>
      <c r="F107" s="3"/>
      <c r="G107" s="3"/>
      <c r="H107" s="3"/>
      <c r="I107" s="5"/>
      <c r="L107" s="4" t="s">
        <v>14</v>
      </c>
      <c r="M107" s="3"/>
      <c r="N107" s="3"/>
      <c r="O107" s="41">
        <v>4500</v>
      </c>
      <c r="P107">
        <f t="shared" si="0"/>
        <v>4950</v>
      </c>
    </row>
    <row r="108" spans="2:16" x14ac:dyDescent="0.25">
      <c r="B108" s="4" t="s">
        <v>12</v>
      </c>
      <c r="C108" s="3"/>
      <c r="D108" s="3"/>
      <c r="E108" s="41">
        <v>2100</v>
      </c>
      <c r="F108" s="3"/>
      <c r="G108" s="3"/>
      <c r="H108" s="3"/>
      <c r="I108" s="5"/>
      <c r="L108" s="4" t="s">
        <v>13</v>
      </c>
      <c r="M108" s="3"/>
      <c r="N108" s="3"/>
      <c r="O108" s="41">
        <v>1600</v>
      </c>
      <c r="P108">
        <f t="shared" si="0"/>
        <v>1760.0000000000002</v>
      </c>
    </row>
    <row r="109" spans="2:16" x14ac:dyDescent="0.25">
      <c r="B109" s="4" t="s">
        <v>14</v>
      </c>
      <c r="C109" s="3"/>
      <c r="D109" s="3"/>
      <c r="E109" s="41">
        <v>5500</v>
      </c>
      <c r="F109" s="3"/>
      <c r="G109" s="3"/>
      <c r="H109" s="3"/>
      <c r="I109" s="5"/>
      <c r="L109" s="4" t="s">
        <v>15</v>
      </c>
      <c r="M109" s="3"/>
      <c r="N109" s="3"/>
      <c r="O109" s="41">
        <v>2800</v>
      </c>
      <c r="P109">
        <f t="shared" si="0"/>
        <v>3080.0000000000005</v>
      </c>
    </row>
    <row r="110" spans="2:16" x14ac:dyDescent="0.25">
      <c r="B110" s="4" t="s">
        <v>13</v>
      </c>
      <c r="C110" s="3"/>
      <c r="D110" s="3"/>
      <c r="E110" s="41">
        <v>1950</v>
      </c>
      <c r="F110" s="3"/>
      <c r="G110" s="3"/>
      <c r="H110" s="3"/>
      <c r="I110" s="5"/>
      <c r="L110" s="4" t="s">
        <v>16</v>
      </c>
      <c r="M110" s="3"/>
      <c r="N110" s="3"/>
      <c r="O110" s="41">
        <v>7600</v>
      </c>
      <c r="P110">
        <f t="shared" si="0"/>
        <v>8360</v>
      </c>
    </row>
    <row r="111" spans="2:16" x14ac:dyDescent="0.25">
      <c r="B111" s="4" t="s">
        <v>15</v>
      </c>
      <c r="C111" s="3"/>
      <c r="D111" s="3"/>
      <c r="E111" s="41">
        <v>3600</v>
      </c>
      <c r="F111" s="3"/>
      <c r="G111" s="3"/>
      <c r="H111" s="3"/>
      <c r="I111" s="5"/>
    </row>
    <row r="112" spans="2:16" x14ac:dyDescent="0.25">
      <c r="B112" s="4" t="s">
        <v>16</v>
      </c>
      <c r="C112" s="3"/>
      <c r="D112" s="3"/>
      <c r="E112" s="41">
        <v>8600</v>
      </c>
      <c r="F112" s="3"/>
      <c r="G112" s="3"/>
      <c r="H112" s="3"/>
      <c r="I112" s="5"/>
      <c r="L112">
        <f>SUM(E103:E112)</f>
        <v>198550</v>
      </c>
    </row>
    <row r="113" spans="2:9" x14ac:dyDescent="0.25">
      <c r="B113" s="13" t="s">
        <v>17</v>
      </c>
      <c r="C113" s="15"/>
      <c r="D113" s="15"/>
      <c r="E113" s="15">
        <f>E114-L112</f>
        <v>828184.99999999988</v>
      </c>
      <c r="F113" s="3"/>
      <c r="G113" s="3"/>
      <c r="H113" s="3"/>
      <c r="I113" s="5"/>
    </row>
    <row r="114" spans="2:9" x14ac:dyDescent="0.25">
      <c r="B114" s="6"/>
      <c r="C114" s="1"/>
      <c r="D114" s="1"/>
      <c r="E114" s="1">
        <f>I114</f>
        <v>1026734.9999999999</v>
      </c>
      <c r="F114" s="1"/>
      <c r="G114" s="1"/>
      <c r="H114" s="1"/>
      <c r="I114" s="7">
        <f>SUM(I103:I113)</f>
        <v>1026734.9999999999</v>
      </c>
    </row>
    <row r="141" spans="1:9" ht="18.75" x14ac:dyDescent="0.3">
      <c r="A141" s="49" t="s">
        <v>44</v>
      </c>
      <c r="B141" s="49"/>
      <c r="C141" s="49"/>
      <c r="D141" s="49"/>
      <c r="E141" s="49"/>
      <c r="F141" s="49"/>
      <c r="G141" s="49"/>
      <c r="H141" s="49"/>
      <c r="I141" s="49"/>
    </row>
    <row r="142" spans="1:9" ht="15.75" x14ac:dyDescent="0.25">
      <c r="A142" s="9"/>
      <c r="B142" s="10" t="s">
        <v>23</v>
      </c>
      <c r="C142" s="11"/>
      <c r="D142" s="11"/>
      <c r="E142" s="11" t="s">
        <v>24</v>
      </c>
      <c r="F142" s="11" t="s">
        <v>23</v>
      </c>
      <c r="G142" s="11"/>
      <c r="H142" s="11"/>
      <c r="I142" s="12" t="s">
        <v>24</v>
      </c>
    </row>
    <row r="143" spans="1:9" x14ac:dyDescent="0.25">
      <c r="A143" s="8"/>
      <c r="B143" s="17" t="s">
        <v>25</v>
      </c>
      <c r="C143" s="14"/>
      <c r="D143" s="15"/>
      <c r="E143" s="15"/>
      <c r="F143" s="14" t="s">
        <v>33</v>
      </c>
      <c r="G143" s="14"/>
      <c r="H143" s="15"/>
      <c r="I143" s="16"/>
    </row>
    <row r="144" spans="1:9" x14ac:dyDescent="0.25">
      <c r="B144" s="4" t="s">
        <v>26</v>
      </c>
      <c r="C144" s="3"/>
      <c r="D144" s="3">
        <f>E55</f>
        <v>1359035</v>
      </c>
      <c r="E144" s="3"/>
      <c r="F144" s="3" t="s">
        <v>34</v>
      </c>
      <c r="G144" s="3"/>
      <c r="H144" s="3"/>
      <c r="I144" s="5">
        <v>400000</v>
      </c>
    </row>
    <row r="145" spans="2:12" x14ac:dyDescent="0.25">
      <c r="B145" s="4" t="s">
        <v>27</v>
      </c>
      <c r="C145" s="3"/>
      <c r="D145" s="3">
        <f>E113</f>
        <v>828184.99999999988</v>
      </c>
      <c r="E145" s="3"/>
      <c r="F145" s="3"/>
      <c r="G145" s="3"/>
      <c r="H145" s="3"/>
      <c r="I145" s="5"/>
    </row>
    <row r="146" spans="2:12" x14ac:dyDescent="0.25">
      <c r="B146" s="4"/>
      <c r="C146" s="3"/>
      <c r="D146" s="3">
        <f>SUM(D144:D145)</f>
        <v>2187220</v>
      </c>
      <c r="E146" s="3"/>
      <c r="F146" s="14" t="s">
        <v>35</v>
      </c>
      <c r="G146" s="14"/>
      <c r="H146" s="14"/>
      <c r="I146" s="5"/>
      <c r="K146" t="s">
        <v>88</v>
      </c>
      <c r="L146">
        <f>SUM(I149:I152)</f>
        <v>1833220.0000000009</v>
      </c>
    </row>
    <row r="147" spans="2:12" x14ac:dyDescent="0.25">
      <c r="B147" s="4" t="s">
        <v>28</v>
      </c>
      <c r="C147" s="3"/>
      <c r="D147" s="1">
        <v>296500</v>
      </c>
      <c r="E147" s="3">
        <f>D146-D147</f>
        <v>1890720</v>
      </c>
      <c r="F147" s="3" t="s">
        <v>36</v>
      </c>
      <c r="G147" s="3"/>
      <c r="H147" s="3">
        <f>I100</f>
        <v>684935.00000000093</v>
      </c>
      <c r="I147" s="5"/>
      <c r="K147" t="s">
        <v>89</v>
      </c>
      <c r="L147">
        <f>SUM(E150:E153)</f>
        <v>342500</v>
      </c>
    </row>
    <row r="148" spans="2:12" x14ac:dyDescent="0.25">
      <c r="B148" s="4"/>
      <c r="C148" s="3"/>
      <c r="D148" s="3"/>
      <c r="E148" s="3"/>
      <c r="F148" s="3" t="s">
        <v>37</v>
      </c>
      <c r="G148" s="3"/>
      <c r="H148" s="3">
        <f>664500+60785</f>
        <v>725285</v>
      </c>
      <c r="I148" s="5"/>
      <c r="K148" t="s">
        <v>90</v>
      </c>
      <c r="L148">
        <f>L146/L147</f>
        <v>5.3524671532846746</v>
      </c>
    </row>
    <row r="149" spans="2:12" x14ac:dyDescent="0.25">
      <c r="B149" s="17" t="s">
        <v>29</v>
      </c>
      <c r="C149" s="14"/>
      <c r="D149" s="3"/>
      <c r="E149" s="3"/>
      <c r="F149" s="3" t="s">
        <v>38</v>
      </c>
      <c r="G149" s="3"/>
      <c r="H149" s="1">
        <v>298500</v>
      </c>
      <c r="I149" s="5">
        <f>SUM(H147:H149)</f>
        <v>1708720.0000000009</v>
      </c>
    </row>
    <row r="150" spans="2:12" x14ac:dyDescent="0.25">
      <c r="B150" s="4" t="s">
        <v>30</v>
      </c>
      <c r="C150" s="3"/>
      <c r="D150" s="3"/>
      <c r="E150" s="3">
        <v>256000</v>
      </c>
      <c r="F150" s="3"/>
      <c r="G150" s="3"/>
      <c r="H150" s="3"/>
      <c r="I150" s="5"/>
    </row>
    <row r="151" spans="2:12" x14ac:dyDescent="0.25">
      <c r="B151" s="4"/>
      <c r="C151" s="3"/>
      <c r="D151" s="3"/>
      <c r="E151" s="3"/>
      <c r="F151" s="14" t="s">
        <v>39</v>
      </c>
      <c r="G151" s="14"/>
      <c r="H151" s="14"/>
      <c r="I151" s="5"/>
    </row>
    <row r="152" spans="2:12" x14ac:dyDescent="0.25">
      <c r="B152" s="17" t="s">
        <v>31</v>
      </c>
      <c r="C152" s="14"/>
      <c r="D152" s="3"/>
      <c r="E152" s="3"/>
      <c r="F152" s="3" t="s">
        <v>40</v>
      </c>
      <c r="G152" s="3"/>
      <c r="H152" s="3"/>
      <c r="I152" s="5">
        <v>124500</v>
      </c>
    </row>
    <row r="153" spans="2:12" x14ac:dyDescent="0.25">
      <c r="B153" s="4" t="s">
        <v>32</v>
      </c>
      <c r="C153" s="3"/>
      <c r="D153" s="3"/>
      <c r="E153" s="3">
        <v>86500</v>
      </c>
      <c r="F153" s="3"/>
      <c r="G153" s="3"/>
      <c r="H153" s="3"/>
      <c r="I153" s="5"/>
    </row>
    <row r="154" spans="2:12" ht="15.75" thickBot="1" x14ac:dyDescent="0.3">
      <c r="B154" s="4"/>
      <c r="C154" s="3"/>
      <c r="D154" s="3"/>
      <c r="E154" s="45">
        <f>SUM(E144:E153)</f>
        <v>2233220</v>
      </c>
      <c r="F154" s="3"/>
      <c r="G154" s="3"/>
      <c r="H154" s="3"/>
      <c r="I154" s="43">
        <f>SUM(I144:I153)</f>
        <v>2233220.0000000009</v>
      </c>
      <c r="K154">
        <f>E154-I154</f>
        <v>0</v>
      </c>
    </row>
    <row r="155" spans="2:12" x14ac:dyDescent="0.25">
      <c r="B155" s="6"/>
      <c r="C155" s="1"/>
      <c r="D155" s="1"/>
      <c r="E155" s="1"/>
      <c r="F155" s="1"/>
      <c r="G155" s="1"/>
      <c r="H155" s="1"/>
      <c r="I155" s="7"/>
    </row>
    <row r="186" spans="2:9" ht="18.75" x14ac:dyDescent="0.3">
      <c r="B186" s="49" t="s">
        <v>0</v>
      </c>
      <c r="C186" s="49"/>
      <c r="D186" s="49"/>
      <c r="E186" s="49"/>
      <c r="F186" s="49"/>
      <c r="G186" s="49"/>
      <c r="H186" s="49"/>
      <c r="I186" s="49"/>
    </row>
    <row r="187" spans="2:9" x14ac:dyDescent="0.25">
      <c r="B187" s="50" t="s">
        <v>0</v>
      </c>
      <c r="C187" s="50"/>
      <c r="D187" s="50"/>
      <c r="E187" s="50"/>
      <c r="F187" s="50"/>
      <c r="G187" s="50"/>
      <c r="H187" s="50"/>
      <c r="I187" s="50"/>
    </row>
    <row r="188" spans="2:9" ht="15.75" x14ac:dyDescent="0.25">
      <c r="B188" s="48" t="s">
        <v>1</v>
      </c>
      <c r="C188" s="48"/>
      <c r="D188" s="48"/>
      <c r="E188" s="48"/>
      <c r="F188" s="48"/>
      <c r="G188" s="48"/>
      <c r="H188" s="48"/>
      <c r="I188" s="48"/>
    </row>
    <row r="190" spans="2:9" ht="15.75" x14ac:dyDescent="0.25">
      <c r="B190" s="48" t="s">
        <v>43</v>
      </c>
      <c r="C190" s="48"/>
      <c r="D190" s="48"/>
      <c r="E190" s="48"/>
      <c r="F190" s="48"/>
      <c r="G190" s="48"/>
      <c r="H190" s="48"/>
      <c r="I190" s="48"/>
    </row>
    <row r="191" spans="2:9" x14ac:dyDescent="0.25">
      <c r="B191" s="18" t="s">
        <v>2</v>
      </c>
      <c r="C191" s="19"/>
      <c r="D191" s="19"/>
      <c r="E191" s="19" t="s">
        <v>3</v>
      </c>
      <c r="F191" s="19" t="s">
        <v>2</v>
      </c>
      <c r="G191" s="19"/>
      <c r="H191" s="19"/>
      <c r="I191" s="20" t="s">
        <v>3</v>
      </c>
    </row>
    <row r="192" spans="2:9" x14ac:dyDescent="0.25">
      <c r="B192" s="4" t="s">
        <v>4</v>
      </c>
      <c r="C192" s="3"/>
      <c r="D192" s="3"/>
      <c r="E192" s="3">
        <f>I100</f>
        <v>684935.00000000093</v>
      </c>
      <c r="F192" s="3" t="s">
        <v>18</v>
      </c>
      <c r="G192" s="3"/>
      <c r="H192" s="3"/>
      <c r="I192" s="5">
        <f>I99*1.2</f>
        <v>9659999.9999999981</v>
      </c>
    </row>
    <row r="193" spans="2:16" x14ac:dyDescent="0.25">
      <c r="B193" s="4" t="s">
        <v>5</v>
      </c>
      <c r="C193" s="3"/>
      <c r="D193" s="3"/>
      <c r="E193" s="3">
        <f>E100*1.15</f>
        <v>8556000</v>
      </c>
      <c r="F193" s="3" t="s">
        <v>19</v>
      </c>
      <c r="G193" s="3"/>
      <c r="H193" s="3"/>
      <c r="I193" s="5">
        <f>I195-I192</f>
        <v>882137.00000000186</v>
      </c>
      <c r="J193" t="s">
        <v>79</v>
      </c>
      <c r="K193">
        <f>E194*100/I192</f>
        <v>13.469999999999997</v>
      </c>
    </row>
    <row r="194" spans="2:16" x14ac:dyDescent="0.25">
      <c r="B194" s="13" t="s">
        <v>6</v>
      </c>
      <c r="C194" s="3"/>
      <c r="D194" s="3"/>
      <c r="E194" s="3">
        <f>I192*0.1347</f>
        <v>1301201.9999999995</v>
      </c>
      <c r="F194" s="3"/>
      <c r="G194" s="3"/>
      <c r="H194" s="3"/>
      <c r="I194" s="5"/>
      <c r="J194" t="s">
        <v>80</v>
      </c>
      <c r="K194">
        <f>E206*100/I192</f>
        <v>11.19562111801242</v>
      </c>
    </row>
    <row r="195" spans="2:16" ht="15.75" thickBot="1" x14ac:dyDescent="0.3">
      <c r="B195" s="4"/>
      <c r="C195" s="3"/>
      <c r="D195" s="3"/>
      <c r="E195" s="44">
        <f>SUM(E192:E194)</f>
        <v>10542137</v>
      </c>
      <c r="F195" s="3"/>
      <c r="G195" s="3"/>
      <c r="H195" s="3"/>
      <c r="I195" s="43">
        <f>E195</f>
        <v>10542137</v>
      </c>
    </row>
    <row r="196" spans="2:16" x14ac:dyDescent="0.25">
      <c r="B196" s="4" t="s">
        <v>7</v>
      </c>
      <c r="C196" s="3"/>
      <c r="D196" s="3"/>
      <c r="E196" s="3">
        <v>145000</v>
      </c>
      <c r="F196" s="15" t="s">
        <v>20</v>
      </c>
      <c r="G196" s="15"/>
      <c r="H196" s="15"/>
      <c r="I196" s="5">
        <f>E194</f>
        <v>1301201.9999999995</v>
      </c>
      <c r="K196" s="4" t="s">
        <v>7</v>
      </c>
      <c r="L196" s="3"/>
      <c r="M196" s="3"/>
      <c r="N196" s="3">
        <v>120000</v>
      </c>
      <c r="O196">
        <f>N196*1.1</f>
        <v>132000</v>
      </c>
      <c r="P196">
        <f>O196*1.1</f>
        <v>145200</v>
      </c>
    </row>
    <row r="197" spans="2:16" x14ac:dyDescent="0.25">
      <c r="B197" s="4" t="s">
        <v>8</v>
      </c>
      <c r="C197" s="3"/>
      <c r="D197" s="3"/>
      <c r="E197" s="3">
        <v>31000</v>
      </c>
      <c r="F197" s="3" t="s">
        <v>21</v>
      </c>
      <c r="G197" s="3"/>
      <c r="H197" s="3"/>
      <c r="I197" s="5">
        <v>7600</v>
      </c>
      <c r="K197" s="4" t="s">
        <v>8</v>
      </c>
      <c r="L197" s="3"/>
      <c r="M197" s="3"/>
      <c r="N197" s="41">
        <v>25000</v>
      </c>
      <c r="O197">
        <f t="shared" ref="O197:P205" si="1">N197*1.1</f>
        <v>27500.000000000004</v>
      </c>
      <c r="P197">
        <f t="shared" si="1"/>
        <v>30250.000000000007</v>
      </c>
    </row>
    <row r="198" spans="2:16" x14ac:dyDescent="0.25">
      <c r="B198" s="4" t="s">
        <v>9</v>
      </c>
      <c r="C198" s="3"/>
      <c r="D198" s="3"/>
      <c r="E198" s="3">
        <v>16335</v>
      </c>
      <c r="F198" s="3"/>
      <c r="G198" s="3"/>
      <c r="H198" s="3"/>
      <c r="I198" s="5"/>
      <c r="K198" s="4" t="s">
        <v>9</v>
      </c>
      <c r="L198" s="3"/>
      <c r="M198" s="3"/>
      <c r="N198" s="41">
        <v>13500</v>
      </c>
      <c r="O198">
        <f t="shared" si="1"/>
        <v>14850.000000000002</v>
      </c>
      <c r="P198">
        <f t="shared" si="1"/>
        <v>16335.000000000004</v>
      </c>
    </row>
    <row r="199" spans="2:16" x14ac:dyDescent="0.25">
      <c r="B199" s="4" t="s">
        <v>10</v>
      </c>
      <c r="C199" s="3"/>
      <c r="D199" s="3"/>
      <c r="E199" s="41">
        <v>5670</v>
      </c>
      <c r="F199" s="3"/>
      <c r="G199" s="3"/>
      <c r="H199" s="3"/>
      <c r="I199" s="5"/>
      <c r="K199" s="4" t="s">
        <v>10</v>
      </c>
      <c r="L199" s="3"/>
      <c r="M199" s="3"/>
      <c r="N199" s="41">
        <v>4500</v>
      </c>
      <c r="O199">
        <f t="shared" si="1"/>
        <v>4950</v>
      </c>
      <c r="P199">
        <f t="shared" si="1"/>
        <v>5445</v>
      </c>
    </row>
    <row r="200" spans="2:16" x14ac:dyDescent="0.25">
      <c r="B200" s="4" t="s">
        <v>11</v>
      </c>
      <c r="C200" s="3"/>
      <c r="D200" s="3"/>
      <c r="E200" s="41">
        <v>6800</v>
      </c>
      <c r="F200" s="3"/>
      <c r="G200" s="3"/>
      <c r="H200" s="3"/>
      <c r="I200" s="5"/>
      <c r="K200" s="4" t="s">
        <v>11</v>
      </c>
      <c r="L200" s="3"/>
      <c r="M200" s="3"/>
      <c r="N200" s="41">
        <v>4500</v>
      </c>
      <c r="O200">
        <f t="shared" si="1"/>
        <v>4950</v>
      </c>
      <c r="P200">
        <f t="shared" si="1"/>
        <v>5445</v>
      </c>
    </row>
    <row r="201" spans="2:16" x14ac:dyDescent="0.25">
      <c r="B201" s="4" t="s">
        <v>12</v>
      </c>
      <c r="C201" s="3"/>
      <c r="D201" s="3"/>
      <c r="E201" s="41">
        <v>2100</v>
      </c>
      <c r="F201" s="3"/>
      <c r="G201" s="3"/>
      <c r="H201" s="3"/>
      <c r="I201" s="5"/>
      <c r="K201" s="4" t="s">
        <v>12</v>
      </c>
      <c r="L201" s="3"/>
      <c r="M201" s="3"/>
      <c r="N201" s="41">
        <v>1600</v>
      </c>
      <c r="O201">
        <f t="shared" si="1"/>
        <v>1760.0000000000002</v>
      </c>
      <c r="P201">
        <f t="shared" si="1"/>
        <v>1936.0000000000005</v>
      </c>
    </row>
    <row r="202" spans="2:16" x14ac:dyDescent="0.25">
      <c r="B202" s="4" t="s">
        <v>14</v>
      </c>
      <c r="C202" s="3"/>
      <c r="D202" s="3"/>
      <c r="E202" s="41">
        <v>5600</v>
      </c>
      <c r="F202" s="3"/>
      <c r="G202" s="3"/>
      <c r="H202" s="3"/>
      <c r="I202" s="5"/>
      <c r="K202" s="4" t="s">
        <v>14</v>
      </c>
      <c r="L202" s="3"/>
      <c r="M202" s="3"/>
      <c r="N202" s="41">
        <v>4500</v>
      </c>
      <c r="O202">
        <f t="shared" si="1"/>
        <v>4950</v>
      </c>
      <c r="P202">
        <f t="shared" si="1"/>
        <v>5445</v>
      </c>
    </row>
    <row r="203" spans="2:16" x14ac:dyDescent="0.25">
      <c r="B203" s="4" t="s">
        <v>13</v>
      </c>
      <c r="C203" s="3"/>
      <c r="D203" s="3"/>
      <c r="E203" s="41">
        <v>2150</v>
      </c>
      <c r="F203" s="3"/>
      <c r="G203" s="3"/>
      <c r="H203" s="3"/>
      <c r="I203" s="5"/>
      <c r="K203" s="4" t="s">
        <v>13</v>
      </c>
      <c r="L203" s="3"/>
      <c r="M203" s="3"/>
      <c r="N203" s="41">
        <v>1600</v>
      </c>
      <c r="O203">
        <f t="shared" si="1"/>
        <v>1760.0000000000002</v>
      </c>
      <c r="P203">
        <f t="shared" si="1"/>
        <v>1936.0000000000005</v>
      </c>
    </row>
    <row r="204" spans="2:16" x14ac:dyDescent="0.25">
      <c r="B204" s="4" t="s">
        <v>15</v>
      </c>
      <c r="C204" s="3"/>
      <c r="D204" s="3"/>
      <c r="E204" s="41">
        <v>3500</v>
      </c>
      <c r="F204" s="3"/>
      <c r="G204" s="3"/>
      <c r="H204" s="3"/>
      <c r="I204" s="5"/>
      <c r="K204" s="4" t="s">
        <v>15</v>
      </c>
      <c r="L204" s="3"/>
      <c r="M204" s="3"/>
      <c r="N204" s="41">
        <v>2800</v>
      </c>
      <c r="O204">
        <f t="shared" si="1"/>
        <v>3080.0000000000005</v>
      </c>
      <c r="P204">
        <f t="shared" si="1"/>
        <v>3388.0000000000009</v>
      </c>
    </row>
    <row r="205" spans="2:16" x14ac:dyDescent="0.25">
      <c r="B205" s="4" t="s">
        <v>16</v>
      </c>
      <c r="C205" s="3"/>
      <c r="D205" s="3"/>
      <c r="E205" s="41">
        <v>9150</v>
      </c>
      <c r="F205" s="3"/>
      <c r="G205" s="3"/>
      <c r="H205" s="3"/>
      <c r="I205" s="5"/>
      <c r="K205" s="4" t="s">
        <v>16</v>
      </c>
      <c r="L205" s="3"/>
      <c r="M205" s="3"/>
      <c r="N205" s="41">
        <v>7600</v>
      </c>
      <c r="O205">
        <f t="shared" si="1"/>
        <v>8360</v>
      </c>
      <c r="P205">
        <f t="shared" si="1"/>
        <v>9196</v>
      </c>
    </row>
    <row r="206" spans="2:16" x14ac:dyDescent="0.25">
      <c r="B206" s="13" t="s">
        <v>17</v>
      </c>
      <c r="C206" s="15"/>
      <c r="D206" s="15"/>
      <c r="E206" s="15">
        <f>E207-P207</f>
        <v>1081496.9999999995</v>
      </c>
      <c r="F206" s="3"/>
      <c r="G206" s="3"/>
      <c r="H206" s="3"/>
      <c r="I206" s="5"/>
      <c r="N206">
        <f>SUM(N196:N205)</f>
        <v>185600</v>
      </c>
      <c r="O206">
        <f t="shared" ref="O206:P206" si="2">SUM(O196:O205)</f>
        <v>204160</v>
      </c>
      <c r="P206">
        <f t="shared" si="2"/>
        <v>224576</v>
      </c>
    </row>
    <row r="207" spans="2:16" x14ac:dyDescent="0.25">
      <c r="B207" s="6"/>
      <c r="C207" s="1"/>
      <c r="D207" s="1"/>
      <c r="E207" s="1">
        <f>I207</f>
        <v>1308801.9999999995</v>
      </c>
      <c r="F207" s="1"/>
      <c r="G207" s="1"/>
      <c r="H207" s="1"/>
      <c r="I207" s="7">
        <f>SUM(I196:I206)</f>
        <v>1308801.9999999995</v>
      </c>
      <c r="P207">
        <f>SUM(E196:E205)</f>
        <v>227305</v>
      </c>
    </row>
    <row r="233" spans="1:9" ht="18.75" x14ac:dyDescent="0.3">
      <c r="A233" s="49" t="s">
        <v>45</v>
      </c>
      <c r="B233" s="49"/>
      <c r="C233" s="49"/>
      <c r="D233" s="49"/>
      <c r="E233" s="49"/>
      <c r="F233" s="49"/>
      <c r="G233" s="49"/>
      <c r="H233" s="49"/>
      <c r="I233" s="49"/>
    </row>
    <row r="234" spans="1:9" ht="15.75" x14ac:dyDescent="0.25">
      <c r="A234" s="9"/>
      <c r="B234" s="22" t="s">
        <v>23</v>
      </c>
      <c r="C234" s="21"/>
      <c r="D234" s="21"/>
      <c r="E234" s="22" t="s">
        <v>83</v>
      </c>
      <c r="F234" s="22" t="s">
        <v>23</v>
      </c>
      <c r="G234" s="21"/>
      <c r="H234" s="21"/>
      <c r="I234" s="22" t="s">
        <v>83</v>
      </c>
    </row>
    <row r="235" spans="1:9" x14ac:dyDescent="0.25">
      <c r="A235" s="8"/>
      <c r="B235" s="17" t="s">
        <v>91</v>
      </c>
      <c r="C235" s="14"/>
      <c r="D235" s="15"/>
      <c r="E235" s="15"/>
      <c r="F235" s="14" t="s">
        <v>33</v>
      </c>
      <c r="G235" s="14"/>
      <c r="H235" s="15"/>
      <c r="I235" s="16"/>
    </row>
    <row r="236" spans="1:9" x14ac:dyDescent="0.25">
      <c r="B236" s="4" t="s">
        <v>26</v>
      </c>
      <c r="C236" s="3"/>
      <c r="D236" s="3">
        <f>E147</f>
        <v>1890720</v>
      </c>
      <c r="E236" s="3"/>
      <c r="F236" s="3" t="s">
        <v>34</v>
      </c>
      <c r="G236" s="3"/>
      <c r="H236" s="3"/>
      <c r="I236" s="5">
        <v>560800</v>
      </c>
    </row>
    <row r="237" spans="1:9" x14ac:dyDescent="0.25">
      <c r="B237" s="4" t="s">
        <v>27</v>
      </c>
      <c r="C237" s="3"/>
      <c r="D237" s="3">
        <f>E206</f>
        <v>1081496.9999999995</v>
      </c>
      <c r="E237" s="3"/>
      <c r="F237" s="3"/>
      <c r="G237" s="3"/>
      <c r="H237" s="3"/>
      <c r="I237" s="5"/>
    </row>
    <row r="238" spans="1:9" x14ac:dyDescent="0.25">
      <c r="B238" s="4"/>
      <c r="C238" s="3"/>
      <c r="D238" s="3">
        <f>SUM(D236:D237)</f>
        <v>2972216.9999999995</v>
      </c>
      <c r="E238" s="3"/>
      <c r="F238" s="14" t="s">
        <v>35</v>
      </c>
      <c r="G238" s="14"/>
      <c r="H238" s="14"/>
      <c r="I238" s="5"/>
    </row>
    <row r="239" spans="1:9" x14ac:dyDescent="0.25">
      <c r="B239" s="4" t="s">
        <v>28</v>
      </c>
      <c r="C239" s="3"/>
      <c r="D239" s="1">
        <v>515600</v>
      </c>
      <c r="E239" s="3">
        <f>D238-D239</f>
        <v>2456616.9999999995</v>
      </c>
      <c r="F239" s="3" t="s">
        <v>36</v>
      </c>
      <c r="G239" s="3"/>
      <c r="H239" s="3">
        <f>I193</f>
        <v>882137.00000000186</v>
      </c>
      <c r="I239" s="5"/>
    </row>
    <row r="240" spans="1:9" x14ac:dyDescent="0.25">
      <c r="B240" s="4"/>
      <c r="C240" s="3"/>
      <c r="D240" s="3"/>
      <c r="E240" s="3"/>
      <c r="F240" s="3" t="s">
        <v>37</v>
      </c>
      <c r="G240" s="3"/>
      <c r="H240" s="3">
        <v>816500</v>
      </c>
      <c r="I240" s="5"/>
    </row>
    <row r="241" spans="2:12" x14ac:dyDescent="0.25">
      <c r="B241" s="17" t="s">
        <v>29</v>
      </c>
      <c r="C241" s="14"/>
      <c r="D241" s="3"/>
      <c r="E241" s="3"/>
      <c r="F241" s="3" t="s">
        <v>38</v>
      </c>
      <c r="G241" s="3"/>
      <c r="H241" s="1">
        <v>416500</v>
      </c>
      <c r="I241" s="5">
        <f>SUM(H239:H241)</f>
        <v>2115137.0000000019</v>
      </c>
      <c r="K241" t="s">
        <v>88</v>
      </c>
      <c r="L241">
        <f>SUM(I241:I245)</f>
        <v>2140817.0000000019</v>
      </c>
    </row>
    <row r="242" spans="2:12" x14ac:dyDescent="0.25">
      <c r="B242" s="4" t="s">
        <v>30</v>
      </c>
      <c r="C242" s="3"/>
      <c r="D242" s="3"/>
      <c r="E242" s="3">
        <v>158500</v>
      </c>
      <c r="F242" s="3"/>
      <c r="G242" s="3"/>
      <c r="H242" s="3"/>
      <c r="I242" s="5"/>
      <c r="K242" t="s">
        <v>89</v>
      </c>
      <c r="L242">
        <f>SUM(E242:E245)</f>
        <v>245000</v>
      </c>
    </row>
    <row r="243" spans="2:12" x14ac:dyDescent="0.25">
      <c r="B243" s="4"/>
      <c r="C243" s="3"/>
      <c r="D243" s="3"/>
      <c r="E243" s="3"/>
      <c r="F243" s="14" t="s">
        <v>82</v>
      </c>
      <c r="G243" s="14"/>
      <c r="H243" s="14"/>
      <c r="I243" s="5"/>
      <c r="K243" t="s">
        <v>90</v>
      </c>
      <c r="L243">
        <f>L241/L242</f>
        <v>8.738028571428579</v>
      </c>
    </row>
    <row r="244" spans="2:12" x14ac:dyDescent="0.25">
      <c r="B244" s="17" t="s">
        <v>31</v>
      </c>
      <c r="C244" s="14"/>
      <c r="D244" s="3"/>
      <c r="E244" s="3"/>
      <c r="F244" s="3" t="s">
        <v>40</v>
      </c>
      <c r="G244" s="3"/>
      <c r="H244" s="3"/>
      <c r="I244" s="5">
        <v>25680</v>
      </c>
    </row>
    <row r="245" spans="2:12" x14ac:dyDescent="0.25">
      <c r="B245" s="4" t="s">
        <v>32</v>
      </c>
      <c r="C245" s="3"/>
      <c r="D245" s="3"/>
      <c r="E245" s="3">
        <v>86500</v>
      </c>
      <c r="F245" s="3"/>
      <c r="G245" s="3"/>
      <c r="H245" s="3"/>
      <c r="I245" s="5"/>
    </row>
    <row r="246" spans="2:12" ht="15.75" thickBot="1" x14ac:dyDescent="0.3">
      <c r="B246" s="4"/>
      <c r="C246" s="3"/>
      <c r="D246" s="3"/>
      <c r="E246" s="45">
        <f>SUM(E236:E245)</f>
        <v>2701616.9999999995</v>
      </c>
      <c r="F246" s="3"/>
      <c r="G246" s="3"/>
      <c r="H246" s="3"/>
      <c r="I246" s="43">
        <f>SUM(I236:I245)</f>
        <v>2701617.0000000019</v>
      </c>
      <c r="K246">
        <f>E246-I246</f>
        <v>0</v>
      </c>
    </row>
    <row r="247" spans="2:12" x14ac:dyDescent="0.25">
      <c r="B247" s="6"/>
      <c r="C247" s="1"/>
      <c r="D247" s="1"/>
      <c r="E247" s="1"/>
      <c r="F247" s="1"/>
      <c r="G247" s="1"/>
      <c r="H247" s="1"/>
      <c r="I247" s="7"/>
    </row>
  </sheetData>
  <mergeCells count="15">
    <mergeCell ref="A233:I233"/>
    <mergeCell ref="B93:I93"/>
    <mergeCell ref="B94:I94"/>
    <mergeCell ref="B95:I95"/>
    <mergeCell ref="B97:I97"/>
    <mergeCell ref="B186:I186"/>
    <mergeCell ref="B187:I187"/>
    <mergeCell ref="B188:I188"/>
    <mergeCell ref="B190:I190"/>
    <mergeCell ref="A141:I141"/>
    <mergeCell ref="B5:I5"/>
    <mergeCell ref="B1:I1"/>
    <mergeCell ref="B2:I2"/>
    <mergeCell ref="B3:I3"/>
    <mergeCell ref="A49:I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118" zoomScaleNormal="100" zoomScaleSheetLayoutView="118" workbookViewId="0">
      <selection activeCell="H12" sqref="H12"/>
    </sheetView>
  </sheetViews>
  <sheetFormatPr defaultRowHeight="15" x14ac:dyDescent="0.25"/>
  <cols>
    <col min="1" max="1" width="3.28515625" customWidth="1"/>
    <col min="2" max="2" width="21.42578125" customWidth="1"/>
    <col min="3" max="3" width="9.42578125" customWidth="1"/>
    <col min="4" max="6" width="12.7109375" customWidth="1"/>
    <col min="7" max="7" width="10.85546875" bestFit="1" customWidth="1"/>
  </cols>
  <sheetData>
    <row r="1" spans="1:9" ht="18.75" x14ac:dyDescent="0.3">
      <c r="B1" s="49" t="s">
        <v>0</v>
      </c>
      <c r="C1" s="49"/>
      <c r="D1" s="49"/>
      <c r="E1" s="49"/>
      <c r="F1" s="49"/>
      <c r="G1" s="23"/>
      <c r="H1" s="23"/>
      <c r="I1" s="23"/>
    </row>
    <row r="2" spans="1:9" x14ac:dyDescent="0.25">
      <c r="B2" s="50" t="s">
        <v>0</v>
      </c>
      <c r="C2" s="50"/>
      <c r="D2" s="50"/>
      <c r="E2" s="50"/>
      <c r="F2" s="50"/>
      <c r="G2" s="24"/>
      <c r="H2" s="24"/>
      <c r="I2" s="24"/>
    </row>
    <row r="3" spans="1:9" ht="15.75" x14ac:dyDescent="0.25">
      <c r="B3" s="48" t="s">
        <v>1</v>
      </c>
      <c r="C3" s="48"/>
      <c r="D3" s="48"/>
      <c r="E3" s="48"/>
      <c r="F3" s="48"/>
      <c r="G3" s="25"/>
      <c r="H3" s="25"/>
      <c r="I3" s="25"/>
    </row>
    <row r="5" spans="1:9" ht="15.75" x14ac:dyDescent="0.25">
      <c r="A5" s="1"/>
      <c r="B5" s="51" t="s">
        <v>46</v>
      </c>
      <c r="C5" s="51"/>
      <c r="D5" s="51"/>
      <c r="E5" s="51"/>
      <c r="F5" s="51"/>
      <c r="G5" s="25"/>
      <c r="H5" s="25"/>
      <c r="I5" s="25"/>
    </row>
    <row r="6" spans="1:9" x14ac:dyDescent="0.25">
      <c r="A6" s="27"/>
      <c r="B6" s="31" t="s">
        <v>47</v>
      </c>
      <c r="C6" s="32"/>
      <c r="D6" s="33" t="s">
        <v>48</v>
      </c>
      <c r="E6" s="33" t="s">
        <v>49</v>
      </c>
      <c r="F6" s="32" t="s">
        <v>50</v>
      </c>
    </row>
    <row r="7" spans="1:9" x14ac:dyDescent="0.25">
      <c r="A7" s="28"/>
      <c r="B7" s="34"/>
      <c r="C7" s="35"/>
      <c r="D7" s="36" t="s">
        <v>51</v>
      </c>
      <c r="E7" s="36" t="s">
        <v>52</v>
      </c>
      <c r="F7" s="35" t="s">
        <v>53</v>
      </c>
    </row>
    <row r="8" spans="1:9" x14ac:dyDescent="0.25">
      <c r="A8" s="29"/>
      <c r="B8" s="3"/>
      <c r="C8" s="26"/>
      <c r="D8" s="5"/>
      <c r="E8" s="29"/>
      <c r="F8" s="5"/>
    </row>
    <row r="9" spans="1:9" x14ac:dyDescent="0.25">
      <c r="A9" s="29"/>
      <c r="B9" s="3" t="s">
        <v>55</v>
      </c>
      <c r="C9" s="5"/>
      <c r="D9" s="29">
        <f>Sheet1!E9/100000</f>
        <v>8.25</v>
      </c>
      <c r="E9" s="47">
        <f>Sheet1!E101/100000</f>
        <v>10.199349999999999</v>
      </c>
      <c r="F9" s="47">
        <f>Sheet1!E194/100000</f>
        <v>13.012019999999996</v>
      </c>
    </row>
    <row r="10" spans="1:9" x14ac:dyDescent="0.25">
      <c r="A10" s="29"/>
      <c r="B10" s="3"/>
      <c r="C10" s="5"/>
      <c r="D10" s="28"/>
      <c r="E10" s="5"/>
      <c r="F10" s="5"/>
    </row>
    <row r="11" spans="1:9" x14ac:dyDescent="0.25">
      <c r="A11" s="29"/>
      <c r="B11" s="3" t="s">
        <v>54</v>
      </c>
      <c r="C11" s="5"/>
      <c r="D11" s="30">
        <f>Sheet1!E21/100000</f>
        <v>6.45</v>
      </c>
      <c r="E11" s="46">
        <f>Sheet1!E113/100000</f>
        <v>8.2818499999999986</v>
      </c>
      <c r="F11" s="47">
        <f>Sheet1!E206/100000</f>
        <v>10.814969999999995</v>
      </c>
      <c r="G11" t="s">
        <v>87</v>
      </c>
    </row>
    <row r="12" spans="1:9" x14ac:dyDescent="0.25">
      <c r="A12" s="29"/>
      <c r="B12" s="3"/>
      <c r="C12" s="5"/>
      <c r="D12" s="29"/>
      <c r="E12" s="29"/>
      <c r="F12" s="5"/>
    </row>
    <row r="13" spans="1:9" x14ac:dyDescent="0.25">
      <c r="A13" s="29"/>
      <c r="B13" s="3" t="s">
        <v>56</v>
      </c>
      <c r="C13" s="5"/>
      <c r="D13" s="46">
        <f>Sheet1!E9*100/Sheet1!I7</f>
        <v>11.785714285714286</v>
      </c>
      <c r="E13" s="29">
        <f>Sheet1!E101*100/Sheet1!I99</f>
        <v>12.67</v>
      </c>
      <c r="F13" s="5">
        <f>Sheet1!E194*100/Sheet1!I192</f>
        <v>13.469999999999997</v>
      </c>
    </row>
    <row r="14" spans="1:9" x14ac:dyDescent="0.25">
      <c r="A14" s="29"/>
      <c r="B14" s="3"/>
      <c r="C14" s="5"/>
      <c r="D14" s="29"/>
      <c r="E14" s="29"/>
      <c r="F14" s="5"/>
    </row>
    <row r="15" spans="1:9" x14ac:dyDescent="0.25">
      <c r="A15" s="29"/>
      <c r="B15" s="3" t="s">
        <v>57</v>
      </c>
      <c r="C15" s="5"/>
      <c r="D15" s="46">
        <f>Sheet1!E21*100/Sheet1!I7</f>
        <v>9.2142857142857135</v>
      </c>
      <c r="E15" s="46">
        <f>Sheet1!E113*100/Sheet1!I99</f>
        <v>10.288012422360248</v>
      </c>
      <c r="F15" s="47">
        <f>Sheet1!E206*100/Sheet1!I192</f>
        <v>11.19562111801242</v>
      </c>
    </row>
    <row r="16" spans="1:9" x14ac:dyDescent="0.25">
      <c r="A16" s="29"/>
      <c r="B16" s="3"/>
      <c r="C16" s="5"/>
      <c r="D16" s="29"/>
      <c r="E16" s="29"/>
      <c r="F16" s="5"/>
    </row>
    <row r="17" spans="1:6" x14ac:dyDescent="0.25">
      <c r="A17" s="29"/>
      <c r="B17" s="3" t="s">
        <v>59</v>
      </c>
      <c r="C17" s="5"/>
      <c r="D17" s="46">
        <f>Sheet1!L56</f>
        <v>3.8843157894736842</v>
      </c>
      <c r="E17" s="46">
        <f>Sheet1!L148</f>
        <v>5.3524671532846746</v>
      </c>
      <c r="F17" s="47">
        <f>Sheet1!L243</f>
        <v>8.738028571428579</v>
      </c>
    </row>
    <row r="18" spans="1:6" x14ac:dyDescent="0.25">
      <c r="A18" s="29"/>
      <c r="B18" s="3"/>
      <c r="C18" s="5"/>
      <c r="D18" s="29"/>
      <c r="E18" s="29"/>
      <c r="F18" s="5"/>
    </row>
    <row r="19" spans="1:6" x14ac:dyDescent="0.25">
      <c r="A19" s="29"/>
      <c r="B19" s="3" t="s">
        <v>58</v>
      </c>
      <c r="C19" s="5"/>
      <c r="D19" s="29"/>
      <c r="E19" s="29"/>
      <c r="F19" s="5"/>
    </row>
    <row r="20" spans="1:6" x14ac:dyDescent="0.25">
      <c r="A20" s="28"/>
      <c r="B20" s="1"/>
      <c r="C20" s="7"/>
      <c r="D20" s="28"/>
      <c r="E20" s="28"/>
      <c r="F20" s="7"/>
    </row>
  </sheetData>
  <mergeCells count="4">
    <mergeCell ref="B1:F1"/>
    <mergeCell ref="B2:F2"/>
    <mergeCell ref="B3:F3"/>
    <mergeCell ref="B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view="pageBreakPreview" zoomScaleNormal="100" zoomScaleSheetLayoutView="100" workbookViewId="0">
      <selection activeCell="A13" activeCellId="1" sqref="E18 A13"/>
    </sheetView>
  </sheetViews>
  <sheetFormatPr defaultRowHeight="15" x14ac:dyDescent="0.25"/>
  <cols>
    <col min="1" max="1" width="54.85546875" customWidth="1"/>
    <col min="2" max="3" width="17.7109375" customWidth="1"/>
  </cols>
  <sheetData>
    <row r="1" spans="1:3" ht="18.75" x14ac:dyDescent="0.3">
      <c r="A1" s="49" t="s">
        <v>60</v>
      </c>
      <c r="B1" s="49"/>
      <c r="C1" s="49"/>
    </row>
    <row r="3" spans="1:3" x14ac:dyDescent="0.25">
      <c r="A3" s="37" t="s">
        <v>61</v>
      </c>
      <c r="B3" s="33" t="s">
        <v>62</v>
      </c>
      <c r="C3" s="33" t="s">
        <v>50</v>
      </c>
    </row>
    <row r="4" spans="1:3" x14ac:dyDescent="0.25">
      <c r="A4" s="38"/>
      <c r="B4" s="36" t="s">
        <v>52</v>
      </c>
      <c r="C4" s="36" t="s">
        <v>63</v>
      </c>
    </row>
    <row r="5" spans="1:3" x14ac:dyDescent="0.25">
      <c r="A5" s="2"/>
      <c r="B5" s="29" t="s">
        <v>64</v>
      </c>
      <c r="C5" s="27" t="s">
        <v>64</v>
      </c>
    </row>
    <row r="6" spans="1:3" x14ac:dyDescent="0.25">
      <c r="A6" s="8" t="s">
        <v>65</v>
      </c>
      <c r="B6" s="29"/>
      <c r="C6" s="29"/>
    </row>
    <row r="7" spans="1:3" x14ac:dyDescent="0.25">
      <c r="A7" t="s">
        <v>66</v>
      </c>
      <c r="B7" s="46">
        <f>Sheet1!I99/100000</f>
        <v>80.499999999999986</v>
      </c>
      <c r="C7" s="46">
        <f>Sheet1!I192/100000</f>
        <v>96.59999999999998</v>
      </c>
    </row>
    <row r="8" spans="1:3" x14ac:dyDescent="0.25">
      <c r="A8" t="s">
        <v>67</v>
      </c>
      <c r="B8" s="46">
        <f>B7*0.25</f>
        <v>20.124999999999996</v>
      </c>
      <c r="C8" s="29">
        <f>C7*0.25</f>
        <v>24.149999999999995</v>
      </c>
    </row>
    <row r="9" spans="1:3" x14ac:dyDescent="0.25">
      <c r="A9" t="s">
        <v>68</v>
      </c>
      <c r="B9" s="46">
        <f>B7*0.05</f>
        <v>4.0249999999999995</v>
      </c>
      <c r="C9" s="29">
        <f>C7*0.05</f>
        <v>4.8299999999999992</v>
      </c>
    </row>
    <row r="10" spans="1:3" x14ac:dyDescent="0.25">
      <c r="A10" t="s">
        <v>69</v>
      </c>
      <c r="B10" s="46">
        <f>B7*0.2</f>
        <v>16.099999999999998</v>
      </c>
      <c r="C10" s="29">
        <f>C7*0.2</f>
        <v>19.319999999999997</v>
      </c>
    </row>
    <row r="11" spans="1:3" x14ac:dyDescent="0.25">
      <c r="B11" s="29"/>
      <c r="C11" s="29"/>
    </row>
    <row r="12" spans="1:3" x14ac:dyDescent="0.25">
      <c r="A12" s="8" t="s">
        <v>70</v>
      </c>
      <c r="B12" s="29"/>
      <c r="C12" s="29"/>
    </row>
    <row r="13" spans="1:3" x14ac:dyDescent="0.25">
      <c r="A13" t="s">
        <v>71</v>
      </c>
      <c r="B13" s="46">
        <f>Sheet1!I149/100000+Sheet1!I152/100000</f>
        <v>18.332200000000011</v>
      </c>
      <c r="C13" s="46">
        <f>Sheet1!I241/100000+Sheet1!I244/100000</f>
        <v>21.408170000000016</v>
      </c>
    </row>
    <row r="14" spans="1:3" x14ac:dyDescent="0.25">
      <c r="A14" t="s">
        <v>72</v>
      </c>
      <c r="B14" s="29">
        <f>Sheet1!E150/100000</f>
        <v>2.56</v>
      </c>
      <c r="C14" s="46">
        <f>Sheet1!E242/100000</f>
        <v>1.585</v>
      </c>
    </row>
    <row r="15" spans="1:3" x14ac:dyDescent="0.25">
      <c r="A15" t="s">
        <v>78</v>
      </c>
      <c r="B15" s="46">
        <f>B13-B14</f>
        <v>15.77220000000001</v>
      </c>
      <c r="C15" s="46">
        <f>C13-C14</f>
        <v>19.823170000000015</v>
      </c>
    </row>
    <row r="16" spans="1:3" x14ac:dyDescent="0.25">
      <c r="A16" t="s">
        <v>73</v>
      </c>
      <c r="B16" s="46">
        <f>B13*0.25</f>
        <v>4.5830500000000027</v>
      </c>
      <c r="C16" s="46">
        <f>C13*0.25</f>
        <v>5.352042500000004</v>
      </c>
    </row>
    <row r="17" spans="1:3" x14ac:dyDescent="0.25">
      <c r="A17" t="s">
        <v>74</v>
      </c>
      <c r="B17" s="46">
        <f>B15-B16</f>
        <v>11.189150000000009</v>
      </c>
      <c r="C17" s="46">
        <f>C15-C16</f>
        <v>14.471127500000012</v>
      </c>
    </row>
    <row r="18" spans="1:3" x14ac:dyDescent="0.25">
      <c r="A18" t="s">
        <v>77</v>
      </c>
      <c r="B18" s="46">
        <v>5</v>
      </c>
      <c r="C18" s="46">
        <v>5</v>
      </c>
    </row>
    <row r="19" spans="1:3" x14ac:dyDescent="0.25">
      <c r="A19" t="s">
        <v>76</v>
      </c>
      <c r="B19" s="46">
        <v>5</v>
      </c>
      <c r="C19" s="46">
        <v>5</v>
      </c>
    </row>
    <row r="20" spans="1:3" x14ac:dyDescent="0.25">
      <c r="B20" s="29"/>
      <c r="C20" s="29"/>
    </row>
    <row r="21" spans="1:3" x14ac:dyDescent="0.25">
      <c r="A21" s="35" t="s">
        <v>75</v>
      </c>
      <c r="B21" s="52">
        <v>500000</v>
      </c>
      <c r="C21" s="52">
        <v>500000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Ratio</vt:lpstr>
      <vt:lpstr>Sheet3</vt:lpstr>
      <vt:lpstr>Ratio!Print_Area</vt:lpstr>
      <vt:lpstr>Sheet1!Print_Area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2023-08-22T03:58:18Z</cp:lastPrinted>
  <dcterms:created xsi:type="dcterms:W3CDTF">2023-08-19T04:47:02Z</dcterms:created>
  <dcterms:modified xsi:type="dcterms:W3CDTF">2023-08-22T06:37:44Z</dcterms:modified>
</cp:coreProperties>
</file>