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se\Downloads\Trabajo Simulacion\Rubricas practica exel\Nueva carpeta\"/>
    </mc:Choice>
  </mc:AlternateContent>
  <bookViews>
    <workbookView xWindow="-105" yWindow="-105" windowWidth="19425" windowHeight="10305" activeTab="9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8" r:id="rId7"/>
    <sheet name="8" sheetId="7" r:id="rId8"/>
    <sheet name="9" sheetId="9" r:id="rId9"/>
    <sheet name="10" sheetId="10" r:id="rId10"/>
    <sheet name="Resultados" sheetId="11" r:id="rId1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1" l="1"/>
  <c r="G12" i="11"/>
  <c r="F12" i="11"/>
  <c r="E12" i="11"/>
  <c r="D12" i="11"/>
  <c r="I11" i="11"/>
  <c r="G11" i="11"/>
  <c r="F11" i="11"/>
  <c r="E11" i="11"/>
  <c r="D11" i="11"/>
  <c r="I10" i="11"/>
  <c r="G10" i="11"/>
  <c r="F10" i="11"/>
  <c r="E10" i="11"/>
  <c r="D10" i="11"/>
  <c r="I9" i="11"/>
  <c r="G9" i="11"/>
  <c r="F9" i="11"/>
  <c r="E9" i="11"/>
  <c r="D9" i="11"/>
  <c r="I8" i="11"/>
  <c r="G8" i="11"/>
  <c r="F8" i="11"/>
  <c r="E8" i="11"/>
  <c r="D8" i="11"/>
  <c r="I7" i="11"/>
  <c r="G7" i="11"/>
  <c r="F7" i="11"/>
  <c r="E7" i="11"/>
  <c r="D7" i="11"/>
  <c r="I6" i="11"/>
  <c r="G6" i="11"/>
  <c r="F6" i="11"/>
  <c r="E6" i="11"/>
  <c r="D6" i="11"/>
  <c r="I5" i="11"/>
  <c r="G5" i="11"/>
  <c r="F5" i="11"/>
  <c r="E5" i="11"/>
  <c r="D5" i="11"/>
  <c r="I4" i="11"/>
  <c r="G4" i="11"/>
  <c r="F4" i="11"/>
  <c r="E4" i="11"/>
  <c r="D4" i="11"/>
  <c r="I3" i="11"/>
  <c r="G3" i="11"/>
  <c r="F3" i="11"/>
  <c r="E3" i="11"/>
  <c r="D3" i="11"/>
  <c r="N16" i="10"/>
  <c r="K7" i="10" s="1"/>
  <c r="N15" i="10"/>
  <c r="F60" i="10"/>
  <c r="G60" i="10" s="1"/>
  <c r="D60" i="10"/>
  <c r="F59" i="10"/>
  <c r="G59" i="10" s="1"/>
  <c r="D59" i="10"/>
  <c r="F58" i="10"/>
  <c r="G58" i="10" s="1"/>
  <c r="D58" i="10"/>
  <c r="F57" i="10"/>
  <c r="G57" i="10" s="1"/>
  <c r="D57" i="10"/>
  <c r="F56" i="10"/>
  <c r="G56" i="10" s="1"/>
  <c r="D56" i="10"/>
  <c r="F55" i="10"/>
  <c r="G55" i="10" s="1"/>
  <c r="D55" i="10"/>
  <c r="F54" i="10"/>
  <c r="G54" i="10" s="1"/>
  <c r="D54" i="10"/>
  <c r="F53" i="10"/>
  <c r="G53" i="10" s="1"/>
  <c r="D53" i="10"/>
  <c r="F52" i="10"/>
  <c r="G52" i="10" s="1"/>
  <c r="D52" i="10"/>
  <c r="F51" i="10"/>
  <c r="G51" i="10" s="1"/>
  <c r="D51" i="10"/>
  <c r="F50" i="10"/>
  <c r="G50" i="10" s="1"/>
  <c r="D50" i="10"/>
  <c r="F49" i="10"/>
  <c r="G49" i="10" s="1"/>
  <c r="D49" i="10"/>
  <c r="F48" i="10"/>
  <c r="G48" i="10" s="1"/>
  <c r="D48" i="10"/>
  <c r="F47" i="10"/>
  <c r="G47" i="10" s="1"/>
  <c r="D47" i="10"/>
  <c r="F46" i="10"/>
  <c r="G46" i="10" s="1"/>
  <c r="D46" i="10"/>
  <c r="F45" i="10"/>
  <c r="G45" i="10" s="1"/>
  <c r="D45" i="10"/>
  <c r="F44" i="10"/>
  <c r="G44" i="10" s="1"/>
  <c r="D44" i="10"/>
  <c r="F43" i="10"/>
  <c r="G43" i="10" s="1"/>
  <c r="D43" i="10"/>
  <c r="F42" i="10"/>
  <c r="G42" i="10" s="1"/>
  <c r="D42" i="10"/>
  <c r="F41" i="10"/>
  <c r="G41" i="10" s="1"/>
  <c r="D41" i="10"/>
  <c r="F40" i="10"/>
  <c r="G40" i="10" s="1"/>
  <c r="D40" i="10"/>
  <c r="F39" i="10"/>
  <c r="G39" i="10" s="1"/>
  <c r="D39" i="10"/>
  <c r="F38" i="10"/>
  <c r="G38" i="10" s="1"/>
  <c r="D38" i="10"/>
  <c r="F37" i="10"/>
  <c r="G37" i="10" s="1"/>
  <c r="D37" i="10"/>
  <c r="F36" i="10"/>
  <c r="G36" i="10" s="1"/>
  <c r="D36" i="10"/>
  <c r="F35" i="10"/>
  <c r="G35" i="10" s="1"/>
  <c r="D35" i="10"/>
  <c r="F34" i="10"/>
  <c r="G34" i="10" s="1"/>
  <c r="D34" i="10"/>
  <c r="F33" i="10"/>
  <c r="G33" i="10" s="1"/>
  <c r="D33" i="10"/>
  <c r="F32" i="10"/>
  <c r="G32" i="10" s="1"/>
  <c r="D32" i="10"/>
  <c r="F31" i="10"/>
  <c r="G31" i="10" s="1"/>
  <c r="D31" i="10"/>
  <c r="F30" i="10"/>
  <c r="G30" i="10" s="1"/>
  <c r="D30" i="10"/>
  <c r="F29" i="10"/>
  <c r="G29" i="10" s="1"/>
  <c r="D29" i="10"/>
  <c r="F28" i="10"/>
  <c r="G28" i="10" s="1"/>
  <c r="D28" i="10"/>
  <c r="F27" i="10"/>
  <c r="G27" i="10" s="1"/>
  <c r="D27" i="10"/>
  <c r="F26" i="10"/>
  <c r="G26" i="10" s="1"/>
  <c r="D26" i="10"/>
  <c r="F25" i="10"/>
  <c r="G25" i="10" s="1"/>
  <c r="D25" i="10"/>
  <c r="F24" i="10"/>
  <c r="G24" i="10" s="1"/>
  <c r="D24" i="10"/>
  <c r="F23" i="10"/>
  <c r="G23" i="10" s="1"/>
  <c r="D23" i="10"/>
  <c r="F22" i="10"/>
  <c r="G22" i="10" s="1"/>
  <c r="D22" i="10"/>
  <c r="F21" i="10"/>
  <c r="G21" i="10" s="1"/>
  <c r="D21" i="10"/>
  <c r="F20" i="10"/>
  <c r="G20" i="10" s="1"/>
  <c r="D20" i="10"/>
  <c r="F19" i="10"/>
  <c r="G19" i="10" s="1"/>
  <c r="D19" i="10"/>
  <c r="F18" i="10"/>
  <c r="G18" i="10" s="1"/>
  <c r="D18" i="10"/>
  <c r="X17" i="10"/>
  <c r="F17" i="10"/>
  <c r="G17" i="10" s="1"/>
  <c r="D17" i="10"/>
  <c r="X16" i="10"/>
  <c r="F16" i="10"/>
  <c r="G16" i="10" s="1"/>
  <c r="D16" i="10"/>
  <c r="X15" i="10"/>
  <c r="F15" i="10"/>
  <c r="G15" i="10" s="1"/>
  <c r="D15" i="10"/>
  <c r="X14" i="10"/>
  <c r="F14" i="10"/>
  <c r="G14" i="10" s="1"/>
  <c r="D14" i="10"/>
  <c r="X13" i="10"/>
  <c r="F13" i="10"/>
  <c r="G13" i="10" s="1"/>
  <c r="D13" i="10"/>
  <c r="X12" i="10"/>
  <c r="F12" i="10"/>
  <c r="G12" i="10" s="1"/>
  <c r="D12" i="10"/>
  <c r="X11" i="10"/>
  <c r="F11" i="10"/>
  <c r="G11" i="10" s="1"/>
  <c r="D11" i="10"/>
  <c r="M7" i="10"/>
  <c r="N16" i="9"/>
  <c r="N15" i="9"/>
  <c r="F60" i="9"/>
  <c r="G60" i="9" s="1"/>
  <c r="D60" i="9"/>
  <c r="F59" i="9"/>
  <c r="G59" i="9" s="1"/>
  <c r="D59" i="9"/>
  <c r="F58" i="9"/>
  <c r="G58" i="9" s="1"/>
  <c r="D58" i="9"/>
  <c r="F57" i="9"/>
  <c r="G57" i="9" s="1"/>
  <c r="D57" i="9"/>
  <c r="F56" i="9"/>
  <c r="G56" i="9" s="1"/>
  <c r="D56" i="9"/>
  <c r="F55" i="9"/>
  <c r="G55" i="9" s="1"/>
  <c r="D55" i="9"/>
  <c r="G54" i="9"/>
  <c r="F54" i="9"/>
  <c r="D54" i="9"/>
  <c r="F53" i="9"/>
  <c r="G53" i="9" s="1"/>
  <c r="D53" i="9"/>
  <c r="F52" i="9"/>
  <c r="G52" i="9" s="1"/>
  <c r="D52" i="9"/>
  <c r="F51" i="9"/>
  <c r="G51" i="9" s="1"/>
  <c r="D51" i="9"/>
  <c r="F50" i="9"/>
  <c r="G50" i="9" s="1"/>
  <c r="D50" i="9"/>
  <c r="F49" i="9"/>
  <c r="G49" i="9" s="1"/>
  <c r="D49" i="9"/>
  <c r="F48" i="9"/>
  <c r="G48" i="9" s="1"/>
  <c r="D48" i="9"/>
  <c r="F47" i="9"/>
  <c r="G47" i="9" s="1"/>
  <c r="D47" i="9"/>
  <c r="F46" i="9"/>
  <c r="G46" i="9" s="1"/>
  <c r="D46" i="9"/>
  <c r="F45" i="9"/>
  <c r="G45" i="9" s="1"/>
  <c r="D45" i="9"/>
  <c r="F44" i="9"/>
  <c r="G44" i="9" s="1"/>
  <c r="D44" i="9"/>
  <c r="F43" i="9"/>
  <c r="G43" i="9" s="1"/>
  <c r="D43" i="9"/>
  <c r="G42" i="9"/>
  <c r="F42" i="9"/>
  <c r="D42" i="9"/>
  <c r="F41" i="9"/>
  <c r="G41" i="9" s="1"/>
  <c r="D41" i="9"/>
  <c r="F40" i="9"/>
  <c r="G40" i="9" s="1"/>
  <c r="D40" i="9"/>
  <c r="F39" i="9"/>
  <c r="G39" i="9" s="1"/>
  <c r="D39" i="9"/>
  <c r="F38" i="9"/>
  <c r="G38" i="9" s="1"/>
  <c r="D38" i="9"/>
  <c r="F37" i="9"/>
  <c r="G37" i="9" s="1"/>
  <c r="D37" i="9"/>
  <c r="F36" i="9"/>
  <c r="G36" i="9" s="1"/>
  <c r="D36" i="9"/>
  <c r="F35" i="9"/>
  <c r="G35" i="9" s="1"/>
  <c r="D35" i="9"/>
  <c r="F34" i="9"/>
  <c r="G34" i="9" s="1"/>
  <c r="D34" i="9"/>
  <c r="F33" i="9"/>
  <c r="G33" i="9" s="1"/>
  <c r="D33" i="9"/>
  <c r="F32" i="9"/>
  <c r="G32" i="9" s="1"/>
  <c r="D32" i="9"/>
  <c r="F31" i="9"/>
  <c r="G31" i="9" s="1"/>
  <c r="D31" i="9"/>
  <c r="F30" i="9"/>
  <c r="G30" i="9" s="1"/>
  <c r="D30" i="9"/>
  <c r="F29" i="9"/>
  <c r="G29" i="9" s="1"/>
  <c r="D29" i="9"/>
  <c r="F28" i="9"/>
  <c r="G28" i="9" s="1"/>
  <c r="D28" i="9"/>
  <c r="F27" i="9"/>
  <c r="G27" i="9" s="1"/>
  <c r="D27" i="9"/>
  <c r="F26" i="9"/>
  <c r="G26" i="9" s="1"/>
  <c r="D26" i="9"/>
  <c r="F25" i="9"/>
  <c r="G25" i="9" s="1"/>
  <c r="D25" i="9"/>
  <c r="F24" i="9"/>
  <c r="G24" i="9" s="1"/>
  <c r="D24" i="9"/>
  <c r="F23" i="9"/>
  <c r="G23" i="9" s="1"/>
  <c r="D23" i="9"/>
  <c r="F22" i="9"/>
  <c r="G22" i="9" s="1"/>
  <c r="D22" i="9"/>
  <c r="F21" i="9"/>
  <c r="G21" i="9" s="1"/>
  <c r="D21" i="9"/>
  <c r="F20" i="9"/>
  <c r="G20" i="9" s="1"/>
  <c r="D20" i="9"/>
  <c r="F19" i="9"/>
  <c r="G19" i="9" s="1"/>
  <c r="D19" i="9"/>
  <c r="F18" i="9"/>
  <c r="G18" i="9" s="1"/>
  <c r="D18" i="9"/>
  <c r="Y18" i="9"/>
  <c r="F17" i="9"/>
  <c r="G17" i="9" s="1"/>
  <c r="D17" i="9"/>
  <c r="Y17" i="9"/>
  <c r="F16" i="9"/>
  <c r="G16" i="9" s="1"/>
  <c r="D16" i="9"/>
  <c r="Y16" i="9"/>
  <c r="F15" i="9"/>
  <c r="G15" i="9" s="1"/>
  <c r="D15" i="9"/>
  <c r="Y15" i="9"/>
  <c r="F14" i="9"/>
  <c r="G14" i="9" s="1"/>
  <c r="D14" i="9"/>
  <c r="Y14" i="9"/>
  <c r="F13" i="9"/>
  <c r="G13" i="9" s="1"/>
  <c r="D13" i="9"/>
  <c r="Y13" i="9"/>
  <c r="F12" i="9"/>
  <c r="G12" i="9" s="1"/>
  <c r="D12" i="9"/>
  <c r="Y12" i="9"/>
  <c r="F11" i="9"/>
  <c r="G11" i="9" s="1"/>
  <c r="D11" i="9"/>
  <c r="M7" i="9"/>
  <c r="K7" i="9"/>
  <c r="O17" i="7"/>
  <c r="K7" i="7" s="1"/>
  <c r="O16" i="7"/>
  <c r="F60" i="7"/>
  <c r="G60" i="7" s="1"/>
  <c r="D60" i="7"/>
  <c r="F59" i="7"/>
  <c r="G59" i="7" s="1"/>
  <c r="D59" i="7"/>
  <c r="F58" i="7"/>
  <c r="G58" i="7" s="1"/>
  <c r="D58" i="7"/>
  <c r="F57" i="7"/>
  <c r="G57" i="7" s="1"/>
  <c r="D57" i="7"/>
  <c r="F56" i="7"/>
  <c r="G56" i="7" s="1"/>
  <c r="D56" i="7"/>
  <c r="G55" i="7"/>
  <c r="F55" i="7"/>
  <c r="D55" i="7"/>
  <c r="F54" i="7"/>
  <c r="G54" i="7" s="1"/>
  <c r="D54" i="7"/>
  <c r="F53" i="7"/>
  <c r="G53" i="7" s="1"/>
  <c r="D53" i="7"/>
  <c r="F52" i="7"/>
  <c r="G52" i="7" s="1"/>
  <c r="D52" i="7"/>
  <c r="F51" i="7"/>
  <c r="G51" i="7" s="1"/>
  <c r="D51" i="7"/>
  <c r="F50" i="7"/>
  <c r="G50" i="7" s="1"/>
  <c r="D50" i="7"/>
  <c r="F49" i="7"/>
  <c r="G49" i="7" s="1"/>
  <c r="D49" i="7"/>
  <c r="F48" i="7"/>
  <c r="G48" i="7" s="1"/>
  <c r="D48" i="7"/>
  <c r="F47" i="7"/>
  <c r="G47" i="7" s="1"/>
  <c r="D47" i="7"/>
  <c r="F46" i="7"/>
  <c r="G46" i="7" s="1"/>
  <c r="D46" i="7"/>
  <c r="F45" i="7"/>
  <c r="G45" i="7" s="1"/>
  <c r="D45" i="7"/>
  <c r="F44" i="7"/>
  <c r="G44" i="7" s="1"/>
  <c r="D44" i="7"/>
  <c r="F43" i="7"/>
  <c r="G43" i="7" s="1"/>
  <c r="D43" i="7"/>
  <c r="F42" i="7"/>
  <c r="G42" i="7" s="1"/>
  <c r="D42" i="7"/>
  <c r="F41" i="7"/>
  <c r="G41" i="7" s="1"/>
  <c r="D41" i="7"/>
  <c r="G40" i="7"/>
  <c r="F40" i="7"/>
  <c r="D40" i="7"/>
  <c r="F39" i="7"/>
  <c r="G39" i="7" s="1"/>
  <c r="D39" i="7"/>
  <c r="F38" i="7"/>
  <c r="G38" i="7" s="1"/>
  <c r="D38" i="7"/>
  <c r="F37" i="7"/>
  <c r="G37" i="7" s="1"/>
  <c r="D37" i="7"/>
  <c r="F36" i="7"/>
  <c r="G36" i="7" s="1"/>
  <c r="D36" i="7"/>
  <c r="F35" i="7"/>
  <c r="G35" i="7" s="1"/>
  <c r="D35" i="7"/>
  <c r="F34" i="7"/>
  <c r="G34" i="7" s="1"/>
  <c r="D34" i="7"/>
  <c r="F33" i="7"/>
  <c r="G33" i="7" s="1"/>
  <c r="D33" i="7"/>
  <c r="F32" i="7"/>
  <c r="G32" i="7" s="1"/>
  <c r="D32" i="7"/>
  <c r="F31" i="7"/>
  <c r="G31" i="7" s="1"/>
  <c r="D31" i="7"/>
  <c r="F30" i="7"/>
  <c r="G30" i="7" s="1"/>
  <c r="D30" i="7"/>
  <c r="F29" i="7"/>
  <c r="G29" i="7" s="1"/>
  <c r="D29" i="7"/>
  <c r="F28" i="7"/>
  <c r="G28" i="7" s="1"/>
  <c r="D28" i="7"/>
  <c r="F27" i="7"/>
  <c r="G27" i="7" s="1"/>
  <c r="D27" i="7"/>
  <c r="F26" i="7"/>
  <c r="G26" i="7" s="1"/>
  <c r="D26" i="7"/>
  <c r="F25" i="7"/>
  <c r="G25" i="7" s="1"/>
  <c r="D25" i="7"/>
  <c r="F24" i="7"/>
  <c r="G24" i="7" s="1"/>
  <c r="D24" i="7"/>
  <c r="F23" i="7"/>
  <c r="G23" i="7" s="1"/>
  <c r="D23" i="7"/>
  <c r="F22" i="7"/>
  <c r="G22" i="7" s="1"/>
  <c r="D22" i="7"/>
  <c r="F21" i="7"/>
  <c r="G21" i="7" s="1"/>
  <c r="D21" i="7"/>
  <c r="F20" i="7"/>
  <c r="G20" i="7" s="1"/>
  <c r="D20" i="7"/>
  <c r="F19" i="7"/>
  <c r="G19" i="7" s="1"/>
  <c r="D19" i="7"/>
  <c r="F18" i="7"/>
  <c r="G18" i="7" s="1"/>
  <c r="D18" i="7"/>
  <c r="Y17" i="7"/>
  <c r="F17" i="7"/>
  <c r="G17" i="7" s="1"/>
  <c r="D17" i="7"/>
  <c r="Y16" i="7"/>
  <c r="F16" i="7"/>
  <c r="G16" i="7" s="1"/>
  <c r="D16" i="7"/>
  <c r="Y15" i="7"/>
  <c r="F15" i="7"/>
  <c r="G15" i="7" s="1"/>
  <c r="D15" i="7"/>
  <c r="Y14" i="7"/>
  <c r="F14" i="7"/>
  <c r="G14" i="7" s="1"/>
  <c r="D14" i="7"/>
  <c r="Y13" i="7"/>
  <c r="G13" i="7"/>
  <c r="F13" i="7"/>
  <c r="D13" i="7"/>
  <c r="Y12" i="7"/>
  <c r="F12" i="7"/>
  <c r="G12" i="7" s="1"/>
  <c r="D12" i="7"/>
  <c r="Y11" i="7"/>
  <c r="F11" i="7"/>
  <c r="G11" i="7" s="1"/>
  <c r="D11" i="7"/>
  <c r="M7" i="7"/>
  <c r="N17" i="8"/>
  <c r="K7" i="8" s="1"/>
  <c r="M7" i="8" s="1"/>
  <c r="N16" i="8"/>
  <c r="G60" i="8"/>
  <c r="F60" i="8"/>
  <c r="D60" i="8"/>
  <c r="F59" i="8"/>
  <c r="G59" i="8" s="1"/>
  <c r="D59" i="8"/>
  <c r="F58" i="8"/>
  <c r="G58" i="8" s="1"/>
  <c r="D58" i="8"/>
  <c r="F57" i="8"/>
  <c r="G57" i="8" s="1"/>
  <c r="D57" i="8"/>
  <c r="G56" i="8"/>
  <c r="F56" i="8"/>
  <c r="D56" i="8"/>
  <c r="F55" i="8"/>
  <c r="G55" i="8" s="1"/>
  <c r="D55" i="8"/>
  <c r="G54" i="8"/>
  <c r="F54" i="8"/>
  <c r="D54" i="8"/>
  <c r="F53" i="8"/>
  <c r="G53" i="8" s="1"/>
  <c r="D53" i="8"/>
  <c r="F52" i="8"/>
  <c r="G52" i="8" s="1"/>
  <c r="D52" i="8"/>
  <c r="G51" i="8"/>
  <c r="F51" i="8"/>
  <c r="D51" i="8"/>
  <c r="F50" i="8"/>
  <c r="G50" i="8" s="1"/>
  <c r="D50" i="8"/>
  <c r="F49" i="8"/>
  <c r="G49" i="8" s="1"/>
  <c r="D49" i="8"/>
  <c r="G48" i="8"/>
  <c r="F48" i="8"/>
  <c r="D48" i="8"/>
  <c r="F47" i="8"/>
  <c r="G47" i="8" s="1"/>
  <c r="D47" i="8"/>
  <c r="F46" i="8"/>
  <c r="G46" i="8" s="1"/>
  <c r="D46" i="8"/>
  <c r="G45" i="8"/>
  <c r="F45" i="8"/>
  <c r="D45" i="8"/>
  <c r="G44" i="8"/>
  <c r="F44" i="8"/>
  <c r="D44" i="8"/>
  <c r="F43" i="8"/>
  <c r="G43" i="8" s="1"/>
  <c r="D43" i="8"/>
  <c r="F42" i="8"/>
  <c r="G42" i="8" s="1"/>
  <c r="D42" i="8"/>
  <c r="F41" i="8"/>
  <c r="G41" i="8" s="1"/>
  <c r="D41" i="8"/>
  <c r="F40" i="8"/>
  <c r="G40" i="8" s="1"/>
  <c r="D40" i="8"/>
  <c r="G39" i="8"/>
  <c r="F39" i="8"/>
  <c r="D39" i="8"/>
  <c r="F38" i="8"/>
  <c r="G38" i="8" s="1"/>
  <c r="D38" i="8"/>
  <c r="F37" i="8"/>
  <c r="G37" i="8" s="1"/>
  <c r="D37" i="8"/>
  <c r="G36" i="8"/>
  <c r="F36" i="8"/>
  <c r="D36" i="8"/>
  <c r="F35" i="8"/>
  <c r="G35" i="8" s="1"/>
  <c r="D35" i="8"/>
  <c r="F34" i="8"/>
  <c r="G34" i="8" s="1"/>
  <c r="D34" i="8"/>
  <c r="F33" i="8"/>
  <c r="G33" i="8" s="1"/>
  <c r="D33" i="8"/>
  <c r="G32" i="8"/>
  <c r="F32" i="8"/>
  <c r="D32" i="8"/>
  <c r="F31" i="8"/>
  <c r="G31" i="8" s="1"/>
  <c r="D31" i="8"/>
  <c r="F30" i="8"/>
  <c r="G30" i="8" s="1"/>
  <c r="D30" i="8"/>
  <c r="F29" i="8"/>
  <c r="G29" i="8" s="1"/>
  <c r="D29" i="8"/>
  <c r="G28" i="8"/>
  <c r="F28" i="8"/>
  <c r="D28" i="8"/>
  <c r="G27" i="8"/>
  <c r="F27" i="8"/>
  <c r="D27" i="8"/>
  <c r="F26" i="8"/>
  <c r="G26" i="8" s="1"/>
  <c r="D26" i="8"/>
  <c r="F25" i="8"/>
  <c r="G25" i="8" s="1"/>
  <c r="D25" i="8"/>
  <c r="G24" i="8"/>
  <c r="F24" i="8"/>
  <c r="D24" i="8"/>
  <c r="F23" i="8"/>
  <c r="G23" i="8" s="1"/>
  <c r="D23" i="8"/>
  <c r="F22" i="8"/>
  <c r="G22" i="8" s="1"/>
  <c r="D22" i="8"/>
  <c r="F21" i="8"/>
  <c r="G21" i="8" s="1"/>
  <c r="D21" i="8"/>
  <c r="G20" i="8"/>
  <c r="F20" i="8"/>
  <c r="D20" i="8"/>
  <c r="G19" i="8"/>
  <c r="F19" i="8"/>
  <c r="D19" i="8"/>
  <c r="F18" i="8"/>
  <c r="G18" i="8" s="1"/>
  <c r="D18" i="8"/>
  <c r="Z17" i="8"/>
  <c r="F17" i="8"/>
  <c r="G17" i="8" s="1"/>
  <c r="D17" i="8"/>
  <c r="Z16" i="8"/>
  <c r="F16" i="8"/>
  <c r="G16" i="8" s="1"/>
  <c r="D16" i="8"/>
  <c r="Z15" i="8"/>
  <c r="F15" i="8"/>
  <c r="G15" i="8" s="1"/>
  <c r="D15" i="8"/>
  <c r="Z14" i="8"/>
  <c r="G14" i="8"/>
  <c r="F14" i="8"/>
  <c r="D14" i="8"/>
  <c r="Z13" i="8"/>
  <c r="F13" i="8"/>
  <c r="G13" i="8" s="1"/>
  <c r="D13" i="8"/>
  <c r="Z12" i="8"/>
  <c r="F12" i="8"/>
  <c r="G12" i="8" s="1"/>
  <c r="D12" i="8"/>
  <c r="Z11" i="8"/>
  <c r="G11" i="8"/>
  <c r="F11" i="8"/>
  <c r="D11" i="8"/>
  <c r="N20" i="6"/>
  <c r="K7" i="6" s="1"/>
  <c r="M7" i="6" s="1"/>
  <c r="N19" i="6"/>
  <c r="F60" i="6"/>
  <c r="G60" i="6" s="1"/>
  <c r="D60" i="6"/>
  <c r="F59" i="6"/>
  <c r="G59" i="6" s="1"/>
  <c r="D59" i="6"/>
  <c r="F58" i="6"/>
  <c r="G58" i="6" s="1"/>
  <c r="D58" i="6"/>
  <c r="F57" i="6"/>
  <c r="G57" i="6" s="1"/>
  <c r="D57" i="6"/>
  <c r="F56" i="6"/>
  <c r="G56" i="6" s="1"/>
  <c r="D56" i="6"/>
  <c r="F55" i="6"/>
  <c r="G55" i="6" s="1"/>
  <c r="D55" i="6"/>
  <c r="F54" i="6"/>
  <c r="G54" i="6" s="1"/>
  <c r="D54" i="6"/>
  <c r="F53" i="6"/>
  <c r="G53" i="6" s="1"/>
  <c r="D53" i="6"/>
  <c r="F52" i="6"/>
  <c r="G52" i="6" s="1"/>
  <c r="D52" i="6"/>
  <c r="F51" i="6"/>
  <c r="G51" i="6" s="1"/>
  <c r="D51" i="6"/>
  <c r="F50" i="6"/>
  <c r="G50" i="6" s="1"/>
  <c r="D50" i="6"/>
  <c r="F49" i="6"/>
  <c r="G49" i="6" s="1"/>
  <c r="D49" i="6"/>
  <c r="F48" i="6"/>
  <c r="G48" i="6" s="1"/>
  <c r="D48" i="6"/>
  <c r="F47" i="6"/>
  <c r="G47" i="6" s="1"/>
  <c r="D47" i="6"/>
  <c r="F46" i="6"/>
  <c r="G46" i="6" s="1"/>
  <c r="D46" i="6"/>
  <c r="G45" i="6"/>
  <c r="F45" i="6"/>
  <c r="D45" i="6"/>
  <c r="F44" i="6"/>
  <c r="G44" i="6" s="1"/>
  <c r="D44" i="6"/>
  <c r="F43" i="6"/>
  <c r="G43" i="6" s="1"/>
  <c r="D43" i="6"/>
  <c r="F42" i="6"/>
  <c r="G42" i="6" s="1"/>
  <c r="D42" i="6"/>
  <c r="F41" i="6"/>
  <c r="G41" i="6" s="1"/>
  <c r="D41" i="6"/>
  <c r="F40" i="6"/>
  <c r="G40" i="6" s="1"/>
  <c r="D40" i="6"/>
  <c r="F39" i="6"/>
  <c r="G39" i="6" s="1"/>
  <c r="D39" i="6"/>
  <c r="F38" i="6"/>
  <c r="G38" i="6" s="1"/>
  <c r="D38" i="6"/>
  <c r="F37" i="6"/>
  <c r="G37" i="6" s="1"/>
  <c r="D37" i="6"/>
  <c r="F36" i="6"/>
  <c r="G36" i="6" s="1"/>
  <c r="D36" i="6"/>
  <c r="F35" i="6"/>
  <c r="G35" i="6" s="1"/>
  <c r="D35" i="6"/>
  <c r="F34" i="6"/>
  <c r="G34" i="6" s="1"/>
  <c r="D34" i="6"/>
  <c r="F33" i="6"/>
  <c r="G33" i="6" s="1"/>
  <c r="D33" i="6"/>
  <c r="F32" i="6"/>
  <c r="G32" i="6" s="1"/>
  <c r="D32" i="6"/>
  <c r="F31" i="6"/>
  <c r="G31" i="6" s="1"/>
  <c r="D31" i="6"/>
  <c r="F30" i="6"/>
  <c r="G30" i="6" s="1"/>
  <c r="D30" i="6"/>
  <c r="F29" i="6"/>
  <c r="G29" i="6" s="1"/>
  <c r="D29" i="6"/>
  <c r="F28" i="6"/>
  <c r="G28" i="6" s="1"/>
  <c r="D28" i="6"/>
  <c r="F27" i="6"/>
  <c r="G27" i="6" s="1"/>
  <c r="D27" i="6"/>
  <c r="F26" i="6"/>
  <c r="G26" i="6" s="1"/>
  <c r="D26" i="6"/>
  <c r="F25" i="6"/>
  <c r="G25" i="6" s="1"/>
  <c r="D25" i="6"/>
  <c r="F24" i="6"/>
  <c r="G24" i="6" s="1"/>
  <c r="D24" i="6"/>
  <c r="G23" i="6"/>
  <c r="F23" i="6"/>
  <c r="D23" i="6"/>
  <c r="F22" i="6"/>
  <c r="G22" i="6" s="1"/>
  <c r="D22" i="6"/>
  <c r="G21" i="6"/>
  <c r="F21" i="6"/>
  <c r="D21" i="6"/>
  <c r="F20" i="6"/>
  <c r="G20" i="6" s="1"/>
  <c r="D20" i="6"/>
  <c r="G19" i="6"/>
  <c r="F19" i="6"/>
  <c r="D19" i="6"/>
  <c r="F18" i="6"/>
  <c r="G18" i="6" s="1"/>
  <c r="D18" i="6"/>
  <c r="Y17" i="6"/>
  <c r="F17" i="6"/>
  <c r="G17" i="6" s="1"/>
  <c r="D17" i="6"/>
  <c r="Y16" i="6"/>
  <c r="F16" i="6"/>
  <c r="G16" i="6" s="1"/>
  <c r="D16" i="6"/>
  <c r="Y15" i="6"/>
  <c r="F15" i="6"/>
  <c r="G15" i="6" s="1"/>
  <c r="D15" i="6"/>
  <c r="Y14" i="6"/>
  <c r="F14" i="6"/>
  <c r="G14" i="6" s="1"/>
  <c r="D14" i="6"/>
  <c r="Y13" i="6"/>
  <c r="F13" i="6"/>
  <c r="G13" i="6" s="1"/>
  <c r="D13" i="6"/>
  <c r="Y12" i="6"/>
  <c r="F12" i="6"/>
  <c r="G12" i="6" s="1"/>
  <c r="D12" i="6"/>
  <c r="Y11" i="6"/>
  <c r="F11" i="6"/>
  <c r="G11" i="6" s="1"/>
  <c r="D11" i="6"/>
  <c r="G60" i="5"/>
  <c r="F60" i="5"/>
  <c r="D60" i="5"/>
  <c r="F59" i="5"/>
  <c r="G59" i="5" s="1"/>
  <c r="D59" i="5"/>
  <c r="F58" i="5"/>
  <c r="G58" i="5" s="1"/>
  <c r="D58" i="5"/>
  <c r="F57" i="5"/>
  <c r="G57" i="5" s="1"/>
  <c r="D57" i="5"/>
  <c r="F56" i="5"/>
  <c r="G56" i="5" s="1"/>
  <c r="D56" i="5"/>
  <c r="G55" i="5"/>
  <c r="F55" i="5"/>
  <c r="D55" i="5"/>
  <c r="F54" i="5"/>
  <c r="G54" i="5" s="1"/>
  <c r="D54" i="5"/>
  <c r="G53" i="5"/>
  <c r="F53" i="5"/>
  <c r="D53" i="5"/>
  <c r="G52" i="5"/>
  <c r="F52" i="5"/>
  <c r="D52" i="5"/>
  <c r="F51" i="5"/>
  <c r="G51" i="5" s="1"/>
  <c r="D51" i="5"/>
  <c r="F50" i="5"/>
  <c r="G50" i="5" s="1"/>
  <c r="D50" i="5"/>
  <c r="G49" i="5"/>
  <c r="F49" i="5"/>
  <c r="D49" i="5"/>
  <c r="F48" i="5"/>
  <c r="G48" i="5" s="1"/>
  <c r="D48" i="5"/>
  <c r="F47" i="5"/>
  <c r="G47" i="5" s="1"/>
  <c r="D47" i="5"/>
  <c r="G46" i="5"/>
  <c r="F46" i="5"/>
  <c r="D46" i="5"/>
  <c r="G45" i="5"/>
  <c r="F45" i="5"/>
  <c r="D45" i="5"/>
  <c r="F44" i="5"/>
  <c r="G44" i="5" s="1"/>
  <c r="D44" i="5"/>
  <c r="G43" i="5"/>
  <c r="F43" i="5"/>
  <c r="D43" i="5"/>
  <c r="F42" i="5"/>
  <c r="G42" i="5" s="1"/>
  <c r="D42" i="5"/>
  <c r="F41" i="5"/>
  <c r="G41" i="5" s="1"/>
  <c r="D41" i="5"/>
  <c r="G40" i="5"/>
  <c r="F40" i="5"/>
  <c r="D40" i="5"/>
  <c r="G39" i="5"/>
  <c r="F39" i="5"/>
  <c r="D39" i="5"/>
  <c r="F38" i="5"/>
  <c r="G38" i="5" s="1"/>
  <c r="D38" i="5"/>
  <c r="G37" i="5"/>
  <c r="F37" i="5"/>
  <c r="D37" i="5"/>
  <c r="F36" i="5"/>
  <c r="G36" i="5" s="1"/>
  <c r="D36" i="5"/>
  <c r="G35" i="5"/>
  <c r="F35" i="5"/>
  <c r="D35" i="5"/>
  <c r="G34" i="5"/>
  <c r="F34" i="5"/>
  <c r="D34" i="5"/>
  <c r="F33" i="5"/>
  <c r="G33" i="5" s="1"/>
  <c r="D33" i="5"/>
  <c r="G32" i="5"/>
  <c r="F32" i="5"/>
  <c r="D32" i="5"/>
  <c r="G31" i="5"/>
  <c r="F31" i="5"/>
  <c r="D31" i="5"/>
  <c r="F30" i="5"/>
  <c r="G30" i="5" s="1"/>
  <c r="D30" i="5"/>
  <c r="G29" i="5"/>
  <c r="F29" i="5"/>
  <c r="D29" i="5"/>
  <c r="G28" i="5"/>
  <c r="F28" i="5"/>
  <c r="D28" i="5"/>
  <c r="G27" i="5"/>
  <c r="F27" i="5"/>
  <c r="D27" i="5"/>
  <c r="F26" i="5"/>
  <c r="G26" i="5" s="1"/>
  <c r="D26" i="5"/>
  <c r="G25" i="5"/>
  <c r="F25" i="5"/>
  <c r="D25" i="5"/>
  <c r="F24" i="5"/>
  <c r="G24" i="5" s="1"/>
  <c r="D24" i="5"/>
  <c r="G23" i="5"/>
  <c r="F23" i="5"/>
  <c r="D23" i="5"/>
  <c r="F22" i="5"/>
  <c r="G22" i="5" s="1"/>
  <c r="D22" i="5"/>
  <c r="F21" i="5"/>
  <c r="G21" i="5" s="1"/>
  <c r="D21" i="5"/>
  <c r="O20" i="5"/>
  <c r="F20" i="5"/>
  <c r="G20" i="5" s="1"/>
  <c r="D20" i="5"/>
  <c r="O19" i="5"/>
  <c r="F19" i="5"/>
  <c r="G19" i="5" s="1"/>
  <c r="D19" i="5"/>
  <c r="F18" i="5"/>
  <c r="G18" i="5" s="1"/>
  <c r="D18" i="5"/>
  <c r="AA17" i="5"/>
  <c r="F17" i="5"/>
  <c r="G17" i="5" s="1"/>
  <c r="D17" i="5"/>
  <c r="AA16" i="5"/>
  <c r="F16" i="5"/>
  <c r="G16" i="5" s="1"/>
  <c r="D16" i="5"/>
  <c r="AA15" i="5"/>
  <c r="F15" i="5"/>
  <c r="G15" i="5" s="1"/>
  <c r="D15" i="5"/>
  <c r="AA14" i="5"/>
  <c r="F14" i="5"/>
  <c r="G14" i="5" s="1"/>
  <c r="D14" i="5"/>
  <c r="AA13" i="5"/>
  <c r="F13" i="5"/>
  <c r="G13" i="5" s="1"/>
  <c r="D13" i="5"/>
  <c r="AA12" i="5"/>
  <c r="G12" i="5"/>
  <c r="F12" i="5"/>
  <c r="D12" i="5"/>
  <c r="AA11" i="5"/>
  <c r="G11" i="5"/>
  <c r="F11" i="5"/>
  <c r="D11" i="5"/>
  <c r="M7" i="5"/>
  <c r="K7" i="5"/>
  <c r="G60" i="4"/>
  <c r="F60" i="4"/>
  <c r="D60" i="4"/>
  <c r="F59" i="4"/>
  <c r="G59" i="4" s="1"/>
  <c r="D59" i="4"/>
  <c r="F58" i="4"/>
  <c r="G58" i="4" s="1"/>
  <c r="D58" i="4"/>
  <c r="G57" i="4"/>
  <c r="F57" i="4"/>
  <c r="D57" i="4"/>
  <c r="F56" i="4"/>
  <c r="G56" i="4" s="1"/>
  <c r="D56" i="4"/>
  <c r="F55" i="4"/>
  <c r="G55" i="4" s="1"/>
  <c r="D55" i="4"/>
  <c r="G54" i="4"/>
  <c r="F54" i="4"/>
  <c r="D54" i="4"/>
  <c r="F53" i="4"/>
  <c r="G53" i="4" s="1"/>
  <c r="D53" i="4"/>
  <c r="F52" i="4"/>
  <c r="G52" i="4" s="1"/>
  <c r="D52" i="4"/>
  <c r="G51" i="4"/>
  <c r="F51" i="4"/>
  <c r="D51" i="4"/>
  <c r="F50" i="4"/>
  <c r="G50" i="4" s="1"/>
  <c r="D50" i="4"/>
  <c r="F49" i="4"/>
  <c r="G49" i="4" s="1"/>
  <c r="D49" i="4"/>
  <c r="F48" i="4"/>
  <c r="G48" i="4" s="1"/>
  <c r="D48" i="4"/>
  <c r="F47" i="4"/>
  <c r="G47" i="4" s="1"/>
  <c r="D47" i="4"/>
  <c r="F46" i="4"/>
  <c r="G46" i="4" s="1"/>
  <c r="D46" i="4"/>
  <c r="G45" i="4"/>
  <c r="F45" i="4"/>
  <c r="D45" i="4"/>
  <c r="F44" i="4"/>
  <c r="G44" i="4" s="1"/>
  <c r="D44" i="4"/>
  <c r="G43" i="4"/>
  <c r="F43" i="4"/>
  <c r="D43" i="4"/>
  <c r="G42" i="4"/>
  <c r="F42" i="4"/>
  <c r="D42" i="4"/>
  <c r="G41" i="4"/>
  <c r="F41" i="4"/>
  <c r="D41" i="4"/>
  <c r="F40" i="4"/>
  <c r="G40" i="4" s="1"/>
  <c r="D40" i="4"/>
  <c r="F39" i="4"/>
  <c r="G39" i="4" s="1"/>
  <c r="D39" i="4"/>
  <c r="G38" i="4"/>
  <c r="F38" i="4"/>
  <c r="D38" i="4"/>
  <c r="F37" i="4"/>
  <c r="G37" i="4" s="1"/>
  <c r="D37" i="4"/>
  <c r="F36" i="4"/>
  <c r="G36" i="4" s="1"/>
  <c r="D36" i="4"/>
  <c r="F35" i="4"/>
  <c r="G35" i="4" s="1"/>
  <c r="D35" i="4"/>
  <c r="G34" i="4"/>
  <c r="F34" i="4"/>
  <c r="D34" i="4"/>
  <c r="G33" i="4"/>
  <c r="F33" i="4"/>
  <c r="D33" i="4"/>
  <c r="G32" i="4"/>
  <c r="F32" i="4"/>
  <c r="D32" i="4"/>
  <c r="F31" i="4"/>
  <c r="G31" i="4" s="1"/>
  <c r="D31" i="4"/>
  <c r="G30" i="4"/>
  <c r="F30" i="4"/>
  <c r="D30" i="4"/>
  <c r="G29" i="4"/>
  <c r="F29" i="4"/>
  <c r="D29" i="4"/>
  <c r="F28" i="4"/>
  <c r="G28" i="4" s="1"/>
  <c r="D28" i="4"/>
  <c r="F27" i="4"/>
  <c r="G27" i="4" s="1"/>
  <c r="D27" i="4"/>
  <c r="G26" i="4"/>
  <c r="F26" i="4"/>
  <c r="D26" i="4"/>
  <c r="G25" i="4"/>
  <c r="F25" i="4"/>
  <c r="D25" i="4"/>
  <c r="N24" i="4"/>
  <c r="K7" i="4" s="1"/>
  <c r="M7" i="4" s="1"/>
  <c r="F24" i="4"/>
  <c r="G24" i="4" s="1"/>
  <c r="D24" i="4"/>
  <c r="N23" i="4"/>
  <c r="G23" i="4"/>
  <c r="F23" i="4"/>
  <c r="D23" i="4"/>
  <c r="F22" i="4"/>
  <c r="G22" i="4" s="1"/>
  <c r="D22" i="4"/>
  <c r="G21" i="4"/>
  <c r="F21" i="4"/>
  <c r="D21" i="4"/>
  <c r="G20" i="4"/>
  <c r="F20" i="4"/>
  <c r="D20" i="4"/>
  <c r="G19" i="4"/>
  <c r="F19" i="4"/>
  <c r="D19" i="4"/>
  <c r="F18" i="4"/>
  <c r="G18" i="4" s="1"/>
  <c r="D18" i="4"/>
  <c r="Z17" i="4"/>
  <c r="G17" i="4"/>
  <c r="F17" i="4"/>
  <c r="D17" i="4"/>
  <c r="Z16" i="4"/>
  <c r="F16" i="4"/>
  <c r="G16" i="4" s="1"/>
  <c r="D16" i="4"/>
  <c r="Z15" i="4"/>
  <c r="G15" i="4"/>
  <c r="F15" i="4"/>
  <c r="D15" i="4"/>
  <c r="Z14" i="4"/>
  <c r="F14" i="4"/>
  <c r="G14" i="4" s="1"/>
  <c r="D14" i="4"/>
  <c r="Z13" i="4"/>
  <c r="G13" i="4"/>
  <c r="F13" i="4"/>
  <c r="D13" i="4"/>
  <c r="Z12" i="4"/>
  <c r="F12" i="4"/>
  <c r="G12" i="4" s="1"/>
  <c r="D12" i="4"/>
  <c r="Z11" i="4"/>
  <c r="Z19" i="4" s="1"/>
  <c r="G11" i="4"/>
  <c r="F11" i="4"/>
  <c r="D11" i="4"/>
  <c r="F60" i="3"/>
  <c r="G60" i="3" s="1"/>
  <c r="D60" i="3"/>
  <c r="F59" i="3"/>
  <c r="G59" i="3" s="1"/>
  <c r="D59" i="3"/>
  <c r="F58" i="3"/>
  <c r="G58" i="3" s="1"/>
  <c r="D58" i="3"/>
  <c r="F57" i="3"/>
  <c r="G57" i="3" s="1"/>
  <c r="D57" i="3"/>
  <c r="F56" i="3"/>
  <c r="G56" i="3" s="1"/>
  <c r="D56" i="3"/>
  <c r="G55" i="3"/>
  <c r="F55" i="3"/>
  <c r="D55" i="3"/>
  <c r="G54" i="3"/>
  <c r="F54" i="3"/>
  <c r="D54" i="3"/>
  <c r="F53" i="3"/>
  <c r="G53" i="3" s="1"/>
  <c r="D53" i="3"/>
  <c r="F52" i="3"/>
  <c r="G52" i="3" s="1"/>
  <c r="D52" i="3"/>
  <c r="G51" i="3"/>
  <c r="F51" i="3"/>
  <c r="D51" i="3"/>
  <c r="F50" i="3"/>
  <c r="G50" i="3" s="1"/>
  <c r="D50" i="3"/>
  <c r="F49" i="3"/>
  <c r="G49" i="3" s="1"/>
  <c r="D49" i="3"/>
  <c r="F48" i="3"/>
  <c r="G48" i="3" s="1"/>
  <c r="D48" i="3"/>
  <c r="G47" i="3"/>
  <c r="F47" i="3"/>
  <c r="D47" i="3"/>
  <c r="F46" i="3"/>
  <c r="G46" i="3" s="1"/>
  <c r="D46" i="3"/>
  <c r="G45" i="3"/>
  <c r="F45" i="3"/>
  <c r="D45" i="3"/>
  <c r="G44" i="3"/>
  <c r="F44" i="3"/>
  <c r="D44" i="3"/>
  <c r="G43" i="3"/>
  <c r="F43" i="3"/>
  <c r="D43" i="3"/>
  <c r="G42" i="3"/>
  <c r="F42" i="3"/>
  <c r="D42" i="3"/>
  <c r="F41" i="3"/>
  <c r="G41" i="3" s="1"/>
  <c r="D41" i="3"/>
  <c r="G40" i="3"/>
  <c r="F40" i="3"/>
  <c r="D40" i="3"/>
  <c r="G39" i="3"/>
  <c r="F39" i="3"/>
  <c r="D39" i="3"/>
  <c r="F38" i="3"/>
  <c r="G38" i="3" s="1"/>
  <c r="D38" i="3"/>
  <c r="F37" i="3"/>
  <c r="G37" i="3" s="1"/>
  <c r="D37" i="3"/>
  <c r="G36" i="3"/>
  <c r="F36" i="3"/>
  <c r="D36" i="3"/>
  <c r="G35" i="3"/>
  <c r="F35" i="3"/>
  <c r="D35" i="3"/>
  <c r="F34" i="3"/>
  <c r="G34" i="3" s="1"/>
  <c r="D34" i="3"/>
  <c r="F33" i="3"/>
  <c r="G33" i="3" s="1"/>
  <c r="D33" i="3"/>
  <c r="F32" i="3"/>
  <c r="G32" i="3" s="1"/>
  <c r="D32" i="3"/>
  <c r="G31" i="3"/>
  <c r="F31" i="3"/>
  <c r="D31" i="3"/>
  <c r="G30" i="3"/>
  <c r="F30" i="3"/>
  <c r="D30" i="3"/>
  <c r="F29" i="3"/>
  <c r="G29" i="3" s="1"/>
  <c r="D29" i="3"/>
  <c r="F28" i="3"/>
  <c r="G28" i="3" s="1"/>
  <c r="D28" i="3"/>
  <c r="G27" i="3"/>
  <c r="F27" i="3"/>
  <c r="D27" i="3"/>
  <c r="F26" i="3"/>
  <c r="G26" i="3" s="1"/>
  <c r="D26" i="3"/>
  <c r="F25" i="3"/>
  <c r="G25" i="3" s="1"/>
  <c r="D25" i="3"/>
  <c r="F24" i="3"/>
  <c r="G24" i="3" s="1"/>
  <c r="D24" i="3"/>
  <c r="G23" i="3"/>
  <c r="F23" i="3"/>
  <c r="D23" i="3"/>
  <c r="G22" i="3"/>
  <c r="F22" i="3"/>
  <c r="D22" i="3"/>
  <c r="F21" i="3"/>
  <c r="G21" i="3" s="1"/>
  <c r="D21" i="3"/>
  <c r="F20" i="3"/>
  <c r="G20" i="3" s="1"/>
  <c r="D20" i="3"/>
  <c r="G19" i="3"/>
  <c r="F19" i="3"/>
  <c r="D19" i="3"/>
  <c r="F18" i="3"/>
  <c r="G18" i="3" s="1"/>
  <c r="D18" i="3"/>
  <c r="Z17" i="3"/>
  <c r="Y17" i="1" s="1"/>
  <c r="G17" i="3"/>
  <c r="F17" i="3"/>
  <c r="D17" i="3"/>
  <c r="Z16" i="3"/>
  <c r="F16" i="3"/>
  <c r="G16" i="3" s="1"/>
  <c r="D16" i="3"/>
  <c r="Z15" i="3"/>
  <c r="Z19" i="3" s="1"/>
  <c r="N15" i="3"/>
  <c r="G15" i="3"/>
  <c r="F15" i="3"/>
  <c r="D15" i="3"/>
  <c r="Z14" i="3"/>
  <c r="N14" i="3"/>
  <c r="F14" i="3"/>
  <c r="G14" i="3" s="1"/>
  <c r="D14" i="3"/>
  <c r="Z13" i="3"/>
  <c r="F13" i="3"/>
  <c r="G13" i="3" s="1"/>
  <c r="D13" i="3"/>
  <c r="Z12" i="3"/>
  <c r="F12" i="3"/>
  <c r="G12" i="3" s="1"/>
  <c r="D12" i="3"/>
  <c r="Z11" i="3"/>
  <c r="G11" i="3"/>
  <c r="F11" i="3"/>
  <c r="D11" i="3"/>
  <c r="K7" i="3"/>
  <c r="M7" i="3" s="1"/>
  <c r="F60" i="1"/>
  <c r="G60" i="1" s="1"/>
  <c r="D60" i="1"/>
  <c r="V60" i="1" s="1"/>
  <c r="T59" i="1"/>
  <c r="G59" i="1"/>
  <c r="F59" i="1"/>
  <c r="D59" i="1"/>
  <c r="F58" i="1"/>
  <c r="G58" i="1" s="1"/>
  <c r="D58" i="1"/>
  <c r="T58" i="1" s="1"/>
  <c r="T57" i="1"/>
  <c r="F57" i="1"/>
  <c r="G57" i="1" s="1"/>
  <c r="D57" i="1"/>
  <c r="G56" i="1"/>
  <c r="F56" i="1"/>
  <c r="D56" i="1"/>
  <c r="T55" i="1"/>
  <c r="F55" i="1"/>
  <c r="G55" i="1" s="1"/>
  <c r="D55" i="1"/>
  <c r="G54" i="1"/>
  <c r="F54" i="1"/>
  <c r="D54" i="1"/>
  <c r="T54" i="1" s="1"/>
  <c r="T53" i="1"/>
  <c r="F53" i="1"/>
  <c r="G53" i="1" s="1"/>
  <c r="D53" i="1"/>
  <c r="G52" i="1"/>
  <c r="F52" i="1"/>
  <c r="D52" i="1"/>
  <c r="T52" i="1" s="1"/>
  <c r="T51" i="1"/>
  <c r="F51" i="1"/>
  <c r="G51" i="1" s="1"/>
  <c r="D51" i="1"/>
  <c r="F50" i="1"/>
  <c r="G50" i="1" s="1"/>
  <c r="D50" i="1"/>
  <c r="T50" i="1" s="1"/>
  <c r="T49" i="1"/>
  <c r="G49" i="1"/>
  <c r="F49" i="1"/>
  <c r="D49" i="1"/>
  <c r="F48" i="1"/>
  <c r="G48" i="1" s="1"/>
  <c r="D48" i="1"/>
  <c r="T47" i="1"/>
  <c r="G47" i="1"/>
  <c r="F47" i="1"/>
  <c r="D47" i="1"/>
  <c r="G46" i="1"/>
  <c r="F46" i="1"/>
  <c r="D46" i="1"/>
  <c r="T46" i="1" s="1"/>
  <c r="T45" i="1"/>
  <c r="G45" i="1"/>
  <c r="F45" i="1"/>
  <c r="D45" i="1"/>
  <c r="G44" i="1"/>
  <c r="F44" i="1"/>
  <c r="D44" i="1"/>
  <c r="T43" i="1"/>
  <c r="F43" i="1"/>
  <c r="G43" i="1" s="1"/>
  <c r="D43" i="1"/>
  <c r="F42" i="1"/>
  <c r="G42" i="1" s="1"/>
  <c r="D42" i="1"/>
  <c r="T42" i="1" s="1"/>
  <c r="T41" i="1"/>
  <c r="G41" i="1"/>
  <c r="F41" i="1"/>
  <c r="D41" i="1"/>
  <c r="G40" i="1"/>
  <c r="F40" i="1"/>
  <c r="D40" i="1"/>
  <c r="T40" i="1" s="1"/>
  <c r="T39" i="1"/>
  <c r="F39" i="1"/>
  <c r="G39" i="1" s="1"/>
  <c r="D39" i="1"/>
  <c r="G38" i="1"/>
  <c r="F38" i="1"/>
  <c r="D38" i="1"/>
  <c r="T38" i="1" s="1"/>
  <c r="T37" i="1"/>
  <c r="G37" i="1"/>
  <c r="F37" i="1"/>
  <c r="D37" i="1"/>
  <c r="F36" i="1"/>
  <c r="G36" i="1" s="1"/>
  <c r="D36" i="1"/>
  <c r="T36" i="1" s="1"/>
  <c r="T35" i="1"/>
  <c r="F35" i="1"/>
  <c r="G35" i="1" s="1"/>
  <c r="D35" i="1"/>
  <c r="F34" i="1"/>
  <c r="G34" i="1" s="1"/>
  <c r="D34" i="1"/>
  <c r="T34" i="1" s="1"/>
  <c r="T33" i="1"/>
  <c r="F33" i="1"/>
  <c r="G33" i="1" s="1"/>
  <c r="D33" i="1"/>
  <c r="F32" i="1"/>
  <c r="G32" i="1" s="1"/>
  <c r="D32" i="1"/>
  <c r="T31" i="1"/>
  <c r="G31" i="1"/>
  <c r="F31" i="1"/>
  <c r="D31" i="1"/>
  <c r="F30" i="1"/>
  <c r="G30" i="1" s="1"/>
  <c r="D30" i="1"/>
  <c r="T29" i="1"/>
  <c r="F29" i="1"/>
  <c r="G29" i="1" s="1"/>
  <c r="D29" i="1"/>
  <c r="F28" i="1"/>
  <c r="G28" i="1" s="1"/>
  <c r="D28" i="1"/>
  <c r="T28" i="1" s="1"/>
  <c r="T27" i="1"/>
  <c r="G27" i="1"/>
  <c r="F27" i="1"/>
  <c r="D27" i="1"/>
  <c r="G26" i="1"/>
  <c r="F26" i="1"/>
  <c r="D26" i="1"/>
  <c r="T26" i="1" s="1"/>
  <c r="T25" i="1"/>
  <c r="G25" i="1"/>
  <c r="F25" i="1"/>
  <c r="D25" i="1"/>
  <c r="F24" i="1"/>
  <c r="G24" i="1" s="1"/>
  <c r="D24" i="1"/>
  <c r="T23" i="1"/>
  <c r="N23" i="1"/>
  <c r="F23" i="1"/>
  <c r="G23" i="1" s="1"/>
  <c r="D23" i="1"/>
  <c r="N22" i="1"/>
  <c r="F22" i="1"/>
  <c r="G22" i="1" s="1"/>
  <c r="D22" i="1"/>
  <c r="G21" i="1"/>
  <c r="F21" i="1"/>
  <c r="D21" i="1"/>
  <c r="G20" i="1"/>
  <c r="F20" i="1"/>
  <c r="D20" i="1"/>
  <c r="T20" i="1" s="1"/>
  <c r="F19" i="1"/>
  <c r="G19" i="1" s="1"/>
  <c r="D19" i="1"/>
  <c r="T19" i="1" s="1"/>
  <c r="G18" i="1"/>
  <c r="F18" i="1"/>
  <c r="D18" i="1"/>
  <c r="T18" i="1" s="1"/>
  <c r="X17" i="1"/>
  <c r="T17" i="1"/>
  <c r="G17" i="1"/>
  <c r="F17" i="1"/>
  <c r="D17" i="1"/>
  <c r="Y16" i="1"/>
  <c r="X16" i="1"/>
  <c r="T16" i="1"/>
  <c r="G16" i="1"/>
  <c r="F16" i="1"/>
  <c r="D16" i="1"/>
  <c r="Y15" i="1"/>
  <c r="X15" i="1"/>
  <c r="V15" i="1"/>
  <c r="F15" i="1"/>
  <c r="G15" i="1" s="1"/>
  <c r="D15" i="1"/>
  <c r="T15" i="1" s="1"/>
  <c r="Y14" i="1"/>
  <c r="X14" i="1"/>
  <c r="F14" i="1"/>
  <c r="G14" i="1" s="1"/>
  <c r="D14" i="1"/>
  <c r="Y13" i="1"/>
  <c r="X13" i="1"/>
  <c r="F13" i="1"/>
  <c r="G13" i="1" s="1"/>
  <c r="D13" i="1"/>
  <c r="Y12" i="1"/>
  <c r="X12" i="1"/>
  <c r="V12" i="1"/>
  <c r="T12" i="1"/>
  <c r="G12" i="1"/>
  <c r="F12" i="1"/>
  <c r="D12" i="1"/>
  <c r="Y11" i="1"/>
  <c r="X11" i="1"/>
  <c r="V11" i="1"/>
  <c r="F11" i="1"/>
  <c r="G11" i="1" s="1"/>
  <c r="D11" i="1"/>
  <c r="K7" i="1"/>
  <c r="M7" i="1" s="1"/>
  <c r="F60" i="2"/>
  <c r="G60" i="2" s="1"/>
  <c r="D60" i="2"/>
  <c r="G59" i="2"/>
  <c r="F59" i="2"/>
  <c r="D59" i="2"/>
  <c r="G58" i="2"/>
  <c r="F58" i="2"/>
  <c r="D58" i="2"/>
  <c r="F57" i="2"/>
  <c r="G57" i="2" s="1"/>
  <c r="D57" i="2"/>
  <c r="F56" i="2"/>
  <c r="G56" i="2" s="1"/>
  <c r="D56" i="2"/>
  <c r="F55" i="2"/>
  <c r="G55" i="2" s="1"/>
  <c r="D55" i="2"/>
  <c r="G54" i="2"/>
  <c r="F54" i="2"/>
  <c r="D54" i="2"/>
  <c r="G53" i="2"/>
  <c r="F53" i="2"/>
  <c r="D53" i="2"/>
  <c r="F52" i="2"/>
  <c r="G52" i="2" s="1"/>
  <c r="D52" i="2"/>
  <c r="F51" i="2"/>
  <c r="G51" i="2" s="1"/>
  <c r="D51" i="2"/>
  <c r="F50" i="2"/>
  <c r="G50" i="2" s="1"/>
  <c r="D50" i="2"/>
  <c r="F49" i="2"/>
  <c r="G49" i="2" s="1"/>
  <c r="D49" i="2"/>
  <c r="F48" i="2"/>
  <c r="G48" i="2" s="1"/>
  <c r="D48" i="2"/>
  <c r="G47" i="2"/>
  <c r="F47" i="2"/>
  <c r="D47" i="2"/>
  <c r="G46" i="2"/>
  <c r="F46" i="2"/>
  <c r="D46" i="2"/>
  <c r="F45" i="2"/>
  <c r="G45" i="2" s="1"/>
  <c r="D45" i="2"/>
  <c r="F44" i="2"/>
  <c r="G44" i="2" s="1"/>
  <c r="D44" i="2"/>
  <c r="F43" i="2"/>
  <c r="G43" i="2" s="1"/>
  <c r="D43" i="2"/>
  <c r="G42" i="2"/>
  <c r="F42" i="2"/>
  <c r="D42" i="2"/>
  <c r="G41" i="2"/>
  <c r="F41" i="2"/>
  <c r="D41" i="2"/>
  <c r="F40" i="2"/>
  <c r="G40" i="2" s="1"/>
  <c r="D40" i="2"/>
  <c r="F39" i="2"/>
  <c r="G39" i="2" s="1"/>
  <c r="D39" i="2"/>
  <c r="F38" i="2"/>
  <c r="G38" i="2" s="1"/>
  <c r="D38" i="2"/>
  <c r="F37" i="2"/>
  <c r="G37" i="2" s="1"/>
  <c r="D37" i="2"/>
  <c r="F36" i="2"/>
  <c r="G36" i="2" s="1"/>
  <c r="D36" i="2"/>
  <c r="G35" i="2"/>
  <c r="F35" i="2"/>
  <c r="D35" i="2"/>
  <c r="F34" i="2"/>
  <c r="G34" i="2" s="1"/>
  <c r="D34" i="2"/>
  <c r="F33" i="2"/>
  <c r="G33" i="2" s="1"/>
  <c r="D33" i="2"/>
  <c r="F32" i="2"/>
  <c r="G32" i="2" s="1"/>
  <c r="D32" i="2"/>
  <c r="F31" i="2"/>
  <c r="G31" i="2" s="1"/>
  <c r="D31" i="2"/>
  <c r="G30" i="2"/>
  <c r="F30" i="2"/>
  <c r="D30" i="2"/>
  <c r="G29" i="2"/>
  <c r="F29" i="2"/>
  <c r="D29" i="2"/>
  <c r="F28" i="2"/>
  <c r="G28" i="2" s="1"/>
  <c r="D28" i="2"/>
  <c r="F27" i="2"/>
  <c r="G27" i="2" s="1"/>
  <c r="D27" i="2"/>
  <c r="F26" i="2"/>
  <c r="G26" i="2" s="1"/>
  <c r="D26" i="2"/>
  <c r="F25" i="2"/>
  <c r="G25" i="2" s="1"/>
  <c r="D25" i="2"/>
  <c r="F24" i="2"/>
  <c r="G24" i="2" s="1"/>
  <c r="D24" i="2"/>
  <c r="G23" i="2"/>
  <c r="F23" i="2"/>
  <c r="D23" i="2"/>
  <c r="G22" i="2"/>
  <c r="F22" i="2"/>
  <c r="D22" i="2"/>
  <c r="G21" i="2"/>
  <c r="F21" i="2"/>
  <c r="D21" i="2"/>
  <c r="P20" i="2"/>
  <c r="F20" i="2"/>
  <c r="G20" i="2" s="1"/>
  <c r="D20" i="2"/>
  <c r="P19" i="2"/>
  <c r="F19" i="2"/>
  <c r="G19" i="2" s="1"/>
  <c r="D19" i="2"/>
  <c r="F18" i="2"/>
  <c r="G18" i="2" s="1"/>
  <c r="D18" i="2"/>
  <c r="AB17" i="2"/>
  <c r="F17" i="2"/>
  <c r="G17" i="2" s="1"/>
  <c r="D17" i="2"/>
  <c r="AB16" i="2"/>
  <c r="G16" i="2"/>
  <c r="F16" i="2"/>
  <c r="D16" i="2"/>
  <c r="AB15" i="2"/>
  <c r="F15" i="2"/>
  <c r="G15" i="2" s="1"/>
  <c r="D15" i="2"/>
  <c r="AB14" i="2"/>
  <c r="G14" i="2"/>
  <c r="F14" i="2"/>
  <c r="D14" i="2"/>
  <c r="AB13" i="2"/>
  <c r="F13" i="2"/>
  <c r="G13" i="2" s="1"/>
  <c r="D13" i="2"/>
  <c r="AB12" i="2"/>
  <c r="AB19" i="2" s="1"/>
  <c r="G12" i="2"/>
  <c r="F12" i="2"/>
  <c r="D12" i="2"/>
  <c r="AB11" i="2"/>
  <c r="F11" i="2"/>
  <c r="G11" i="2" s="1"/>
  <c r="D11" i="2"/>
  <c r="N7" i="2"/>
  <c r="L7" i="2"/>
  <c r="Y19" i="1" l="1"/>
  <c r="X19" i="10"/>
  <c r="Y20" i="9"/>
  <c r="H11" i="7"/>
  <c r="Y19" i="7"/>
  <c r="T32" i="1"/>
  <c r="L24" i="2"/>
  <c r="L53" i="2"/>
  <c r="K47" i="8"/>
  <c r="L43" i="7"/>
  <c r="K19" i="10"/>
  <c r="K52" i="4"/>
  <c r="H11" i="9"/>
  <c r="H11" i="1"/>
  <c r="P16" i="2"/>
  <c r="N13" i="10"/>
  <c r="L45" i="2"/>
  <c r="T48" i="1"/>
  <c r="K23" i="4"/>
  <c r="K55" i="4"/>
  <c r="L51" i="2"/>
  <c r="L29" i="2"/>
  <c r="H11" i="2"/>
  <c r="H11" i="4"/>
  <c r="H11" i="3"/>
  <c r="L13" i="2"/>
  <c r="L48" i="2"/>
  <c r="T22" i="1"/>
  <c r="L19" i="2"/>
  <c r="L27" i="2"/>
  <c r="L55" i="2"/>
  <c r="T11" i="1"/>
  <c r="N19" i="1"/>
  <c r="K32" i="1" s="1"/>
  <c r="N20" i="1"/>
  <c r="T30" i="1"/>
  <c r="K49" i="3"/>
  <c r="K53" i="3"/>
  <c r="N20" i="4"/>
  <c r="K36" i="8"/>
  <c r="L25" i="7"/>
  <c r="L33" i="7"/>
  <c r="K27" i="3"/>
  <c r="K48" i="3"/>
  <c r="K56" i="3"/>
  <c r="K44" i="5"/>
  <c r="K33" i="5"/>
  <c r="K21" i="6"/>
  <c r="K21" i="5"/>
  <c r="L58" i="2"/>
  <c r="K16" i="5"/>
  <c r="K40" i="8"/>
  <c r="L46" i="2"/>
  <c r="M45" i="2" s="1"/>
  <c r="T14" i="1"/>
  <c r="K20" i="3"/>
  <c r="T44" i="1"/>
  <c r="K13" i="3"/>
  <c r="K57" i="3"/>
  <c r="L56" i="3" s="1"/>
  <c r="K28" i="4"/>
  <c r="K32" i="4"/>
  <c r="K39" i="4"/>
  <c r="K51" i="6"/>
  <c r="K53" i="4"/>
  <c r="K23" i="8"/>
  <c r="K45" i="3"/>
  <c r="P17" i="2"/>
  <c r="L17" i="2"/>
  <c r="L37" i="2"/>
  <c r="K21" i="3"/>
  <c r="K54" i="3"/>
  <c r="L53" i="3" s="1"/>
  <c r="K17" i="5"/>
  <c r="L16" i="5" s="1"/>
  <c r="K50" i="5"/>
  <c r="L49" i="5" s="1"/>
  <c r="K58" i="3"/>
  <c r="K14" i="5"/>
  <c r="K15" i="6"/>
  <c r="K18" i="6"/>
  <c r="K54" i="6"/>
  <c r="K50" i="8"/>
  <c r="N12" i="10"/>
  <c r="K35" i="10" s="1"/>
  <c r="O13" i="7"/>
  <c r="L27" i="7" s="1"/>
  <c r="L39" i="2"/>
  <c r="K12" i="3"/>
  <c r="K35" i="8"/>
  <c r="T21" i="1"/>
  <c r="K32" i="3"/>
  <c r="L56" i="2"/>
  <c r="M55" i="2" s="1"/>
  <c r="K11" i="1"/>
  <c r="L25" i="2"/>
  <c r="T13" i="1"/>
  <c r="T56" i="1"/>
  <c r="K18" i="3"/>
  <c r="K42" i="5"/>
  <c r="K51" i="5"/>
  <c r="Y19" i="6"/>
  <c r="K26" i="6"/>
  <c r="K33" i="8"/>
  <c r="K46" i="8"/>
  <c r="K38" i="3"/>
  <c r="K36" i="6"/>
  <c r="L44" i="2"/>
  <c r="T24" i="1"/>
  <c r="K28" i="1"/>
  <c r="H11" i="5"/>
  <c r="K12" i="6"/>
  <c r="H11" i="8"/>
  <c r="K21" i="8"/>
  <c r="L39" i="7"/>
  <c r="N13" i="9"/>
  <c r="N12" i="9"/>
  <c r="K44" i="9" s="1"/>
  <c r="O16" i="5"/>
  <c r="K19" i="5" s="1"/>
  <c r="K16" i="3"/>
  <c r="K18" i="4"/>
  <c r="AA19" i="5"/>
  <c r="K22" i="5"/>
  <c r="K30" i="6"/>
  <c r="K58" i="8"/>
  <c r="N21" i="4"/>
  <c r="N11" i="3"/>
  <c r="N12" i="3"/>
  <c r="K12" i="5"/>
  <c r="O17" i="5"/>
  <c r="K58" i="5"/>
  <c r="K38" i="6"/>
  <c r="K55" i="6"/>
  <c r="K28" i="3"/>
  <c r="L27" i="3" s="1"/>
  <c r="K52" i="3"/>
  <c r="H11" i="6"/>
  <c r="N13" i="8"/>
  <c r="K31" i="8" s="1"/>
  <c r="K11" i="8"/>
  <c r="N14" i="8"/>
  <c r="K38" i="8"/>
  <c r="L60" i="7"/>
  <c r="Z19" i="8"/>
  <c r="L20" i="7"/>
  <c r="L37" i="7"/>
  <c r="L51" i="7"/>
  <c r="H11" i="10"/>
  <c r="K49" i="5"/>
  <c r="K55" i="5"/>
  <c r="K47" i="6"/>
  <c r="K13" i="8"/>
  <c r="L41" i="7"/>
  <c r="K35" i="9"/>
  <c r="N16" i="6"/>
  <c r="K24" i="6" s="1"/>
  <c r="K24" i="8"/>
  <c r="K53" i="8"/>
  <c r="L29" i="7"/>
  <c r="N17" i="6"/>
  <c r="K45" i="5"/>
  <c r="L44" i="5" s="1"/>
  <c r="K50" i="6"/>
  <c r="K59" i="6"/>
  <c r="K19" i="8"/>
  <c r="O14" i="7"/>
  <c r="K56" i="10" l="1"/>
  <c r="K31" i="10"/>
  <c r="K40" i="10"/>
  <c r="K45" i="10"/>
  <c r="L44" i="10" s="1"/>
  <c r="K13" i="10"/>
  <c r="K14" i="10"/>
  <c r="L13" i="10" s="1"/>
  <c r="K23" i="10"/>
  <c r="K28" i="10"/>
  <c r="K15" i="10"/>
  <c r="K55" i="10"/>
  <c r="L55" i="10" s="1"/>
  <c r="K17" i="10"/>
  <c r="L16" i="10" s="1"/>
  <c r="K50" i="10"/>
  <c r="K12" i="10"/>
  <c r="K33" i="10"/>
  <c r="K43" i="10"/>
  <c r="K59" i="10"/>
  <c r="K16" i="10"/>
  <c r="K26" i="10"/>
  <c r="K47" i="10"/>
  <c r="K57" i="10"/>
  <c r="L56" i="10" s="1"/>
  <c r="K51" i="10"/>
  <c r="K38" i="10"/>
  <c r="L37" i="10" s="1"/>
  <c r="K42" i="10"/>
  <c r="K42" i="9"/>
  <c r="K27" i="9"/>
  <c r="K56" i="9"/>
  <c r="K40" i="9"/>
  <c r="K30" i="9"/>
  <c r="K47" i="9"/>
  <c r="K28" i="9"/>
  <c r="K16" i="9"/>
  <c r="K49" i="9"/>
  <c r="K20" i="9"/>
  <c r="K59" i="9"/>
  <c r="K32" i="9"/>
  <c r="L50" i="7"/>
  <c r="M50" i="7" s="1"/>
  <c r="K40" i="6"/>
  <c r="L54" i="6"/>
  <c r="L11" i="1"/>
  <c r="L19" i="3"/>
  <c r="M60" i="7"/>
  <c r="K24" i="1"/>
  <c r="K58" i="1"/>
  <c r="L57" i="1" s="1"/>
  <c r="L25" i="10"/>
  <c r="L52" i="4"/>
  <c r="K12" i="4"/>
  <c r="K45" i="4"/>
  <c r="K38" i="4"/>
  <c r="L37" i="4" s="1"/>
  <c r="K50" i="4"/>
  <c r="K40" i="4"/>
  <c r="L39" i="4" s="1"/>
  <c r="K17" i="4"/>
  <c r="L16" i="4" s="1"/>
  <c r="K51" i="4"/>
  <c r="L50" i="4" s="1"/>
  <c r="K11" i="4"/>
  <c r="K26" i="4"/>
  <c r="L25" i="4" s="1"/>
  <c r="K43" i="4"/>
  <c r="K34" i="4"/>
  <c r="K24" i="4"/>
  <c r="L23" i="4" s="1"/>
  <c r="K33" i="4"/>
  <c r="L32" i="4" s="1"/>
  <c r="K37" i="4"/>
  <c r="K15" i="4"/>
  <c r="L14" i="4" s="1"/>
  <c r="K60" i="4"/>
  <c r="K57" i="4"/>
  <c r="K36" i="4"/>
  <c r="L35" i="4" s="1"/>
  <c r="K29" i="4"/>
  <c r="L28" i="4" s="1"/>
  <c r="L46" i="8"/>
  <c r="L50" i="5"/>
  <c r="M18" i="2"/>
  <c r="M52" i="2"/>
  <c r="K57" i="6"/>
  <c r="L56" i="6" s="1"/>
  <c r="L31" i="3"/>
  <c r="L27" i="9"/>
  <c r="L48" i="5"/>
  <c r="K59" i="4"/>
  <c r="K56" i="5"/>
  <c r="L55" i="5" s="1"/>
  <c r="K21" i="1"/>
  <c r="K30" i="4"/>
  <c r="K23" i="9"/>
  <c r="L26" i="3"/>
  <c r="K24" i="3"/>
  <c r="K39" i="3"/>
  <c r="L38" i="3" s="1"/>
  <c r="K36" i="3"/>
  <c r="L35" i="3" s="1"/>
  <c r="K42" i="3"/>
  <c r="K50" i="3"/>
  <c r="L49" i="3" s="1"/>
  <c r="K26" i="3"/>
  <c r="K43" i="3"/>
  <c r="K15" i="3"/>
  <c r="K31" i="3"/>
  <c r="L30" i="3" s="1"/>
  <c r="K19" i="3"/>
  <c r="L18" i="3" s="1"/>
  <c r="K46" i="3"/>
  <c r="L45" i="3" s="1"/>
  <c r="K47" i="3"/>
  <c r="K35" i="3"/>
  <c r="K55" i="3"/>
  <c r="L54" i="3" s="1"/>
  <c r="K59" i="3"/>
  <c r="L58" i="3" s="1"/>
  <c r="K23" i="3"/>
  <c r="K22" i="3"/>
  <c r="L21" i="3" s="1"/>
  <c r="K40" i="3"/>
  <c r="K37" i="3"/>
  <c r="K11" i="3"/>
  <c r="K39" i="5"/>
  <c r="K14" i="6"/>
  <c r="L46" i="7"/>
  <c r="K34" i="9"/>
  <c r="K14" i="1"/>
  <c r="K56" i="4"/>
  <c r="L55" i="4" s="1"/>
  <c r="L19" i="7"/>
  <c r="K52" i="8"/>
  <c r="L59" i="2"/>
  <c r="M58" i="2" s="1"/>
  <c r="L28" i="2"/>
  <c r="M27" i="2" s="1"/>
  <c r="L52" i="2"/>
  <c r="M51" i="2" s="1"/>
  <c r="L40" i="2"/>
  <c r="M39" i="2" s="1"/>
  <c r="L21" i="2"/>
  <c r="L54" i="2"/>
  <c r="M53" i="2" s="1"/>
  <c r="L57" i="2"/>
  <c r="M56" i="2" s="1"/>
  <c r="L38" i="2"/>
  <c r="M37" i="2" s="1"/>
  <c r="L30" i="2"/>
  <c r="M29" i="2" s="1"/>
  <c r="L14" i="2"/>
  <c r="M13" i="2" s="1"/>
  <c r="L16" i="2"/>
  <c r="M16" i="2" s="1"/>
  <c r="L23" i="2"/>
  <c r="M22" i="2" s="1"/>
  <c r="L35" i="2"/>
  <c r="L18" i="2"/>
  <c r="M17" i="2" s="1"/>
  <c r="L42" i="2"/>
  <c r="L12" i="2"/>
  <c r="L11" i="2"/>
  <c r="L41" i="2"/>
  <c r="M40" i="2" s="1"/>
  <c r="L22" i="2"/>
  <c r="L47" i="2"/>
  <c r="M46" i="2" s="1"/>
  <c r="L20" i="2"/>
  <c r="M19" i="2" s="1"/>
  <c r="L50" i="2"/>
  <c r="M50" i="2" s="1"/>
  <c r="K54" i="9"/>
  <c r="L32" i="7"/>
  <c r="K44" i="6"/>
  <c r="K54" i="4"/>
  <c r="L53" i="4" s="1"/>
  <c r="L38" i="7"/>
  <c r="M37" i="7" s="1"/>
  <c r="K35" i="4"/>
  <c r="L34" i="4" s="1"/>
  <c r="K29" i="8"/>
  <c r="K60" i="3"/>
  <c r="K51" i="3"/>
  <c r="L34" i="2"/>
  <c r="K41" i="4"/>
  <c r="L40" i="4" s="1"/>
  <c r="K25" i="3"/>
  <c r="L24" i="3" s="1"/>
  <c r="L49" i="2"/>
  <c r="M48" i="2" s="1"/>
  <c r="L17" i="7"/>
  <c r="L43" i="2"/>
  <c r="M42" i="2" s="1"/>
  <c r="K15" i="8"/>
  <c r="K46" i="9"/>
  <c r="L36" i="2"/>
  <c r="M35" i="2" s="1"/>
  <c r="K23" i="5"/>
  <c r="L22" i="5" s="1"/>
  <c r="L36" i="7"/>
  <c r="K42" i="1"/>
  <c r="L41" i="1" s="1"/>
  <c r="K29" i="1"/>
  <c r="L28" i="1" s="1"/>
  <c r="K33" i="1"/>
  <c r="L32" i="1" s="1"/>
  <c r="K49" i="1"/>
  <c r="K31" i="1"/>
  <c r="L31" i="1" s="1"/>
  <c r="K51" i="1"/>
  <c r="K35" i="1"/>
  <c r="K41" i="1"/>
  <c r="L40" i="1" s="1"/>
  <c r="K54" i="1"/>
  <c r="K53" i="1"/>
  <c r="L52" i="1" s="1"/>
  <c r="K47" i="1"/>
  <c r="K39" i="1"/>
  <c r="L38" i="1" s="1"/>
  <c r="K18" i="1"/>
  <c r="K27" i="1"/>
  <c r="L26" i="1" s="1"/>
  <c r="K17" i="1"/>
  <c r="K55" i="1"/>
  <c r="L54" i="1" s="1"/>
  <c r="K36" i="1"/>
  <c r="L35" i="1" s="1"/>
  <c r="K38" i="1"/>
  <c r="K40" i="1"/>
  <c r="K12" i="1"/>
  <c r="K52" i="1"/>
  <c r="K25" i="1"/>
  <c r="L24" i="1" s="1"/>
  <c r="K57" i="1"/>
  <c r="K26" i="1"/>
  <c r="L25" i="1" s="1"/>
  <c r="K43" i="1"/>
  <c r="L42" i="1" s="1"/>
  <c r="K45" i="1"/>
  <c r="L44" i="1" s="1"/>
  <c r="K19" i="1"/>
  <c r="L18" i="1" s="1"/>
  <c r="K59" i="1"/>
  <c r="L58" i="1" s="1"/>
  <c r="K15" i="1"/>
  <c r="K37" i="1"/>
  <c r="L36" i="1" s="1"/>
  <c r="L15" i="3"/>
  <c r="L27" i="4"/>
  <c r="L35" i="8"/>
  <c r="L50" i="6"/>
  <c r="K25" i="4"/>
  <c r="L24" i="4" s="1"/>
  <c r="L23" i="8"/>
  <c r="L11" i="8"/>
  <c r="L13" i="5"/>
  <c r="K11" i="6"/>
  <c r="K22" i="6"/>
  <c r="L21" i="6" s="1"/>
  <c r="K41" i="6"/>
  <c r="L40" i="6" s="1"/>
  <c r="K56" i="6"/>
  <c r="L55" i="6" s="1"/>
  <c r="K53" i="6"/>
  <c r="K28" i="6"/>
  <c r="L27" i="6" s="1"/>
  <c r="K34" i="6"/>
  <c r="L33" i="6" s="1"/>
  <c r="K46" i="6"/>
  <c r="L45" i="6" s="1"/>
  <c r="K20" i="6"/>
  <c r="K58" i="6"/>
  <c r="K16" i="6"/>
  <c r="L15" i="6" s="1"/>
  <c r="K25" i="6"/>
  <c r="L24" i="6" s="1"/>
  <c r="K29" i="6"/>
  <c r="L29" i="6" s="1"/>
  <c r="K27" i="6"/>
  <c r="L26" i="6" s="1"/>
  <c r="K49" i="6"/>
  <c r="L49" i="6" s="1"/>
  <c r="K45" i="6"/>
  <c r="K32" i="6"/>
  <c r="K60" i="6"/>
  <c r="K39" i="6"/>
  <c r="L38" i="6" s="1"/>
  <c r="K52" i="6"/>
  <c r="L51" i="6" s="1"/>
  <c r="K42" i="6"/>
  <c r="L41" i="6" s="1"/>
  <c r="L14" i="7"/>
  <c r="M13" i="7" s="1"/>
  <c r="L12" i="7"/>
  <c r="K14" i="4"/>
  <c r="L12" i="3"/>
  <c r="L47" i="3"/>
  <c r="L15" i="7"/>
  <c r="K41" i="8"/>
  <c r="L40" i="8" s="1"/>
  <c r="K35" i="6"/>
  <c r="L56" i="7"/>
  <c r="L57" i="3"/>
  <c r="K44" i="1"/>
  <c r="L48" i="3"/>
  <c r="K23" i="6"/>
  <c r="L31" i="7"/>
  <c r="K22" i="8"/>
  <c r="L21" i="8" s="1"/>
  <c r="L49" i="7"/>
  <c r="K31" i="4"/>
  <c r="L30" i="4" s="1"/>
  <c r="K21" i="4"/>
  <c r="L20" i="4" s="1"/>
  <c r="K56" i="1"/>
  <c r="L55" i="1" s="1"/>
  <c r="K29" i="3"/>
  <c r="L28" i="3" s="1"/>
  <c r="K30" i="1"/>
  <c r="L44" i="7"/>
  <c r="M43" i="7" s="1"/>
  <c r="K48" i="8"/>
  <c r="L47" i="8" s="1"/>
  <c r="K19" i="6"/>
  <c r="L18" i="6" s="1"/>
  <c r="K13" i="6"/>
  <c r="L12" i="6" s="1"/>
  <c r="K54" i="5"/>
  <c r="L53" i="5" s="1"/>
  <c r="K33" i="3"/>
  <c r="L32" i="3" s="1"/>
  <c r="K52" i="9"/>
  <c r="K13" i="1"/>
  <c r="L12" i="1" s="1"/>
  <c r="K26" i="5"/>
  <c r="L25" i="5" s="1"/>
  <c r="K11" i="10"/>
  <c r="K46" i="10"/>
  <c r="K34" i="10"/>
  <c r="K48" i="10"/>
  <c r="K36" i="10"/>
  <c r="L35" i="10" s="1"/>
  <c r="K53" i="10"/>
  <c r="K49" i="10"/>
  <c r="K24" i="10"/>
  <c r="L23" i="10" s="1"/>
  <c r="K20" i="10"/>
  <c r="L19" i="10" s="1"/>
  <c r="K52" i="10"/>
  <c r="K27" i="10"/>
  <c r="K41" i="10"/>
  <c r="L40" i="10" s="1"/>
  <c r="K30" i="10"/>
  <c r="L30" i="10" s="1"/>
  <c r="K22" i="10"/>
  <c r="L22" i="10" s="1"/>
  <c r="K54" i="10"/>
  <c r="K18" i="10"/>
  <c r="K44" i="10"/>
  <c r="K39" i="10"/>
  <c r="K58" i="10"/>
  <c r="K37" i="10"/>
  <c r="K60" i="10"/>
  <c r="K29" i="10"/>
  <c r="L28" i="10" s="1"/>
  <c r="K32" i="10"/>
  <c r="L31" i="10" s="1"/>
  <c r="L31" i="2"/>
  <c r="M30" i="2" s="1"/>
  <c r="K37" i="6"/>
  <c r="L36" i="6" s="1"/>
  <c r="K21" i="10"/>
  <c r="K43" i="6"/>
  <c r="K20" i="1"/>
  <c r="L26" i="2"/>
  <c r="M25" i="2" s="1"/>
  <c r="K27" i="4"/>
  <c r="K46" i="4"/>
  <c r="L45" i="4" s="1"/>
  <c r="K49" i="4"/>
  <c r="L33" i="2"/>
  <c r="M32" i="2" s="1"/>
  <c r="L38" i="4"/>
  <c r="L54" i="4"/>
  <c r="L53" i="6"/>
  <c r="L21" i="5"/>
  <c r="M38" i="2"/>
  <c r="M54" i="2"/>
  <c r="K48" i="1"/>
  <c r="L47" i="1" s="1"/>
  <c r="K46" i="1"/>
  <c r="L20" i="3"/>
  <c r="K20" i="4"/>
  <c r="M26" i="2"/>
  <c r="K23" i="1"/>
  <c r="L35" i="7"/>
  <c r="L23" i="7"/>
  <c r="L52" i="7"/>
  <c r="M51" i="7" s="1"/>
  <c r="L54" i="7"/>
  <c r="L47" i="7"/>
  <c r="M46" i="7" s="1"/>
  <c r="L40" i="7"/>
  <c r="M39" i="7" s="1"/>
  <c r="L30" i="7"/>
  <c r="M29" i="7" s="1"/>
  <c r="L11" i="7"/>
  <c r="L45" i="7"/>
  <c r="L34" i="7"/>
  <c r="M33" i="7" s="1"/>
  <c r="L13" i="7"/>
  <c r="L59" i="7"/>
  <c r="M59" i="7" s="1"/>
  <c r="L48" i="7"/>
  <c r="L58" i="7"/>
  <c r="L42" i="7"/>
  <c r="M41" i="7" s="1"/>
  <c r="L21" i="7"/>
  <c r="M20" i="7" s="1"/>
  <c r="L24" i="7"/>
  <c r="M24" i="7" s="1"/>
  <c r="L28" i="7"/>
  <c r="M27" i="7" s="1"/>
  <c r="K13" i="4"/>
  <c r="M44" i="2"/>
  <c r="K27" i="8"/>
  <c r="K16" i="8"/>
  <c r="L15" i="8" s="1"/>
  <c r="K44" i="8"/>
  <c r="K57" i="8"/>
  <c r="K54" i="8"/>
  <c r="L53" i="8" s="1"/>
  <c r="K51" i="8"/>
  <c r="L50" i="8" s="1"/>
  <c r="K25" i="8"/>
  <c r="L24" i="8" s="1"/>
  <c r="K18" i="8"/>
  <c r="L18" i="8" s="1"/>
  <c r="K37" i="8"/>
  <c r="L36" i="8" s="1"/>
  <c r="K39" i="8"/>
  <c r="L38" i="8" s="1"/>
  <c r="K12" i="8"/>
  <c r="L12" i="8" s="1"/>
  <c r="K59" i="8"/>
  <c r="L58" i="8" s="1"/>
  <c r="K42" i="8"/>
  <c r="K45" i="8"/>
  <c r="K32" i="8"/>
  <c r="L31" i="8" s="1"/>
  <c r="K28" i="8"/>
  <c r="L27" i="8" s="1"/>
  <c r="K20" i="8"/>
  <c r="L19" i="8" s="1"/>
  <c r="K49" i="8"/>
  <c r="K56" i="8"/>
  <c r="K43" i="8"/>
  <c r="K14" i="8"/>
  <c r="L13" i="8" s="1"/>
  <c r="K16" i="4"/>
  <c r="L15" i="4" s="1"/>
  <c r="L37" i="3"/>
  <c r="L52" i="3"/>
  <c r="K17" i="8"/>
  <c r="K24" i="5"/>
  <c r="L23" i="5" s="1"/>
  <c r="K47" i="5"/>
  <c r="L46" i="5" s="1"/>
  <c r="K18" i="5"/>
  <c r="L17" i="5" s="1"/>
  <c r="K36" i="5"/>
  <c r="L35" i="5" s="1"/>
  <c r="K11" i="5"/>
  <c r="K13" i="5"/>
  <c r="L12" i="5" s="1"/>
  <c r="K15" i="5"/>
  <c r="L14" i="5" s="1"/>
  <c r="K48" i="5"/>
  <c r="K41" i="5"/>
  <c r="L40" i="5" s="1"/>
  <c r="K38" i="5"/>
  <c r="K28" i="5"/>
  <c r="K25" i="5"/>
  <c r="K60" i="5"/>
  <c r="K43" i="5"/>
  <c r="L42" i="5" s="1"/>
  <c r="K59" i="5"/>
  <c r="L58" i="5" s="1"/>
  <c r="K37" i="5"/>
  <c r="L36" i="5" s="1"/>
  <c r="K30" i="5"/>
  <c r="K20" i="5"/>
  <c r="L19" i="5" s="1"/>
  <c r="K53" i="5"/>
  <c r="L52" i="5" s="1"/>
  <c r="K40" i="5"/>
  <c r="K32" i="5"/>
  <c r="L31" i="5" s="1"/>
  <c r="K52" i="5"/>
  <c r="L51" i="5" s="1"/>
  <c r="K35" i="5"/>
  <c r="L34" i="5" s="1"/>
  <c r="K46" i="5"/>
  <c r="L45" i="5" s="1"/>
  <c r="K27" i="5"/>
  <c r="M57" i="2"/>
  <c r="K26" i="8"/>
  <c r="K55" i="8"/>
  <c r="L54" i="8" s="1"/>
  <c r="L53" i="7"/>
  <c r="K31" i="5"/>
  <c r="K31" i="6"/>
  <c r="L30" i="6" s="1"/>
  <c r="L16" i="7"/>
  <c r="K34" i="5"/>
  <c r="L33" i="5" s="1"/>
  <c r="K44" i="3"/>
  <c r="L43" i="3" s="1"/>
  <c r="K48" i="4"/>
  <c r="K34" i="8"/>
  <c r="L33" i="8" s="1"/>
  <c r="K47" i="4"/>
  <c r="L46" i="4" s="1"/>
  <c r="K25" i="9"/>
  <c r="K50" i="1"/>
  <c r="K41" i="9"/>
  <c r="L40" i="9" s="1"/>
  <c r="K60" i="1"/>
  <c r="K24" i="9"/>
  <c r="K36" i="9"/>
  <c r="L35" i="9" s="1"/>
  <c r="K29" i="5"/>
  <c r="K33" i="6"/>
  <c r="L57" i="7"/>
  <c r="K25" i="10"/>
  <c r="K16" i="1"/>
  <c r="L15" i="1" s="1"/>
  <c r="L15" i="2"/>
  <c r="M14" i="2" s="1"/>
  <c r="L60" i="2"/>
  <c r="L32" i="2"/>
  <c r="L20" i="5"/>
  <c r="M38" i="7"/>
  <c r="L31" i="4"/>
  <c r="K22" i="1"/>
  <c r="L21" i="1" s="1"/>
  <c r="M28" i="2"/>
  <c r="M43" i="2"/>
  <c r="M49" i="7"/>
  <c r="L22" i="7"/>
  <c r="M12" i="2"/>
  <c r="K60" i="8"/>
  <c r="K17" i="6"/>
  <c r="K22" i="4"/>
  <c r="L22" i="4" s="1"/>
  <c r="K19" i="4"/>
  <c r="L18" i="4" s="1"/>
  <c r="K30" i="8"/>
  <c r="K44" i="4"/>
  <c r="L43" i="4" s="1"/>
  <c r="K21" i="9"/>
  <c r="L20" i="9" s="1"/>
  <c r="K11" i="9"/>
  <c r="K38" i="9"/>
  <c r="K13" i="9"/>
  <c r="K19" i="9"/>
  <c r="K57" i="9"/>
  <c r="L56" i="9" s="1"/>
  <c r="K26" i="9"/>
  <c r="K22" i="9"/>
  <c r="K43" i="9"/>
  <c r="L42" i="9" s="1"/>
  <c r="K39" i="9"/>
  <c r="L38" i="9" s="1"/>
  <c r="K29" i="9"/>
  <c r="L28" i="9" s="1"/>
  <c r="K15" i="9"/>
  <c r="K60" i="9"/>
  <c r="K48" i="9"/>
  <c r="L47" i="9" s="1"/>
  <c r="K17" i="9"/>
  <c r="K31" i="9"/>
  <c r="K55" i="9"/>
  <c r="L55" i="9" s="1"/>
  <c r="K51" i="9"/>
  <c r="K14" i="9"/>
  <c r="K12" i="9"/>
  <c r="K58" i="9"/>
  <c r="L57" i="9" s="1"/>
  <c r="K53" i="9"/>
  <c r="K18" i="9"/>
  <c r="K33" i="9"/>
  <c r="K50" i="9"/>
  <c r="L49" i="9" s="1"/>
  <c r="K45" i="9"/>
  <c r="L44" i="9" s="1"/>
  <c r="K37" i="9"/>
  <c r="K34" i="1"/>
  <c r="L18" i="7"/>
  <c r="M24" i="2"/>
  <c r="K48" i="6"/>
  <c r="L47" i="6" s="1"/>
  <c r="L55" i="7"/>
  <c r="M54" i="7" s="1"/>
  <c r="L26" i="7"/>
  <c r="M25" i="7" s="1"/>
  <c r="K42" i="4"/>
  <c r="L41" i="4" s="1"/>
  <c r="K58" i="4"/>
  <c r="L57" i="4" s="1"/>
  <c r="K57" i="5"/>
  <c r="L56" i="5" s="1"/>
  <c r="K41" i="3"/>
  <c r="L40" i="3" s="1"/>
  <c r="K34" i="3"/>
  <c r="K30" i="3"/>
  <c r="K17" i="3"/>
  <c r="L16" i="3" s="1"/>
  <c r="K14" i="3"/>
  <c r="L13" i="3" s="1"/>
  <c r="L14" i="10" l="1"/>
  <c r="L45" i="10"/>
  <c r="L12" i="10"/>
  <c r="L15" i="10"/>
  <c r="L57" i="10"/>
  <c r="L43" i="10"/>
  <c r="L47" i="10"/>
  <c r="L50" i="10"/>
  <c r="L17" i="10"/>
  <c r="L33" i="10"/>
  <c r="L42" i="10"/>
  <c r="L24" i="10"/>
  <c r="L38" i="10"/>
  <c r="L26" i="10"/>
  <c r="L51" i="10"/>
  <c r="L18" i="10"/>
  <c r="L46" i="10"/>
  <c r="L53" i="10"/>
  <c r="L54" i="10"/>
  <c r="L36" i="10"/>
  <c r="L39" i="10"/>
  <c r="L34" i="10"/>
  <c r="L48" i="10"/>
  <c r="L32" i="9"/>
  <c r="L30" i="9"/>
  <c r="L16" i="9"/>
  <c r="L23" i="9"/>
  <c r="L53" i="9"/>
  <c r="L24" i="9"/>
  <c r="L39" i="9"/>
  <c r="L14" i="9"/>
  <c r="L51" i="9"/>
  <c r="L41" i="9"/>
  <c r="L58" i="9"/>
  <c r="L17" i="9"/>
  <c r="M57" i="7"/>
  <c r="M17" i="7"/>
  <c r="M40" i="7"/>
  <c r="M47" i="7"/>
  <c r="M34" i="7"/>
  <c r="M55" i="7"/>
  <c r="M12" i="7"/>
  <c r="M21" i="7"/>
  <c r="M28" i="7"/>
  <c r="M44" i="7"/>
  <c r="M31" i="7"/>
  <c r="M18" i="7"/>
  <c r="L43" i="8"/>
  <c r="L48" i="8"/>
  <c r="L29" i="8"/>
  <c r="L16" i="8"/>
  <c r="L39" i="8"/>
  <c r="L37" i="8"/>
  <c r="L13" i="6"/>
  <c r="L25" i="6"/>
  <c r="L19" i="6"/>
  <c r="L16" i="6"/>
  <c r="L34" i="6"/>
  <c r="L46" i="6"/>
  <c r="L44" i="6"/>
  <c r="L32" i="6"/>
  <c r="L17" i="6"/>
  <c r="L35" i="6"/>
  <c r="L57" i="6"/>
  <c r="L57" i="5"/>
  <c r="M33" i="2"/>
  <c r="L34" i="3"/>
  <c r="L56" i="4"/>
  <c r="L17" i="4"/>
  <c r="L13" i="9"/>
  <c r="L25" i="9"/>
  <c r="L32" i="10"/>
  <c r="L44" i="3"/>
  <c r="L28" i="5"/>
  <c r="L37" i="5"/>
  <c r="L15" i="5"/>
  <c r="L41" i="8"/>
  <c r="L26" i="8"/>
  <c r="L19" i="4"/>
  <c r="L26" i="4"/>
  <c r="L52" i="10"/>
  <c r="M30" i="7"/>
  <c r="M23" i="2"/>
  <c r="L31" i="6"/>
  <c r="L52" i="6"/>
  <c r="L26" i="9"/>
  <c r="L56" i="1"/>
  <c r="L46" i="1"/>
  <c r="M35" i="7"/>
  <c r="L50" i="3"/>
  <c r="M21" i="2"/>
  <c r="M45" i="7"/>
  <c r="L46" i="3"/>
  <c r="L29" i="9"/>
  <c r="L59" i="4"/>
  <c r="L60" i="4"/>
  <c r="L49" i="4"/>
  <c r="L51" i="3"/>
  <c r="L25" i="8"/>
  <c r="L22" i="3"/>
  <c r="O21" i="1"/>
  <c r="L26" i="5"/>
  <c r="L56" i="8"/>
  <c r="M49" i="2"/>
  <c r="L24" i="5"/>
  <c r="P15" i="8"/>
  <c r="L17" i="1"/>
  <c r="L13" i="1"/>
  <c r="P21" i="1"/>
  <c r="L21" i="9"/>
  <c r="L27" i="10"/>
  <c r="L44" i="8"/>
  <c r="O15" i="8"/>
  <c r="L45" i="8"/>
  <c r="L58" i="10"/>
  <c r="L33" i="9"/>
  <c r="L23" i="3"/>
  <c r="L50" i="9"/>
  <c r="L21" i="4"/>
  <c r="L34" i="8"/>
  <c r="P15" i="7"/>
  <c r="Q15" i="7"/>
  <c r="M11" i="7"/>
  <c r="L32" i="8"/>
  <c r="L49" i="10"/>
  <c r="M14" i="7"/>
  <c r="L22" i="8"/>
  <c r="L60" i="3"/>
  <c r="L59" i="3"/>
  <c r="L54" i="5"/>
  <c r="L30" i="8"/>
  <c r="L54" i="9"/>
  <c r="L18" i="9"/>
  <c r="L32" i="5"/>
  <c r="L27" i="1"/>
  <c r="R19" i="1" s="1"/>
  <c r="M15" i="7"/>
  <c r="L39" i="5"/>
  <c r="L47" i="5"/>
  <c r="L12" i="4"/>
  <c r="L45" i="1"/>
  <c r="L37" i="6"/>
  <c r="L19" i="1"/>
  <c r="L22" i="6"/>
  <c r="L48" i="6"/>
  <c r="L51" i="1"/>
  <c r="L53" i="1"/>
  <c r="L28" i="8"/>
  <c r="M11" i="2"/>
  <c r="Q18" i="2"/>
  <c r="R18" i="2"/>
  <c r="M20" i="2"/>
  <c r="L22" i="9"/>
  <c r="L36" i="4"/>
  <c r="L44" i="4"/>
  <c r="L23" i="1"/>
  <c r="L23" i="6"/>
  <c r="L59" i="9"/>
  <c r="L60" i="9"/>
  <c r="M59" i="2"/>
  <c r="M60" i="2"/>
  <c r="M22" i="7"/>
  <c r="L49" i="8"/>
  <c r="L15" i="9"/>
  <c r="L16" i="1"/>
  <c r="L22" i="1"/>
  <c r="L60" i="10"/>
  <c r="L59" i="10"/>
  <c r="M56" i="7"/>
  <c r="L47" i="4"/>
  <c r="M19" i="7"/>
  <c r="L27" i="5"/>
  <c r="L20" i="6"/>
  <c r="L59" i="6"/>
  <c r="L60" i="6"/>
  <c r="L33" i="1"/>
  <c r="L12" i="9"/>
  <c r="L60" i="8"/>
  <c r="L59" i="8"/>
  <c r="L57" i="8"/>
  <c r="L60" i="1"/>
  <c r="L59" i="1"/>
  <c r="L34" i="9"/>
  <c r="L42" i="6"/>
  <c r="L43" i="5"/>
  <c r="L31" i="9"/>
  <c r="L45" i="9"/>
  <c r="L38" i="5"/>
  <c r="L29" i="4"/>
  <c r="L18" i="5"/>
  <c r="L29" i="3"/>
  <c r="L36" i="9"/>
  <c r="L37" i="9"/>
  <c r="L20" i="8"/>
  <c r="L30" i="5"/>
  <c r="M23" i="7"/>
  <c r="L20" i="10"/>
  <c r="L21" i="10"/>
  <c r="L43" i="1"/>
  <c r="L13" i="4"/>
  <c r="L28" i="6"/>
  <c r="O18" i="6"/>
  <c r="P18" i="6"/>
  <c r="L11" i="6"/>
  <c r="L51" i="4"/>
  <c r="L39" i="1"/>
  <c r="L34" i="1"/>
  <c r="L14" i="8"/>
  <c r="M41" i="2"/>
  <c r="Q13" i="3"/>
  <c r="P13" i="3"/>
  <c r="L11" i="3"/>
  <c r="L14" i="3"/>
  <c r="L20" i="1"/>
  <c r="L55" i="3"/>
  <c r="L14" i="6"/>
  <c r="L55" i="8"/>
  <c r="L48" i="1"/>
  <c r="L51" i="8"/>
  <c r="M15" i="2"/>
  <c r="L41" i="3"/>
  <c r="P22" i="4"/>
  <c r="O22" i="4"/>
  <c r="L11" i="4"/>
  <c r="L52" i="9"/>
  <c r="L60" i="5"/>
  <c r="L59" i="5"/>
  <c r="M58" i="7"/>
  <c r="L58" i="6"/>
  <c r="L48" i="4"/>
  <c r="M48" i="7"/>
  <c r="L41" i="10"/>
  <c r="L33" i="3"/>
  <c r="P14" i="9"/>
  <c r="L11" i="9"/>
  <c r="O14" i="9"/>
  <c r="M31" i="2"/>
  <c r="L49" i="1"/>
  <c r="M52" i="7"/>
  <c r="L29" i="5"/>
  <c r="L11" i="5"/>
  <c r="Q18" i="5"/>
  <c r="P18" i="5"/>
  <c r="L42" i="8"/>
  <c r="L17" i="8"/>
  <c r="M53" i="7"/>
  <c r="L52" i="8"/>
  <c r="M32" i="7"/>
  <c r="L29" i="10"/>
  <c r="L11" i="10"/>
  <c r="P14" i="10"/>
  <c r="O14" i="10"/>
  <c r="L29" i="1"/>
  <c r="L48" i="9"/>
  <c r="L19" i="9"/>
  <c r="L37" i="1"/>
  <c r="L50" i="1"/>
  <c r="L36" i="3"/>
  <c r="L42" i="3"/>
  <c r="M36" i="2"/>
  <c r="L33" i="4"/>
  <c r="M36" i="7"/>
  <c r="L43" i="9"/>
  <c r="L17" i="3"/>
  <c r="L41" i="5"/>
  <c r="L39" i="6"/>
  <c r="M42" i="7"/>
  <c r="L14" i="1"/>
  <c r="L30" i="1"/>
  <c r="M16" i="7"/>
  <c r="L43" i="6"/>
  <c r="M34" i="2"/>
  <c r="L39" i="3"/>
  <c r="L25" i="3"/>
  <c r="L58" i="4"/>
  <c r="L42" i="4"/>
  <c r="M47" i="2"/>
  <c r="L46" i="9"/>
  <c r="M26" i="7"/>
  <c r="R13" i="8" l="1"/>
  <c r="R17" i="9"/>
  <c r="R16" i="9"/>
  <c r="R20" i="4"/>
  <c r="S11" i="3"/>
  <c r="R12" i="9"/>
  <c r="R18" i="9" s="1"/>
  <c r="L7" i="9" s="1"/>
  <c r="L5" i="9" s="1"/>
  <c r="H11" i="11" s="1"/>
  <c r="R25" i="4"/>
  <c r="R24" i="4"/>
  <c r="S16" i="3"/>
  <c r="S15" i="3"/>
  <c r="S21" i="5"/>
  <c r="S20" i="5"/>
  <c r="S13" i="7"/>
  <c r="S16" i="5"/>
  <c r="S17" i="7"/>
  <c r="S18" i="7"/>
  <c r="R17" i="10"/>
  <c r="R16" i="10"/>
  <c r="R16" i="6"/>
  <c r="R22" i="6" s="1"/>
  <c r="L7" i="6" s="1"/>
  <c r="L5" i="6" s="1"/>
  <c r="H8" i="11" s="1"/>
  <c r="R12" i="10"/>
  <c r="R18" i="10" s="1"/>
  <c r="L7" i="10" s="1"/>
  <c r="L5" i="10" s="1"/>
  <c r="H12" i="11" s="1"/>
  <c r="T20" i="2"/>
  <c r="T21" i="2"/>
  <c r="R18" i="8"/>
  <c r="R17" i="8"/>
  <c r="R19" i="8" s="1"/>
  <c r="L7" i="8" s="1"/>
  <c r="L5" i="8" s="1"/>
  <c r="H9" i="11" s="1"/>
  <c r="R23" i="1"/>
  <c r="R25" i="1" s="1"/>
  <c r="L7" i="1" s="1"/>
  <c r="L5" i="1" s="1"/>
  <c r="H4" i="11" s="1"/>
  <c r="R24" i="1"/>
  <c r="V14" i="1"/>
  <c r="V13" i="1"/>
  <c r="R21" i="6"/>
  <c r="R20" i="6"/>
  <c r="T16" i="2"/>
  <c r="T22" i="2" l="1"/>
  <c r="M7" i="2" s="1"/>
  <c r="M5" i="2" s="1"/>
  <c r="H3" i="11" s="1"/>
  <c r="S17" i="3"/>
  <c r="L7" i="3" s="1"/>
  <c r="L5" i="3" s="1"/>
  <c r="H5" i="11" s="1"/>
  <c r="S22" i="5"/>
  <c r="L7" i="5" s="1"/>
  <c r="L5" i="5" s="1"/>
  <c r="H7" i="11" s="1"/>
  <c r="S19" i="7"/>
  <c r="L7" i="7" s="1"/>
  <c r="L5" i="7" s="1"/>
  <c r="H10" i="11" s="1"/>
  <c r="R26" i="4"/>
  <c r="L7" i="4" s="1"/>
  <c r="L5" i="4" s="1"/>
  <c r="H6" i="11" s="1"/>
</calcChain>
</file>

<file path=xl/sharedStrings.xml><?xml version="1.0" encoding="utf-8"?>
<sst xmlns="http://schemas.openxmlformats.org/spreadsheetml/2006/main" count="985" uniqueCount="81">
  <si>
    <t>Arriba debajo de la media</t>
  </si>
  <si>
    <t>Dcrit &gt; Dmax</t>
  </si>
  <si>
    <t>Chi Cal &lt; Chi Teo</t>
  </si>
  <si>
    <t>No se rechaza Ho</t>
  </si>
  <si>
    <t>"-Za/2"</t>
  </si>
  <si>
    <t>Z</t>
  </si>
  <si>
    <t>Za/2</t>
  </si>
  <si>
    <t>NO SE RECHAZA Ho</t>
  </si>
  <si>
    <t>X0= 20</t>
  </si>
  <si>
    <t>A=9</t>
  </si>
  <si>
    <t>C=13</t>
  </si>
  <si>
    <t>50 Digitos de la corrida</t>
  </si>
  <si>
    <t>MUESTRA</t>
  </si>
  <si>
    <t>Distribucion acum. observada</t>
  </si>
  <si>
    <t>Distribucion acum. Esperada</t>
  </si>
  <si>
    <t>Diferencia absoluta</t>
  </si>
  <si>
    <t>Diferencia maxima</t>
  </si>
  <si>
    <t>Comparar con Dcritica</t>
  </si>
  <si>
    <t>Contar corridad</t>
  </si>
  <si>
    <t>Ri(muestra)</t>
  </si>
  <si>
    <t>Identificar</t>
  </si>
  <si>
    <t>Observado</t>
  </si>
  <si>
    <t>Esperado</t>
  </si>
  <si>
    <t>|(Obs - Esp2) / Esp|</t>
  </si>
  <si>
    <t>1p</t>
  </si>
  <si>
    <t>todos dif</t>
  </si>
  <si>
    <t>td</t>
  </si>
  <si>
    <t>un par</t>
  </si>
  <si>
    <t>dos pares</t>
  </si>
  <si>
    <t>tercia</t>
  </si>
  <si>
    <t>poker</t>
  </si>
  <si>
    <t>full</t>
  </si>
  <si>
    <t>quintilla</t>
  </si>
  <si>
    <t>Chi cuad cal</t>
  </si>
  <si>
    <t>chi teorica= (0.05, 6)</t>
  </si>
  <si>
    <t>ter</t>
  </si>
  <si>
    <t>pok</t>
  </si>
  <si>
    <t>2p</t>
  </si>
  <si>
    <t>Media</t>
  </si>
  <si>
    <t>C0</t>
  </si>
  <si>
    <t>Desviacion estandar</t>
  </si>
  <si>
    <t>N1</t>
  </si>
  <si>
    <t>N0</t>
  </si>
  <si>
    <t>a(alpha)</t>
  </si>
  <si>
    <t>a/2</t>
  </si>
  <si>
    <t>Media de c0</t>
  </si>
  <si>
    <t>Varianza c0</t>
  </si>
  <si>
    <t>Prueba Kolmovorov</t>
  </si>
  <si>
    <t>Prueba de Poker</t>
  </si>
  <si>
    <t>Dc &gt; Dmax entons</t>
  </si>
  <si>
    <t>X0= 17</t>
  </si>
  <si>
    <t>A=5</t>
  </si>
  <si>
    <t>distribucion acumulada observada</t>
  </si>
  <si>
    <t>distribucion acumulada esperada</t>
  </si>
  <si>
    <t>diferencia absoluta</t>
  </si>
  <si>
    <t>diferencia maxima</t>
  </si>
  <si>
    <t>X0= 2</t>
  </si>
  <si>
    <t>A=29</t>
  </si>
  <si>
    <t>C=9</t>
  </si>
  <si>
    <t>Muestra</t>
  </si>
  <si>
    <t>Distribucion acum. obs.</t>
  </si>
  <si>
    <t>Distribucion acum. esp.</t>
  </si>
  <si>
    <t>chi teorica= (0.05, 40)</t>
  </si>
  <si>
    <t>A=21</t>
  </si>
  <si>
    <t>C=5</t>
  </si>
  <si>
    <t>Contar corridas</t>
  </si>
  <si>
    <t>f</t>
  </si>
  <si>
    <t>X0= 24</t>
  </si>
  <si>
    <t>A=13</t>
  </si>
  <si>
    <t>C=1</t>
  </si>
  <si>
    <t>X0= 10</t>
  </si>
  <si>
    <t>X0= 12</t>
  </si>
  <si>
    <t>C=25</t>
  </si>
  <si>
    <t>X0= 29</t>
  </si>
  <si>
    <t>A=17</t>
  </si>
  <si>
    <t>A=25</t>
  </si>
  <si>
    <t>X0= 32</t>
  </si>
  <si>
    <t>A=145</t>
  </si>
  <si>
    <t>arriba/abajo</t>
  </si>
  <si>
    <t>Kolmogorov</t>
  </si>
  <si>
    <t>Arriba/debajo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</si>
</sst>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scheme val="minor"/>
    </font>
    <font>
      <sz val="11"/>
      <color rgb="FF000000"/>
      <name val="Calibri"/>
      <charset val="1"/>
    </font>
    <font>
      <b/>
      <sz val="11"/>
      <color rgb="FF3F3F3F"/>
      <name val="Calibri"/>
      <charset val="1"/>
    </font>
    <font>
      <sz val="11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2" applyNumberFormat="0" applyAlignment="0" applyProtection="0"/>
  </cellStyleXfs>
  <cellXfs count="56">
    <xf numFmtId="0" fontId="0" fillId="0" borderId="0" xfId="0"/>
    <xf numFmtId="0" fontId="3" fillId="3" borderId="1" xfId="2"/>
    <xf numFmtId="0" fontId="2" fillId="2" borderId="0" xfId="1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165" fontId="1" fillId="5" borderId="1" xfId="4" applyNumberFormat="1" applyBorder="1" applyAlignment="1">
      <alignment horizontal="center" vertical="center"/>
    </xf>
    <xf numFmtId="165" fontId="1" fillId="4" borderId="1" xfId="3" applyNumberFormat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0" fontId="3" fillId="3" borderId="1" xfId="2" applyAlignment="1">
      <alignment horizontal="center"/>
    </xf>
    <xf numFmtId="0" fontId="5" fillId="0" borderId="0" xfId="0" applyFont="1" applyAlignment="1">
      <alignment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6" borderId="2" xfId="5" applyAlignment="1">
      <alignment horizontal="center" vertical="center"/>
    </xf>
    <xf numFmtId="0" fontId="4" fillId="6" borderId="2" xfId="5" applyAlignment="1">
      <alignment horizontal="center" vertical="center" wrapText="1"/>
    </xf>
    <xf numFmtId="0" fontId="4" fillId="6" borderId="2" xfId="5"/>
    <xf numFmtId="165" fontId="4" fillId="6" borderId="2" xfId="5" applyNumberFormat="1" applyAlignment="1">
      <alignment horizontal="center"/>
    </xf>
    <xf numFmtId="0" fontId="4" fillId="6" borderId="2" xfId="5" applyAlignment="1">
      <alignment horizontal="center"/>
    </xf>
    <xf numFmtId="166" fontId="4" fillId="6" borderId="2" xfId="5" applyNumberFormat="1" applyAlignment="1">
      <alignment horizontal="center"/>
    </xf>
    <xf numFmtId="165" fontId="4" fillId="6" borderId="2" xfId="5" applyNumberFormat="1" applyAlignment="1">
      <alignment horizontal="center" vertical="center"/>
    </xf>
    <xf numFmtId="164" fontId="4" fillId="6" borderId="2" xfId="5" applyNumberFormat="1" applyAlignment="1">
      <alignment horizontal="center" vertical="center"/>
    </xf>
    <xf numFmtId="0" fontId="0" fillId="0" borderId="0" xfId="0" applyAlignment="1">
      <alignment wrapText="1"/>
    </xf>
    <xf numFmtId="0" fontId="1" fillId="5" borderId="4" xfId="4" applyBorder="1" applyAlignment="1">
      <alignment horizontal="center" vertical="center" wrapText="1"/>
    </xf>
    <xf numFmtId="0" fontId="1" fillId="4" borderId="4" xfId="3" applyBorder="1" applyAlignment="1">
      <alignment horizontal="center" vertical="center"/>
    </xf>
    <xf numFmtId="0" fontId="0" fillId="0" borderId="3" xfId="0" applyBorder="1"/>
    <xf numFmtId="0" fontId="1" fillId="5" borderId="3" xfId="4" applyBorder="1" applyAlignment="1">
      <alignment horizontal="center" vertical="center" wrapText="1"/>
    </xf>
    <xf numFmtId="0" fontId="0" fillId="0" borderId="5" xfId="0" applyBorder="1"/>
    <xf numFmtId="2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2" fillId="2" borderId="0" xfId="1"/>
    <xf numFmtId="0" fontId="0" fillId="0" borderId="3" xfId="0" applyBorder="1" applyAlignment="1">
      <alignment horizontal="center"/>
    </xf>
    <xf numFmtId="0" fontId="0" fillId="8" borderId="3" xfId="0" applyFill="1" applyBorder="1"/>
    <xf numFmtId="0" fontId="0" fillId="7" borderId="3" xfId="0" applyFill="1" applyBorder="1"/>
    <xf numFmtId="0" fontId="0" fillId="9" borderId="0" xfId="0" applyFill="1"/>
    <xf numFmtId="0" fontId="0" fillId="7" borderId="0" xfId="0" applyFill="1"/>
    <xf numFmtId="0" fontId="6" fillId="0" borderId="0" xfId="0" applyFont="1"/>
    <xf numFmtId="0" fontId="1" fillId="0" borderId="0" xfId="4" applyFill="1" applyBorder="1" applyAlignment="1">
      <alignment horizontal="center" vertical="center" wrapText="1"/>
    </xf>
    <xf numFmtId="0" fontId="0" fillId="0" borderId="0" xfId="0" applyFill="1"/>
    <xf numFmtId="0" fontId="7" fillId="0" borderId="0" xfId="0" applyFont="1"/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Alignment="1"/>
  </cellXfs>
  <cellStyles count="6">
    <cellStyle name="20% - Énfasis5" xfId="3" builtinId="46"/>
    <cellStyle name="40% - Énfasis5" xfId="4" builtinId="47"/>
    <cellStyle name="Buena" xfId="1" builtinId="26"/>
    <cellStyle name="Entrada" xfId="2" builtinId="20"/>
    <cellStyle name="Normal" xfId="0" builtinId="0"/>
    <cellStyle name="Salida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60"/>
  <sheetViews>
    <sheetView view="pageBreakPreview" zoomScale="60" zoomScaleNormal="98" workbookViewId="0">
      <selection activeCell="AE30" sqref="AE30"/>
    </sheetView>
  </sheetViews>
  <sheetFormatPr baseColWidth="10" defaultColWidth="11.42578125" defaultRowHeight="15" x14ac:dyDescent="0.25"/>
  <cols>
    <col min="3" max="3" width="18.85546875" bestFit="1" customWidth="1"/>
    <col min="5" max="5" width="18.140625" customWidth="1"/>
    <col min="8" max="8" width="13.42578125" customWidth="1"/>
    <col min="12" max="12" width="14" customWidth="1"/>
    <col min="15" max="15" width="18.85546875" bestFit="1" customWidth="1"/>
    <col min="16" max="16" width="14.7109375" bestFit="1" customWidth="1"/>
    <col min="17" max="17" width="17.5703125" customWidth="1"/>
    <col min="19" max="19" width="17.7109375" customWidth="1"/>
    <col min="21" max="21" width="22.7109375" customWidth="1"/>
    <col min="22" max="22" width="16.85546875" customWidth="1"/>
    <col min="25" max="25" width="23.7109375" bestFit="1" customWidth="1"/>
    <col min="26" max="26" width="11.28515625" bestFit="1" customWidth="1"/>
    <col min="27" max="27" width="21.28515625" bestFit="1" customWidth="1"/>
    <col min="28" max="28" width="20.42578125" bestFit="1" customWidth="1"/>
  </cols>
  <sheetData>
    <row r="4" spans="1:28" x14ac:dyDescent="0.25">
      <c r="M4" t="s">
        <v>0</v>
      </c>
    </row>
    <row r="5" spans="1:28" x14ac:dyDescent="0.25">
      <c r="E5" s="4" t="s">
        <v>1</v>
      </c>
      <c r="L5" s="30"/>
      <c r="M5" s="44" t="str">
        <f>IF(AND(M7&gt;=L7,M7&lt;=N7),"No se rechaza Ho","Se Rechaza Ho")</f>
        <v>No se rechaza Ho</v>
      </c>
      <c r="N5" s="44"/>
      <c r="Y5" s="4" t="s">
        <v>2</v>
      </c>
      <c r="Z5" s="15"/>
      <c r="AA5" s="15"/>
      <c r="AB5" s="15"/>
    </row>
    <row r="6" spans="1:28" x14ac:dyDescent="0.25">
      <c r="E6" s="4" t="s">
        <v>3</v>
      </c>
      <c r="L6" s="43" t="s">
        <v>4</v>
      </c>
      <c r="M6" s="43" t="s">
        <v>5</v>
      </c>
      <c r="N6" s="43" t="s">
        <v>6</v>
      </c>
      <c r="Y6" s="4" t="s">
        <v>7</v>
      </c>
      <c r="Z6" s="15"/>
      <c r="AA6" s="15"/>
      <c r="AB6" s="15"/>
    </row>
    <row r="7" spans="1:28" x14ac:dyDescent="0.25">
      <c r="D7" s="11" t="s">
        <v>8</v>
      </c>
      <c r="E7" s="11" t="s">
        <v>9</v>
      </c>
      <c r="F7" s="11" t="s">
        <v>10</v>
      </c>
      <c r="L7" s="30">
        <f>P20*-1</f>
        <v>-1.96</v>
      </c>
      <c r="M7" s="30">
        <f>T22</f>
        <v>-1.2859821149611685</v>
      </c>
      <c r="N7" s="30">
        <f>L7*-1</f>
        <v>1.96</v>
      </c>
      <c r="X7" s="11" t="s">
        <v>8</v>
      </c>
      <c r="Y7" s="11" t="s">
        <v>9</v>
      </c>
      <c r="Z7" s="11" t="s">
        <v>10</v>
      </c>
      <c r="AA7" s="15"/>
      <c r="AB7" s="15"/>
    </row>
    <row r="8" spans="1:28" x14ac:dyDescent="0.25">
      <c r="Z8" s="15"/>
      <c r="AA8" s="15"/>
      <c r="AB8" s="15"/>
    </row>
    <row r="9" spans="1:28" x14ac:dyDescent="0.25">
      <c r="W9" s="15"/>
      <c r="X9" s="15"/>
      <c r="Y9" s="15"/>
      <c r="Z9" s="15"/>
      <c r="AA9" s="15"/>
      <c r="AB9" s="15"/>
    </row>
    <row r="10" spans="1:28" ht="45" x14ac:dyDescent="0.25">
      <c r="A10" s="3" t="s">
        <v>11</v>
      </c>
      <c r="C10" s="5"/>
      <c r="D10" s="5" t="s">
        <v>12</v>
      </c>
      <c r="E10" s="6" t="s">
        <v>13</v>
      </c>
      <c r="F10" s="6" t="s">
        <v>14</v>
      </c>
      <c r="G10" s="6" t="s">
        <v>15</v>
      </c>
      <c r="H10" s="6" t="s">
        <v>16</v>
      </c>
      <c r="I10" s="28" t="s">
        <v>17</v>
      </c>
      <c r="L10" s="52" t="s">
        <v>80</v>
      </c>
      <c r="M10" s="31" t="s">
        <v>18</v>
      </c>
      <c r="N10" s="49"/>
      <c r="W10" s="15" t="s">
        <v>19</v>
      </c>
      <c r="X10" s="15" t="s">
        <v>20</v>
      </c>
      <c r="Y10" s="15" t="s">
        <v>21</v>
      </c>
      <c r="Z10" s="15"/>
      <c r="AA10" s="15" t="s">
        <v>22</v>
      </c>
      <c r="AB10" s="15" t="s">
        <v>23</v>
      </c>
    </row>
    <row r="11" spans="1:28" x14ac:dyDescent="0.25">
      <c r="A11">
        <v>193</v>
      </c>
      <c r="C11" s="5">
        <v>1</v>
      </c>
      <c r="D11" s="7">
        <f>A11/32768</f>
        <v>5.889892578125E-3</v>
      </c>
      <c r="E11" s="8">
        <v>5.889892578125E-3</v>
      </c>
      <c r="F11" s="9">
        <f>C11/50</f>
        <v>0.02</v>
      </c>
      <c r="G11" s="10">
        <f>ABS(E11-F11)</f>
        <v>1.4110107421875E-2</v>
      </c>
      <c r="H11" s="10">
        <f>MAX(G11:G60)</f>
        <v>6.6210937500000011E-2</v>
      </c>
      <c r="I11" s="29">
        <v>0.188</v>
      </c>
      <c r="L11" s="30">
        <f t="shared" ref="L11:L42" si="0">IF(D11&gt;$P$16,1,0)</f>
        <v>0</v>
      </c>
      <c r="M11" s="30">
        <f>L11</f>
        <v>0</v>
      </c>
      <c r="N11" s="50"/>
      <c r="W11" s="17">
        <v>5.889892578125E-3</v>
      </c>
      <c r="X11" s="39" t="s">
        <v>24</v>
      </c>
      <c r="Y11" s="15">
        <v>13</v>
      </c>
      <c r="Z11" s="15" t="s">
        <v>25</v>
      </c>
      <c r="AA11" s="15">
        <v>15.120000000000001</v>
      </c>
      <c r="AB11" s="40">
        <f>ABS((13 - 15.12)* (13 - 15.12)/ 15.12)</f>
        <v>0.2972486772486771</v>
      </c>
    </row>
    <row r="12" spans="1:28" x14ac:dyDescent="0.25">
      <c r="A12">
        <v>1750</v>
      </c>
      <c r="C12" s="5">
        <v>2</v>
      </c>
      <c r="D12" s="7">
        <f>A12/32768</f>
        <v>5.340576171875E-2</v>
      </c>
      <c r="E12" s="8">
        <v>9.002685546875E-3</v>
      </c>
      <c r="F12" s="9">
        <f t="shared" ref="F12:F60" si="1">C12/50</f>
        <v>0.04</v>
      </c>
      <c r="G12" s="10">
        <f t="shared" ref="G12:G60" si="2">ABS(E12-F12)</f>
        <v>3.0997314453125001E-2</v>
      </c>
      <c r="H12" s="9"/>
      <c r="I12" s="29"/>
      <c r="L12" s="30">
        <f t="shared" si="0"/>
        <v>0</v>
      </c>
      <c r="M12" s="30">
        <f>IF(L13&lt;&gt;L12,1,0)</f>
        <v>0</v>
      </c>
      <c r="N12" s="50"/>
      <c r="W12" s="17">
        <v>5.340576171875E-2</v>
      </c>
      <c r="X12" s="15" t="s">
        <v>26</v>
      </c>
      <c r="Y12" s="15">
        <v>31</v>
      </c>
      <c r="Z12" s="15" t="s">
        <v>27</v>
      </c>
      <c r="AA12" s="15">
        <v>25.2</v>
      </c>
      <c r="AB12" s="40">
        <f>ABS((31-25.2)*(31-25.2)/25.2)</f>
        <v>1.3349206349206353</v>
      </c>
    </row>
    <row r="13" spans="1:28" x14ac:dyDescent="0.25">
      <c r="A13">
        <v>15763</v>
      </c>
      <c r="C13" s="5">
        <v>3</v>
      </c>
      <c r="D13" s="7">
        <f t="shared" ref="D13:D60" si="3">A13/32768</f>
        <v>0.481048583984375</v>
      </c>
      <c r="E13" s="8">
        <v>3.8604736328125E-2</v>
      </c>
      <c r="F13" s="9">
        <f t="shared" si="1"/>
        <v>0.06</v>
      </c>
      <c r="G13" s="10">
        <f t="shared" si="2"/>
        <v>2.1395263671874998E-2</v>
      </c>
      <c r="H13" s="9"/>
      <c r="I13" s="29"/>
      <c r="L13" s="30">
        <f t="shared" si="0"/>
        <v>0</v>
      </c>
      <c r="M13" s="30">
        <f t="shared" ref="M13:M59" si="4">IF(L14&lt;&gt;L13,1,0)</f>
        <v>0</v>
      </c>
      <c r="N13" s="50"/>
      <c r="W13" s="17">
        <v>0.481048583984375</v>
      </c>
      <c r="X13" s="15" t="s">
        <v>26</v>
      </c>
      <c r="Y13" s="15">
        <v>1</v>
      </c>
      <c r="Z13" s="15" t="s">
        <v>28</v>
      </c>
      <c r="AA13" s="15">
        <v>5.4</v>
      </c>
      <c r="AB13" s="40">
        <f>ABS((1-5.4)*(1-5.4)/5.4)</f>
        <v>3.5851851851851855</v>
      </c>
    </row>
    <row r="14" spans="1:28" x14ac:dyDescent="0.25">
      <c r="A14">
        <v>10808</v>
      </c>
      <c r="C14" s="5">
        <v>4</v>
      </c>
      <c r="D14" s="7">
        <f t="shared" si="3"/>
        <v>0.329833984375</v>
      </c>
      <c r="E14" s="8">
        <v>5.340576171875E-2</v>
      </c>
      <c r="F14" s="9">
        <f t="shared" si="1"/>
        <v>0.08</v>
      </c>
      <c r="G14" s="10">
        <f t="shared" si="2"/>
        <v>2.6594238281250002E-2</v>
      </c>
      <c r="H14" s="9"/>
      <c r="I14" s="29"/>
      <c r="L14" s="30">
        <f t="shared" si="0"/>
        <v>0</v>
      </c>
      <c r="M14" s="30">
        <f t="shared" si="4"/>
        <v>1</v>
      </c>
      <c r="N14" s="50"/>
      <c r="W14" s="17">
        <v>0.329833984375</v>
      </c>
      <c r="X14" s="15" t="s">
        <v>24</v>
      </c>
      <c r="Y14" s="15">
        <v>4</v>
      </c>
      <c r="Z14" s="15" t="s">
        <v>29</v>
      </c>
      <c r="AA14" s="15">
        <v>3.5999999999999996</v>
      </c>
      <c r="AB14" s="40">
        <f>ABS((4-3.6)^2/3.6)</f>
        <v>4.4444444444444418E-2</v>
      </c>
    </row>
    <row r="15" spans="1:28" x14ac:dyDescent="0.25">
      <c r="A15">
        <v>31749</v>
      </c>
      <c r="C15" s="5">
        <v>5</v>
      </c>
      <c r="D15" s="7">
        <f t="shared" si="3"/>
        <v>0.968902587890625</v>
      </c>
      <c r="E15" s="8">
        <v>5.96923828125E-2</v>
      </c>
      <c r="F15" s="9">
        <f t="shared" si="1"/>
        <v>0.1</v>
      </c>
      <c r="G15" s="10">
        <f t="shared" si="2"/>
        <v>4.0307617187500006E-2</v>
      </c>
      <c r="H15" s="9"/>
      <c r="I15" s="29"/>
      <c r="L15" s="30">
        <f t="shared" si="0"/>
        <v>1</v>
      </c>
      <c r="M15" s="30">
        <f t="shared" si="4"/>
        <v>0</v>
      </c>
      <c r="N15" s="50"/>
      <c r="W15" s="17">
        <v>0.968902587890625</v>
      </c>
      <c r="X15" s="15" t="s">
        <v>24</v>
      </c>
      <c r="Y15" s="15">
        <v>1</v>
      </c>
      <c r="Z15" s="15" t="s">
        <v>30</v>
      </c>
      <c r="AA15" s="15">
        <v>0.22499999999999998</v>
      </c>
      <c r="AB15" s="40">
        <f>ABS((1-0.225)^2/0.225)</f>
        <v>2.6694444444444447</v>
      </c>
    </row>
    <row r="16" spans="1:28" x14ac:dyDescent="0.25">
      <c r="A16">
        <v>23610</v>
      </c>
      <c r="C16" s="5">
        <v>6</v>
      </c>
      <c r="D16" s="7">
        <f t="shared" si="3"/>
        <v>0.72052001953125</v>
      </c>
      <c r="E16" s="8">
        <v>8.14208984375E-2</v>
      </c>
      <c r="F16" s="9">
        <f t="shared" si="1"/>
        <v>0.12</v>
      </c>
      <c r="G16" s="10">
        <f t="shared" si="2"/>
        <v>3.8579101562499996E-2</v>
      </c>
      <c r="H16" s="9"/>
      <c r="I16" s="29"/>
      <c r="L16" s="30">
        <f t="shared" si="0"/>
        <v>1</v>
      </c>
      <c r="M16" s="30">
        <f t="shared" si="4"/>
        <v>1</v>
      </c>
      <c r="O16" t="s">
        <v>38</v>
      </c>
      <c r="P16" s="13">
        <f>AVERAGE(D11:D60)</f>
        <v>0.51026306152343748</v>
      </c>
      <c r="S16" t="s">
        <v>39</v>
      </c>
      <c r="T16" s="32">
        <f>SUM(M11:M60)</f>
        <v>21</v>
      </c>
      <c r="W16" s="17">
        <v>0.72052001953125</v>
      </c>
      <c r="X16" s="15" t="s">
        <v>24</v>
      </c>
      <c r="Y16" s="15">
        <v>0</v>
      </c>
      <c r="Z16" s="15" t="s">
        <v>31</v>
      </c>
      <c r="AA16" s="15">
        <v>0.44999999999999996</v>
      </c>
      <c r="AB16" s="40">
        <f>ABS((0-0.45)^2/0.45)</f>
        <v>0.45</v>
      </c>
    </row>
    <row r="17" spans="1:28" x14ac:dyDescent="0.25">
      <c r="A17">
        <v>15895</v>
      </c>
      <c r="C17" s="5">
        <v>7</v>
      </c>
      <c r="D17" s="7">
        <f t="shared" si="3"/>
        <v>0.485076904296875</v>
      </c>
      <c r="E17" s="8">
        <v>0.1092529296875</v>
      </c>
      <c r="F17" s="9">
        <f t="shared" si="1"/>
        <v>0.14000000000000001</v>
      </c>
      <c r="G17" s="10">
        <f t="shared" si="2"/>
        <v>3.0747070312500013E-2</v>
      </c>
      <c r="H17" s="9"/>
      <c r="I17" s="29"/>
      <c r="L17" s="30">
        <f t="shared" si="0"/>
        <v>0</v>
      </c>
      <c r="M17" s="30">
        <f t="shared" si="4"/>
        <v>0</v>
      </c>
      <c r="O17" t="s">
        <v>40</v>
      </c>
      <c r="P17">
        <f>_xlfn.STDEV.S(D11:D60)</f>
        <v>0.31535548874708003</v>
      </c>
      <c r="Q17" t="s">
        <v>41</v>
      </c>
      <c r="R17" t="s">
        <v>42</v>
      </c>
      <c r="S17" s="50"/>
      <c r="T17" s="50"/>
      <c r="W17" s="17">
        <v>0.485076904296875</v>
      </c>
      <c r="X17" s="15" t="s">
        <v>24</v>
      </c>
      <c r="Y17" s="15">
        <v>0</v>
      </c>
      <c r="Z17" s="15" t="s">
        <v>32</v>
      </c>
      <c r="AA17" s="15">
        <v>5.0000000000000001E-3</v>
      </c>
      <c r="AB17" s="40">
        <f>ABS((0-0.005)^2/0.005)</f>
        <v>5.0000000000000001E-3</v>
      </c>
    </row>
    <row r="18" spans="1:28" x14ac:dyDescent="0.25">
      <c r="A18">
        <v>11996</v>
      </c>
      <c r="C18" s="5">
        <v>8</v>
      </c>
      <c r="D18" s="7">
        <f t="shared" si="3"/>
        <v>0.3660888671875</v>
      </c>
      <c r="E18" s="8">
        <v>0.109771728515625</v>
      </c>
      <c r="F18" s="9">
        <f t="shared" si="1"/>
        <v>0.16</v>
      </c>
      <c r="G18" s="10">
        <f t="shared" si="2"/>
        <v>5.0228271484375003E-2</v>
      </c>
      <c r="H18" s="9"/>
      <c r="I18" s="29"/>
      <c r="L18" s="30">
        <f t="shared" si="0"/>
        <v>0</v>
      </c>
      <c r="M18" s="30">
        <f t="shared" si="4"/>
        <v>0</v>
      </c>
      <c r="O18" s="27" t="s">
        <v>43</v>
      </c>
      <c r="P18">
        <v>0.05</v>
      </c>
      <c r="Q18">
        <f>COUNTIF(L11:L60,1)</f>
        <v>25</v>
      </c>
      <c r="R18">
        <f>COUNTIF(L11:L60,0)</f>
        <v>25</v>
      </c>
      <c r="S18" s="50"/>
      <c r="T18" s="50"/>
      <c r="W18" s="17">
        <v>0.3660888671875</v>
      </c>
      <c r="X18" s="15" t="s">
        <v>24</v>
      </c>
      <c r="Y18" s="15"/>
      <c r="Z18" s="15"/>
      <c r="AA18" s="15"/>
      <c r="AB18" s="40"/>
    </row>
    <row r="19" spans="1:28" x14ac:dyDescent="0.25">
      <c r="A19">
        <v>9673</v>
      </c>
      <c r="C19" s="5">
        <v>9</v>
      </c>
      <c r="D19" s="7">
        <f t="shared" si="3"/>
        <v>0.295196533203125</v>
      </c>
      <c r="E19" s="8">
        <v>0.1153564453125</v>
      </c>
      <c r="F19" s="9">
        <f t="shared" si="1"/>
        <v>0.18</v>
      </c>
      <c r="G19" s="10">
        <f t="shared" si="2"/>
        <v>6.4643554687499993E-2</v>
      </c>
      <c r="H19" s="9"/>
      <c r="I19" s="29"/>
      <c r="L19" s="30">
        <f t="shared" si="0"/>
        <v>0</v>
      </c>
      <c r="M19" s="30">
        <f t="shared" si="4"/>
        <v>1</v>
      </c>
      <c r="O19" s="27" t="s">
        <v>44</v>
      </c>
      <c r="P19">
        <f>P18/2</f>
        <v>2.5000000000000001E-2</v>
      </c>
      <c r="W19" s="17">
        <v>0.295196533203125</v>
      </c>
      <c r="X19" s="15" t="s">
        <v>24</v>
      </c>
      <c r="Y19" s="15"/>
      <c r="Z19" s="15"/>
      <c r="AA19" s="15" t="s">
        <v>33</v>
      </c>
      <c r="AB19" s="40">
        <f>SUM(AB11:AB17)</f>
        <v>8.3862433862433861</v>
      </c>
    </row>
    <row r="20" spans="1:28" x14ac:dyDescent="0.25">
      <c r="A20">
        <v>21534</v>
      </c>
      <c r="C20" s="5">
        <v>10</v>
      </c>
      <c r="D20" s="7">
        <f t="shared" si="3"/>
        <v>0.65716552734375</v>
      </c>
      <c r="E20" s="8">
        <v>0.1337890625</v>
      </c>
      <c r="F20" s="9">
        <f t="shared" si="1"/>
        <v>0.2</v>
      </c>
      <c r="G20" s="10">
        <f t="shared" si="2"/>
        <v>6.6210937500000011E-2</v>
      </c>
      <c r="H20" s="9"/>
      <c r="I20" s="29"/>
      <c r="L20" s="30">
        <f t="shared" si="0"/>
        <v>1</v>
      </c>
      <c r="M20" s="30">
        <f t="shared" si="4"/>
        <v>0</v>
      </c>
      <c r="O20" t="s">
        <v>6</v>
      </c>
      <c r="P20">
        <f>1.96</f>
        <v>1.96</v>
      </c>
      <c r="S20" t="s">
        <v>45</v>
      </c>
      <c r="T20" s="33">
        <f>((2*Q18*R18))/(Q18+R18)+(1/2)</f>
        <v>25.5</v>
      </c>
      <c r="W20" s="17">
        <v>0.65716552734375</v>
      </c>
      <c r="X20" s="15" t="s">
        <v>24</v>
      </c>
      <c r="Y20" s="15"/>
      <c r="Z20" s="15"/>
      <c r="AA20" s="15" t="s">
        <v>34</v>
      </c>
      <c r="AB20" s="40">
        <v>12.59</v>
      </c>
    </row>
    <row r="21" spans="1:28" x14ac:dyDescent="0.25">
      <c r="A21">
        <v>29979</v>
      </c>
      <c r="C21" s="5">
        <v>11</v>
      </c>
      <c r="D21" s="7">
        <f t="shared" si="3"/>
        <v>0.914886474609375</v>
      </c>
      <c r="E21" s="8">
        <v>0.204498291015625</v>
      </c>
      <c r="F21" s="9">
        <f t="shared" si="1"/>
        <v>0.22</v>
      </c>
      <c r="G21" s="10">
        <f t="shared" si="2"/>
        <v>1.5501708984375001E-2</v>
      </c>
      <c r="H21" s="9"/>
      <c r="I21" s="29"/>
      <c r="L21" s="30">
        <f t="shared" si="0"/>
        <v>1</v>
      </c>
      <c r="M21" s="30">
        <f t="shared" si="4"/>
        <v>1</v>
      </c>
      <c r="S21" t="s">
        <v>46</v>
      </c>
      <c r="T21">
        <f>(2*Q18*R18*(2*Q18*R18 -C60))/(C60*C60*(C60-1))</f>
        <v>12.244897959183673</v>
      </c>
      <c r="W21" s="17">
        <v>0.914886474609375</v>
      </c>
      <c r="X21" s="15" t="s">
        <v>24</v>
      </c>
      <c r="Y21" s="15"/>
      <c r="Z21" s="15"/>
      <c r="AA21" s="15"/>
      <c r="AB21" s="15"/>
    </row>
    <row r="22" spans="1:28" x14ac:dyDescent="0.25">
      <c r="A22">
        <v>7680</v>
      </c>
      <c r="C22" s="5">
        <v>12</v>
      </c>
      <c r="D22" s="7">
        <f t="shared" si="3"/>
        <v>0.234375</v>
      </c>
      <c r="E22" s="8">
        <v>0.234375</v>
      </c>
      <c r="F22" s="9">
        <f t="shared" si="1"/>
        <v>0.24</v>
      </c>
      <c r="G22" s="10">
        <f t="shared" si="2"/>
        <v>5.6249999999999911E-3</v>
      </c>
      <c r="H22" s="9"/>
      <c r="I22" s="29"/>
      <c r="L22" s="30">
        <f t="shared" si="0"/>
        <v>0</v>
      </c>
      <c r="M22" s="30">
        <f t="shared" si="4"/>
        <v>0</v>
      </c>
      <c r="S22" t="s">
        <v>5</v>
      </c>
      <c r="T22">
        <f>(T16-T20)/SQRT(T21)</f>
        <v>-1.2859821149611685</v>
      </c>
      <c r="W22" s="17">
        <v>0.234375</v>
      </c>
      <c r="X22" s="15" t="s">
        <v>24</v>
      </c>
      <c r="Y22" s="15"/>
      <c r="Z22" s="15"/>
      <c r="AA22" s="15"/>
      <c r="AB22" s="15"/>
    </row>
    <row r="23" spans="1:28" x14ac:dyDescent="0.25">
      <c r="A23">
        <v>3597</v>
      </c>
      <c r="C23" s="5">
        <v>13</v>
      </c>
      <c r="D23" s="7">
        <f t="shared" si="3"/>
        <v>0.109771728515625</v>
      </c>
      <c r="E23" s="8">
        <v>0.251129150390625</v>
      </c>
      <c r="F23" s="9">
        <f t="shared" si="1"/>
        <v>0.26</v>
      </c>
      <c r="G23" s="10">
        <f t="shared" si="2"/>
        <v>8.8708496093750089E-3</v>
      </c>
      <c r="H23" s="9"/>
      <c r="I23" s="29"/>
      <c r="L23" s="30">
        <f t="shared" si="0"/>
        <v>0</v>
      </c>
      <c r="M23" s="30">
        <f t="shared" si="4"/>
        <v>1</v>
      </c>
      <c r="N23" s="50"/>
      <c r="W23" s="17">
        <v>0.109771728515625</v>
      </c>
      <c r="X23" s="15" t="s">
        <v>24</v>
      </c>
      <c r="Y23" s="15"/>
      <c r="Z23" s="15"/>
      <c r="AA23" s="15"/>
      <c r="AB23" s="15"/>
    </row>
    <row r="24" spans="1:28" x14ac:dyDescent="0.25">
      <c r="A24">
        <v>32386</v>
      </c>
      <c r="C24" s="5">
        <v>14</v>
      </c>
      <c r="D24" s="7">
        <f t="shared" si="3"/>
        <v>0.98834228515625</v>
      </c>
      <c r="E24" s="8">
        <v>0.26055908203125</v>
      </c>
      <c r="F24" s="9">
        <f t="shared" si="1"/>
        <v>0.28000000000000003</v>
      </c>
      <c r="G24" s="10">
        <f t="shared" si="2"/>
        <v>1.9440917968750027E-2</v>
      </c>
      <c r="H24" s="9"/>
      <c r="I24" s="29"/>
      <c r="L24" s="30">
        <f t="shared" si="0"/>
        <v>1</v>
      </c>
      <c r="M24" s="30">
        <f t="shared" si="4"/>
        <v>0</v>
      </c>
      <c r="N24" s="50"/>
      <c r="W24" s="17">
        <v>0.98834228515625</v>
      </c>
      <c r="X24" s="15" t="s">
        <v>24</v>
      </c>
      <c r="Y24" s="15"/>
      <c r="Z24" s="15"/>
      <c r="AA24" s="15"/>
      <c r="AB24" s="15"/>
    </row>
    <row r="25" spans="1:28" x14ac:dyDescent="0.25">
      <c r="A25">
        <v>29343</v>
      </c>
      <c r="C25" s="5">
        <v>15</v>
      </c>
      <c r="D25" s="7">
        <f t="shared" si="3"/>
        <v>0.895477294921875</v>
      </c>
      <c r="E25" s="8">
        <v>0.295196533203125</v>
      </c>
      <c r="F25" s="9">
        <f t="shared" si="1"/>
        <v>0.3</v>
      </c>
      <c r="G25" s="10">
        <f t="shared" si="2"/>
        <v>4.8034667968749889E-3</v>
      </c>
      <c r="H25" s="9"/>
      <c r="I25" s="29"/>
      <c r="L25" s="30">
        <f t="shared" si="0"/>
        <v>1</v>
      </c>
      <c r="M25" s="30">
        <f t="shared" si="4"/>
        <v>1</v>
      </c>
      <c r="N25" s="50"/>
      <c r="W25" s="17">
        <v>0.895477294921875</v>
      </c>
      <c r="X25" s="15" t="s">
        <v>24</v>
      </c>
      <c r="Y25" s="15"/>
      <c r="Z25" s="15"/>
      <c r="AA25" s="15"/>
      <c r="AB25" s="15"/>
    </row>
    <row r="26" spans="1:28" x14ac:dyDescent="0.25">
      <c r="A26">
        <v>1956</v>
      </c>
      <c r="C26" s="5">
        <v>16</v>
      </c>
      <c r="D26" s="7">
        <f t="shared" si="3"/>
        <v>5.96923828125E-2</v>
      </c>
      <c r="E26" s="8">
        <v>0.329833984375</v>
      </c>
      <c r="F26" s="9">
        <f t="shared" si="1"/>
        <v>0.32</v>
      </c>
      <c r="G26" s="10">
        <f t="shared" si="2"/>
        <v>9.8339843749999933E-3</v>
      </c>
      <c r="H26" s="9"/>
      <c r="I26" s="29"/>
      <c r="L26" s="30">
        <f t="shared" si="0"/>
        <v>0</v>
      </c>
      <c r="M26" s="30">
        <f t="shared" si="4"/>
        <v>1</v>
      </c>
      <c r="N26" s="50"/>
      <c r="W26" s="17">
        <v>5.96923828125E-2</v>
      </c>
      <c r="X26" s="15" t="s">
        <v>24</v>
      </c>
      <c r="Y26" s="15"/>
      <c r="Z26" s="15"/>
      <c r="AA26" s="15"/>
      <c r="AB26" s="15"/>
    </row>
    <row r="27" spans="1:28" x14ac:dyDescent="0.25">
      <c r="A27">
        <v>17617</v>
      </c>
      <c r="C27" s="5">
        <v>17</v>
      </c>
      <c r="D27" s="7">
        <f t="shared" si="3"/>
        <v>0.537628173828125</v>
      </c>
      <c r="E27" s="8">
        <v>0.33428955078125</v>
      </c>
      <c r="F27" s="9">
        <f t="shared" si="1"/>
        <v>0.34</v>
      </c>
      <c r="G27" s="10">
        <f t="shared" si="2"/>
        <v>5.7104492187500244E-3</v>
      </c>
      <c r="H27" s="9"/>
      <c r="I27" s="29"/>
      <c r="L27" s="30">
        <f t="shared" si="0"/>
        <v>1</v>
      </c>
      <c r="M27" s="30">
        <f t="shared" si="4"/>
        <v>0</v>
      </c>
      <c r="N27" s="50"/>
      <c r="W27" s="17">
        <v>0.537628173828125</v>
      </c>
      <c r="X27" s="15" t="s">
        <v>24</v>
      </c>
      <c r="Y27" s="15"/>
      <c r="Z27" s="15"/>
      <c r="AA27" s="15"/>
      <c r="AB27" s="15"/>
    </row>
    <row r="28" spans="1:28" x14ac:dyDescent="0.25">
      <c r="A28">
        <v>27494</v>
      </c>
      <c r="C28" s="5">
        <v>18</v>
      </c>
      <c r="D28" s="7">
        <f t="shared" si="3"/>
        <v>0.83905029296875</v>
      </c>
      <c r="E28" s="8">
        <v>0.345428466796875</v>
      </c>
      <c r="F28" s="9">
        <f t="shared" si="1"/>
        <v>0.36</v>
      </c>
      <c r="G28" s="10">
        <f t="shared" si="2"/>
        <v>1.4571533203124987E-2</v>
      </c>
      <c r="H28" s="9"/>
      <c r="I28" s="29"/>
      <c r="L28" s="30">
        <f t="shared" si="0"/>
        <v>1</v>
      </c>
      <c r="M28" s="30">
        <f t="shared" si="4"/>
        <v>0</v>
      </c>
      <c r="N28" s="50"/>
      <c r="W28" s="17">
        <v>0.83905029296875</v>
      </c>
      <c r="X28" s="15" t="s">
        <v>26</v>
      </c>
      <c r="Y28" s="15"/>
      <c r="Z28" s="15"/>
      <c r="AA28" s="15"/>
      <c r="AB28" s="15"/>
    </row>
    <row r="29" spans="1:28" x14ac:dyDescent="0.25">
      <c r="A29">
        <v>18083</v>
      </c>
      <c r="C29" s="5">
        <v>19</v>
      </c>
      <c r="D29" s="7">
        <f t="shared" si="3"/>
        <v>0.551849365234375</v>
      </c>
      <c r="E29" s="8">
        <v>0.34783935546875</v>
      </c>
      <c r="F29" s="9">
        <f t="shared" si="1"/>
        <v>0.38</v>
      </c>
      <c r="G29" s="10">
        <f t="shared" si="2"/>
        <v>3.2160644531250004E-2</v>
      </c>
      <c r="H29" s="9"/>
      <c r="I29" s="29"/>
      <c r="L29" s="30">
        <f t="shared" si="0"/>
        <v>1</v>
      </c>
      <c r="M29" s="30">
        <f t="shared" si="4"/>
        <v>0</v>
      </c>
      <c r="N29" s="50"/>
      <c r="W29" s="17">
        <v>0.551849365234375</v>
      </c>
      <c r="X29" s="15" t="s">
        <v>35</v>
      </c>
      <c r="Y29" s="15"/>
      <c r="Z29" s="15"/>
      <c r="AA29" s="15"/>
      <c r="AB29" s="15"/>
    </row>
    <row r="30" spans="1:28" x14ac:dyDescent="0.25">
      <c r="A30">
        <v>31688</v>
      </c>
      <c r="C30" s="5">
        <v>20</v>
      </c>
      <c r="D30" s="7">
        <f t="shared" si="3"/>
        <v>0.967041015625</v>
      </c>
      <c r="E30" s="8">
        <v>0.3660888671875</v>
      </c>
      <c r="F30" s="9">
        <f t="shared" si="1"/>
        <v>0.4</v>
      </c>
      <c r="G30" s="10">
        <f t="shared" si="2"/>
        <v>3.3911132812500022E-2</v>
      </c>
      <c r="H30" s="9"/>
      <c r="I30" s="29"/>
      <c r="L30" s="30">
        <f t="shared" si="0"/>
        <v>1</v>
      </c>
      <c r="M30" s="30">
        <f t="shared" si="4"/>
        <v>0</v>
      </c>
      <c r="N30" s="50"/>
      <c r="W30" s="17">
        <v>0.967041015625</v>
      </c>
      <c r="X30" s="15" t="s">
        <v>26</v>
      </c>
      <c r="Y30" s="15"/>
      <c r="Z30" s="15"/>
      <c r="AA30" s="15"/>
      <c r="AB30" s="15"/>
    </row>
    <row r="31" spans="1:28" x14ac:dyDescent="0.25">
      <c r="A31">
        <v>23061</v>
      </c>
      <c r="C31" s="5">
        <v>21</v>
      </c>
      <c r="D31" s="7">
        <f t="shared" si="3"/>
        <v>0.703765869140625</v>
      </c>
      <c r="E31" s="8">
        <v>0.391937255859375</v>
      </c>
      <c r="F31" s="9">
        <f t="shared" si="1"/>
        <v>0.42</v>
      </c>
      <c r="G31" s="10">
        <f t="shared" si="2"/>
        <v>2.8062744140624984E-2</v>
      </c>
      <c r="H31" s="9"/>
      <c r="I31" s="29"/>
      <c r="L31" s="30">
        <f t="shared" si="0"/>
        <v>1</v>
      </c>
      <c r="M31" s="30">
        <f t="shared" si="4"/>
        <v>1</v>
      </c>
      <c r="N31" s="50"/>
      <c r="W31" s="17">
        <v>0.703765869140625</v>
      </c>
      <c r="X31" s="15" t="s">
        <v>35</v>
      </c>
      <c r="Y31" s="15"/>
      <c r="Z31" s="15"/>
      <c r="AA31" s="15"/>
      <c r="AB31" s="15"/>
    </row>
    <row r="32" spans="1:28" x14ac:dyDescent="0.25">
      <c r="A32">
        <v>10954</v>
      </c>
      <c r="C32" s="5">
        <v>22</v>
      </c>
      <c r="D32" s="7">
        <f t="shared" si="3"/>
        <v>0.33428955078125</v>
      </c>
      <c r="E32" s="8">
        <v>0.4312744140625</v>
      </c>
      <c r="F32" s="9">
        <f t="shared" si="1"/>
        <v>0.44</v>
      </c>
      <c r="G32" s="10">
        <f t="shared" si="2"/>
        <v>8.7255859375000022E-3</v>
      </c>
      <c r="H32" s="9"/>
      <c r="I32" s="29"/>
      <c r="L32" s="30">
        <f t="shared" si="0"/>
        <v>0</v>
      </c>
      <c r="M32" s="30">
        <f t="shared" si="4"/>
        <v>0</v>
      </c>
      <c r="N32" s="50"/>
      <c r="W32" s="17">
        <v>0.33428955078125</v>
      </c>
      <c r="X32" s="15" t="s">
        <v>24</v>
      </c>
      <c r="Y32" s="15"/>
      <c r="Z32" s="15"/>
      <c r="AA32" s="15"/>
      <c r="AB32" s="15"/>
    </row>
    <row r="33" spans="1:28" x14ac:dyDescent="0.25">
      <c r="A33">
        <v>295</v>
      </c>
      <c r="C33" s="5">
        <v>23</v>
      </c>
      <c r="D33" s="7">
        <f t="shared" si="3"/>
        <v>9.002685546875E-3</v>
      </c>
      <c r="E33" s="8">
        <v>0.435150146484375</v>
      </c>
      <c r="F33" s="9">
        <f t="shared" si="1"/>
        <v>0.46</v>
      </c>
      <c r="G33" s="10">
        <f t="shared" si="2"/>
        <v>2.484985351562502E-2</v>
      </c>
      <c r="H33" s="9"/>
      <c r="I33" s="29"/>
      <c r="L33" s="30">
        <f t="shared" si="0"/>
        <v>0</v>
      </c>
      <c r="M33" s="30">
        <f t="shared" si="4"/>
        <v>0</v>
      </c>
      <c r="N33" s="50"/>
      <c r="W33" s="17">
        <v>9.002685546875E-3</v>
      </c>
      <c r="X33" s="15" t="s">
        <v>36</v>
      </c>
      <c r="Y33" s="15"/>
      <c r="Z33" s="15"/>
      <c r="AA33" s="15"/>
      <c r="AB33" s="15"/>
    </row>
    <row r="34" spans="1:28" x14ac:dyDescent="0.25">
      <c r="A34">
        <v>2668</v>
      </c>
      <c r="C34" s="5">
        <v>24</v>
      </c>
      <c r="D34" s="7">
        <f t="shared" si="3"/>
        <v>8.14208984375E-2</v>
      </c>
      <c r="E34" s="8">
        <v>0.481048583984375</v>
      </c>
      <c r="F34" s="9">
        <f t="shared" si="1"/>
        <v>0.48</v>
      </c>
      <c r="G34" s="10">
        <f t="shared" si="2"/>
        <v>1.0485839843750178E-3</v>
      </c>
      <c r="H34" s="9"/>
      <c r="I34" s="29"/>
      <c r="L34" s="30">
        <f t="shared" si="0"/>
        <v>0</v>
      </c>
      <c r="M34" s="30">
        <f t="shared" si="4"/>
        <v>1</v>
      </c>
      <c r="N34" s="50"/>
      <c r="W34" s="17">
        <v>8.14208984375E-2</v>
      </c>
      <c r="X34" s="39" t="s">
        <v>26</v>
      </c>
      <c r="Y34" s="15"/>
      <c r="Z34" s="15"/>
      <c r="AA34" s="15"/>
      <c r="AB34" s="15"/>
    </row>
    <row r="35" spans="1:28" x14ac:dyDescent="0.25">
      <c r="A35">
        <v>24025</v>
      </c>
      <c r="C35" s="5">
        <v>25</v>
      </c>
      <c r="D35" s="7">
        <f t="shared" si="3"/>
        <v>0.733184814453125</v>
      </c>
      <c r="E35" s="8">
        <v>0.485076904296875</v>
      </c>
      <c r="F35" s="9">
        <f t="shared" si="1"/>
        <v>0.5</v>
      </c>
      <c r="G35" s="10">
        <f t="shared" si="2"/>
        <v>1.4923095703125E-2</v>
      </c>
      <c r="H35" s="9"/>
      <c r="I35" s="29"/>
      <c r="L35" s="30">
        <f t="shared" si="0"/>
        <v>1</v>
      </c>
      <c r="M35" s="30">
        <f t="shared" si="4"/>
        <v>0</v>
      </c>
      <c r="N35" s="50"/>
      <c r="W35" s="17">
        <v>0.733184814453125</v>
      </c>
      <c r="X35" s="15" t="s">
        <v>24</v>
      </c>
      <c r="Y35" s="15"/>
      <c r="Z35" s="15"/>
      <c r="AA35" s="15"/>
      <c r="AB35" s="15"/>
    </row>
    <row r="36" spans="1:28" x14ac:dyDescent="0.25">
      <c r="A36">
        <v>19630</v>
      </c>
      <c r="C36" s="5">
        <v>26</v>
      </c>
      <c r="D36" s="7">
        <f t="shared" si="3"/>
        <v>0.59906005859375</v>
      </c>
      <c r="E36" s="8">
        <v>0.52783203125</v>
      </c>
      <c r="F36" s="9">
        <f t="shared" si="1"/>
        <v>0.52</v>
      </c>
      <c r="G36" s="10">
        <f t="shared" si="2"/>
        <v>7.8320312499999822E-3</v>
      </c>
      <c r="H36" s="9"/>
      <c r="I36" s="29"/>
      <c r="L36" s="30">
        <f t="shared" si="0"/>
        <v>1</v>
      </c>
      <c r="M36" s="30">
        <f t="shared" si="4"/>
        <v>1</v>
      </c>
      <c r="N36" s="50"/>
      <c r="W36" s="17">
        <v>0.59906005859375</v>
      </c>
      <c r="X36" s="15" t="s">
        <v>24</v>
      </c>
      <c r="Y36" s="15"/>
      <c r="Z36" s="15"/>
      <c r="AA36" s="15"/>
      <c r="AB36" s="15"/>
    </row>
    <row r="37" spans="1:28" x14ac:dyDescent="0.25">
      <c r="A37">
        <v>12843</v>
      </c>
      <c r="C37" s="5">
        <v>27</v>
      </c>
      <c r="D37" s="7">
        <f t="shared" si="3"/>
        <v>0.391937255859375</v>
      </c>
      <c r="E37" s="8">
        <v>0.537628173828125</v>
      </c>
      <c r="F37" s="9">
        <f t="shared" si="1"/>
        <v>0.54</v>
      </c>
      <c r="G37" s="10">
        <f t="shared" si="2"/>
        <v>2.3718261718750355E-3</v>
      </c>
      <c r="H37" s="9"/>
      <c r="I37" s="29"/>
      <c r="L37" s="30">
        <f t="shared" si="0"/>
        <v>0</v>
      </c>
      <c r="M37" s="30">
        <f t="shared" si="4"/>
        <v>1</v>
      </c>
      <c r="N37" s="50"/>
      <c r="W37" s="17">
        <v>0.391937255859375</v>
      </c>
      <c r="X37" s="15" t="s">
        <v>24</v>
      </c>
      <c r="Y37" s="15"/>
      <c r="Z37" s="15"/>
      <c r="AA37" s="15"/>
      <c r="AB37" s="15"/>
    </row>
    <row r="38" spans="1:28" x14ac:dyDescent="0.25">
      <c r="A38">
        <v>17296</v>
      </c>
      <c r="C38" s="5">
        <v>28</v>
      </c>
      <c r="D38" s="7">
        <f t="shared" si="3"/>
        <v>0.52783203125</v>
      </c>
      <c r="E38" s="8">
        <v>0.551849365234375</v>
      </c>
      <c r="F38" s="9">
        <f t="shared" si="1"/>
        <v>0.56000000000000005</v>
      </c>
      <c r="G38" s="10">
        <f t="shared" si="2"/>
        <v>8.1506347656250533E-3</v>
      </c>
      <c r="H38" s="9"/>
      <c r="I38" s="29"/>
      <c r="L38" s="30">
        <f t="shared" si="0"/>
        <v>1</v>
      </c>
      <c r="M38" s="30">
        <f t="shared" si="4"/>
        <v>0</v>
      </c>
      <c r="N38" s="50"/>
      <c r="W38" s="17">
        <v>0.52783203125</v>
      </c>
      <c r="X38" s="15" t="s">
        <v>26</v>
      </c>
      <c r="Y38" s="15"/>
      <c r="Z38" s="15"/>
      <c r="AA38" s="15"/>
      <c r="AB38" s="15"/>
    </row>
    <row r="39" spans="1:28" x14ac:dyDescent="0.25">
      <c r="A39">
        <v>24605</v>
      </c>
      <c r="C39" s="5">
        <v>29</v>
      </c>
      <c r="D39" s="7">
        <f t="shared" si="3"/>
        <v>0.750885009765625</v>
      </c>
      <c r="E39" s="8">
        <v>0.568328857421875</v>
      </c>
      <c r="F39" s="9">
        <f t="shared" si="1"/>
        <v>0.57999999999999996</v>
      </c>
      <c r="G39" s="10">
        <f t="shared" si="2"/>
        <v>1.167114257812496E-2</v>
      </c>
      <c r="H39" s="9"/>
      <c r="I39" s="29"/>
      <c r="L39" s="30">
        <f t="shared" si="0"/>
        <v>1</v>
      </c>
      <c r="M39" s="30">
        <f t="shared" si="4"/>
        <v>0</v>
      </c>
      <c r="N39" s="50"/>
      <c r="W39" s="17">
        <v>0.750885009765625</v>
      </c>
      <c r="X39" s="15" t="s">
        <v>26</v>
      </c>
      <c r="Y39" s="15"/>
      <c r="Z39" s="15"/>
      <c r="AA39" s="15"/>
      <c r="AB39" s="15"/>
    </row>
    <row r="40" spans="1:28" x14ac:dyDescent="0.25">
      <c r="A40">
        <v>24850</v>
      </c>
      <c r="C40" s="5">
        <v>30</v>
      </c>
      <c r="D40" s="7">
        <f t="shared" si="3"/>
        <v>0.75836181640625</v>
      </c>
      <c r="E40" s="8">
        <v>0.59906005859375</v>
      </c>
      <c r="F40" s="9">
        <f t="shared" si="1"/>
        <v>0.6</v>
      </c>
      <c r="G40" s="10">
        <f t="shared" si="2"/>
        <v>9.399414062499778E-4</v>
      </c>
      <c r="H40" s="9"/>
      <c r="I40" s="29"/>
      <c r="L40" s="30">
        <f t="shared" si="0"/>
        <v>1</v>
      </c>
      <c r="M40" s="30">
        <f t="shared" si="4"/>
        <v>0</v>
      </c>
      <c r="N40" s="50"/>
      <c r="W40" s="17">
        <v>0.75836181640625</v>
      </c>
      <c r="X40" s="15" t="s">
        <v>26</v>
      </c>
      <c r="Y40" s="15"/>
      <c r="Z40" s="15"/>
      <c r="AA40" s="15"/>
      <c r="AB40" s="15"/>
    </row>
    <row r="41" spans="1:28" x14ac:dyDescent="0.25">
      <c r="A41">
        <v>27055</v>
      </c>
      <c r="C41" s="5">
        <v>31</v>
      </c>
      <c r="D41" s="7">
        <f t="shared" si="3"/>
        <v>0.825653076171875</v>
      </c>
      <c r="E41" s="8">
        <v>0.65716552734375</v>
      </c>
      <c r="F41" s="9">
        <f t="shared" si="1"/>
        <v>0.62</v>
      </c>
      <c r="G41" s="10">
        <f t="shared" si="2"/>
        <v>3.7165527343750004E-2</v>
      </c>
      <c r="H41" s="9"/>
      <c r="I41" s="29"/>
      <c r="L41" s="30">
        <f t="shared" si="0"/>
        <v>1</v>
      </c>
      <c r="M41" s="30">
        <f t="shared" si="4"/>
        <v>1</v>
      </c>
      <c r="N41" s="50"/>
      <c r="W41" s="17">
        <v>0.825653076171875</v>
      </c>
      <c r="X41" s="15" t="s">
        <v>24</v>
      </c>
      <c r="Y41" s="15"/>
      <c r="Z41" s="15"/>
      <c r="AA41" s="15"/>
      <c r="AB41" s="15"/>
    </row>
    <row r="42" spans="1:28" x14ac:dyDescent="0.25">
      <c r="A42">
        <v>14132</v>
      </c>
      <c r="C42" s="5">
        <v>32</v>
      </c>
      <c r="D42" s="7">
        <f t="shared" si="3"/>
        <v>0.4312744140625</v>
      </c>
      <c r="E42" s="8">
        <v>0.681488037109375</v>
      </c>
      <c r="F42" s="9">
        <f t="shared" si="1"/>
        <v>0.64</v>
      </c>
      <c r="G42" s="10">
        <f t="shared" si="2"/>
        <v>4.1488037109374987E-2</v>
      </c>
      <c r="H42" s="9"/>
      <c r="I42" s="29"/>
      <c r="L42" s="30">
        <f t="shared" si="0"/>
        <v>0</v>
      </c>
      <c r="M42" s="30">
        <f t="shared" si="4"/>
        <v>1</v>
      </c>
      <c r="N42" s="50"/>
      <c r="W42" s="17">
        <v>0.4312744140625</v>
      </c>
      <c r="X42" s="15" t="s">
        <v>26</v>
      </c>
      <c r="Y42" s="15"/>
      <c r="Z42" s="15"/>
      <c r="AA42" s="15"/>
      <c r="AB42" s="15"/>
    </row>
    <row r="43" spans="1:28" x14ac:dyDescent="0.25">
      <c r="A43">
        <v>28897</v>
      </c>
      <c r="C43" s="5">
        <v>33</v>
      </c>
      <c r="D43" s="7">
        <f t="shared" si="3"/>
        <v>0.881866455078125</v>
      </c>
      <c r="E43" s="8">
        <v>0.703765869140625</v>
      </c>
      <c r="F43" s="9">
        <f t="shared" si="1"/>
        <v>0.66</v>
      </c>
      <c r="G43" s="10">
        <f t="shared" si="2"/>
        <v>4.3765869140624969E-2</v>
      </c>
      <c r="H43" s="9"/>
      <c r="I43" s="29"/>
      <c r="L43" s="30">
        <f t="shared" ref="L43:L60" si="5">IF(D43&gt;$P$16,1,0)</f>
        <v>1</v>
      </c>
      <c r="M43" s="30">
        <f t="shared" si="4"/>
        <v>0</v>
      </c>
      <c r="N43" s="50"/>
      <c r="W43" s="17">
        <v>0.881866455078125</v>
      </c>
      <c r="X43" s="15" t="s">
        <v>35</v>
      </c>
      <c r="Y43" s="15"/>
      <c r="Z43" s="15"/>
      <c r="AA43" s="15"/>
      <c r="AB43" s="15"/>
    </row>
    <row r="44" spans="1:28" x14ac:dyDescent="0.25">
      <c r="A44">
        <v>30710</v>
      </c>
      <c r="C44" s="5">
        <v>34</v>
      </c>
      <c r="D44" s="7">
        <f t="shared" si="3"/>
        <v>0.93719482421875</v>
      </c>
      <c r="E44" s="8">
        <v>0.72052001953125</v>
      </c>
      <c r="F44" s="9">
        <f t="shared" si="1"/>
        <v>0.68</v>
      </c>
      <c r="G44" s="10">
        <f t="shared" si="2"/>
        <v>4.0520019531249951E-2</v>
      </c>
      <c r="H44" s="9"/>
      <c r="I44" s="29"/>
      <c r="L44" s="30">
        <f t="shared" si="5"/>
        <v>1</v>
      </c>
      <c r="M44" s="30">
        <f t="shared" si="4"/>
        <v>1</v>
      </c>
      <c r="N44" s="50"/>
      <c r="W44" s="17">
        <v>0.93719482421875</v>
      </c>
      <c r="X44" s="15" t="s">
        <v>24</v>
      </c>
      <c r="Y44" s="15"/>
      <c r="Z44" s="15"/>
      <c r="AA44" s="15"/>
      <c r="AB44" s="15"/>
    </row>
    <row r="45" spans="1:28" x14ac:dyDescent="0.25">
      <c r="A45">
        <v>14259</v>
      </c>
      <c r="C45" s="5">
        <v>35</v>
      </c>
      <c r="D45" s="7">
        <f t="shared" si="3"/>
        <v>0.435150146484375</v>
      </c>
      <c r="E45" s="8">
        <v>0.733184814453125</v>
      </c>
      <c r="F45" s="9">
        <f t="shared" si="1"/>
        <v>0.7</v>
      </c>
      <c r="G45" s="10">
        <f t="shared" si="2"/>
        <v>3.3184814453125044E-2</v>
      </c>
      <c r="H45" s="9"/>
      <c r="I45" s="29"/>
      <c r="L45" s="30">
        <f t="shared" si="5"/>
        <v>0</v>
      </c>
      <c r="M45" s="30">
        <f t="shared" si="4"/>
        <v>1</v>
      </c>
      <c r="N45" s="50"/>
      <c r="W45" s="17">
        <v>0.435150146484375</v>
      </c>
      <c r="X45" s="15" t="s">
        <v>24</v>
      </c>
      <c r="Y45" s="15"/>
      <c r="Z45" s="15"/>
      <c r="AA45" s="15"/>
      <c r="AB45" s="15"/>
    </row>
    <row r="46" spans="1:28" x14ac:dyDescent="0.25">
      <c r="A46">
        <v>30040</v>
      </c>
      <c r="C46" s="5">
        <v>36</v>
      </c>
      <c r="D46" s="7">
        <f t="shared" si="3"/>
        <v>0.916748046875</v>
      </c>
      <c r="E46" s="8">
        <v>0.750885009765625</v>
      </c>
      <c r="F46" s="9">
        <f t="shared" si="1"/>
        <v>0.72</v>
      </c>
      <c r="G46" s="10">
        <f t="shared" si="2"/>
        <v>3.0885009765625027E-2</v>
      </c>
      <c r="H46" s="9"/>
      <c r="I46" s="29"/>
      <c r="L46" s="30">
        <f t="shared" si="5"/>
        <v>1</v>
      </c>
      <c r="M46" s="30">
        <f t="shared" si="4"/>
        <v>1</v>
      </c>
      <c r="N46" s="50"/>
      <c r="W46" s="17">
        <v>0.916748046875</v>
      </c>
      <c r="X46" s="15" t="s">
        <v>26</v>
      </c>
      <c r="Y46" s="15"/>
      <c r="Z46" s="15"/>
      <c r="AA46" s="15"/>
      <c r="AB46" s="15"/>
    </row>
    <row r="47" spans="1:28" x14ac:dyDescent="0.25">
      <c r="A47">
        <v>8229</v>
      </c>
      <c r="C47" s="5">
        <v>37</v>
      </c>
      <c r="D47" s="7">
        <f t="shared" si="3"/>
        <v>0.251129150390625</v>
      </c>
      <c r="E47" s="8">
        <v>0.75836181640625</v>
      </c>
      <c r="F47" s="9">
        <f t="shared" si="1"/>
        <v>0.74</v>
      </c>
      <c r="G47" s="10">
        <f t="shared" si="2"/>
        <v>1.8361816406250009E-2</v>
      </c>
      <c r="H47" s="9"/>
      <c r="I47" s="29"/>
      <c r="L47" s="30">
        <f t="shared" si="5"/>
        <v>0</v>
      </c>
      <c r="M47" s="30">
        <f t="shared" si="4"/>
        <v>0</v>
      </c>
      <c r="N47" s="50"/>
      <c r="W47" s="17">
        <v>0.251129150390625</v>
      </c>
      <c r="X47" s="15" t="s">
        <v>24</v>
      </c>
      <c r="Y47" s="15"/>
      <c r="Z47" s="15"/>
      <c r="AA47" s="15"/>
      <c r="AB47" s="15"/>
    </row>
    <row r="48" spans="1:28" x14ac:dyDescent="0.25">
      <c r="A48">
        <v>8538</v>
      </c>
      <c r="C48" s="5">
        <v>38</v>
      </c>
      <c r="D48" s="7">
        <f t="shared" si="3"/>
        <v>0.26055908203125</v>
      </c>
      <c r="E48" s="8">
        <v>0.825653076171875</v>
      </c>
      <c r="F48" s="9">
        <f t="shared" si="1"/>
        <v>0.76</v>
      </c>
      <c r="G48" s="10">
        <f t="shared" si="2"/>
        <v>6.5653076171874991E-2</v>
      </c>
      <c r="H48" s="9"/>
      <c r="I48" s="29"/>
      <c r="L48" s="30">
        <f t="shared" si="5"/>
        <v>0</v>
      </c>
      <c r="M48" s="30">
        <f t="shared" si="4"/>
        <v>0</v>
      </c>
      <c r="N48" s="50"/>
      <c r="W48" s="17">
        <v>0.26055908203125</v>
      </c>
      <c r="X48" s="15" t="s">
        <v>24</v>
      </c>
      <c r="Y48" s="15"/>
      <c r="Z48" s="15"/>
      <c r="AA48" s="15"/>
      <c r="AB48" s="15"/>
    </row>
    <row r="49" spans="1:28" x14ac:dyDescent="0.25">
      <c r="A49">
        <v>11319</v>
      </c>
      <c r="C49" s="5">
        <v>39</v>
      </c>
      <c r="D49" s="7">
        <f t="shared" si="3"/>
        <v>0.345428466796875</v>
      </c>
      <c r="E49" s="8">
        <v>0.83905029296875</v>
      </c>
      <c r="F49" s="9">
        <f t="shared" si="1"/>
        <v>0.78</v>
      </c>
      <c r="G49" s="10">
        <f t="shared" si="2"/>
        <v>5.9050292968749973E-2</v>
      </c>
      <c r="H49" s="9"/>
      <c r="I49" s="29"/>
      <c r="L49" s="30">
        <f t="shared" si="5"/>
        <v>0</v>
      </c>
      <c r="M49" s="30">
        <f t="shared" si="4"/>
        <v>0</v>
      </c>
      <c r="N49" s="50"/>
      <c r="W49" s="17">
        <v>0.345428466796875</v>
      </c>
      <c r="X49" s="15" t="s">
        <v>37</v>
      </c>
      <c r="Y49" s="15"/>
      <c r="Z49" s="15"/>
      <c r="AA49" s="15"/>
      <c r="AB49" s="15"/>
    </row>
    <row r="50" spans="1:28" x14ac:dyDescent="0.25">
      <c r="A50">
        <v>3580</v>
      </c>
      <c r="C50" s="5">
        <v>40</v>
      </c>
      <c r="D50" s="7">
        <f t="shared" si="3"/>
        <v>0.1092529296875</v>
      </c>
      <c r="E50" s="8">
        <v>0.84088134765625</v>
      </c>
      <c r="F50" s="9">
        <f t="shared" si="1"/>
        <v>0.8</v>
      </c>
      <c r="G50" s="10">
        <f t="shared" si="2"/>
        <v>4.0881347656249956E-2</v>
      </c>
      <c r="H50" s="9"/>
      <c r="I50" s="29"/>
      <c r="L50" s="30">
        <f t="shared" si="5"/>
        <v>0</v>
      </c>
      <c r="M50" s="30">
        <f t="shared" si="4"/>
        <v>1</v>
      </c>
      <c r="N50" s="50"/>
      <c r="W50" s="17">
        <v>0.1092529296875</v>
      </c>
      <c r="X50" s="15" t="s">
        <v>26</v>
      </c>
      <c r="Y50" s="15"/>
      <c r="Z50" s="15"/>
      <c r="AA50" s="15"/>
      <c r="AB50" s="15"/>
    </row>
    <row r="51" spans="1:28" x14ac:dyDescent="0.25">
      <c r="A51">
        <v>32233</v>
      </c>
      <c r="C51" s="5">
        <v>41</v>
      </c>
      <c r="D51" s="7">
        <f t="shared" si="3"/>
        <v>0.983673095703125</v>
      </c>
      <c r="E51" s="8">
        <v>0.85345458984375</v>
      </c>
      <c r="F51" s="9">
        <f t="shared" si="1"/>
        <v>0.82</v>
      </c>
      <c r="G51" s="10">
        <f t="shared" si="2"/>
        <v>3.3454589843750049E-2</v>
      </c>
      <c r="H51" s="9"/>
      <c r="I51" s="29"/>
      <c r="L51" s="30">
        <f t="shared" si="5"/>
        <v>1</v>
      </c>
      <c r="M51" s="30">
        <f t="shared" si="4"/>
        <v>0</v>
      </c>
      <c r="N51" s="50"/>
      <c r="W51" s="17">
        <v>0.983673095703125</v>
      </c>
      <c r="X51" s="15" t="s">
        <v>26</v>
      </c>
      <c r="Y51" s="15"/>
      <c r="Z51" s="15"/>
      <c r="AA51" s="15"/>
      <c r="AB51" s="15"/>
    </row>
    <row r="52" spans="1:28" x14ac:dyDescent="0.25">
      <c r="A52">
        <v>27966</v>
      </c>
      <c r="C52" s="5">
        <v>42</v>
      </c>
      <c r="D52" s="7">
        <f t="shared" si="3"/>
        <v>0.85345458984375</v>
      </c>
      <c r="E52" s="8">
        <v>0.881866455078125</v>
      </c>
      <c r="F52" s="9">
        <f t="shared" si="1"/>
        <v>0.84</v>
      </c>
      <c r="G52" s="10">
        <f t="shared" si="2"/>
        <v>4.1866455078125031E-2</v>
      </c>
      <c r="H52" s="9"/>
      <c r="I52" s="29"/>
      <c r="L52" s="30">
        <f t="shared" si="5"/>
        <v>1</v>
      </c>
      <c r="M52" s="30">
        <f t="shared" si="4"/>
        <v>0</v>
      </c>
      <c r="N52" s="50"/>
      <c r="W52" s="17">
        <v>0.85345458984375</v>
      </c>
      <c r="X52" s="15" t="s">
        <v>24</v>
      </c>
      <c r="Y52" s="15"/>
      <c r="Z52" s="15"/>
      <c r="AA52" s="15"/>
      <c r="AB52" s="15"/>
    </row>
    <row r="53" spans="1:28" x14ac:dyDescent="0.25">
      <c r="A53">
        <v>22331</v>
      </c>
      <c r="C53" s="5">
        <v>43</v>
      </c>
      <c r="D53" s="7">
        <f t="shared" si="3"/>
        <v>0.681488037109375</v>
      </c>
      <c r="E53" s="8">
        <v>0.895477294921875</v>
      </c>
      <c r="F53" s="9">
        <f t="shared" si="1"/>
        <v>0.86</v>
      </c>
      <c r="G53" s="10">
        <f t="shared" si="2"/>
        <v>3.5477294921875013E-2</v>
      </c>
      <c r="H53" s="9"/>
      <c r="I53" s="29"/>
      <c r="L53" s="30">
        <f t="shared" si="5"/>
        <v>1</v>
      </c>
      <c r="M53" s="30">
        <f t="shared" si="4"/>
        <v>1</v>
      </c>
      <c r="N53" s="50"/>
      <c r="W53" s="17">
        <v>0.681488037109375</v>
      </c>
      <c r="X53" s="15" t="s">
        <v>26</v>
      </c>
      <c r="Y53" s="15"/>
      <c r="Z53" s="15"/>
      <c r="AA53" s="15"/>
      <c r="AB53" s="15"/>
    </row>
    <row r="54" spans="1:28" x14ac:dyDescent="0.25">
      <c r="A54">
        <v>4384</v>
      </c>
      <c r="C54" s="5">
        <v>44</v>
      </c>
      <c r="D54" s="7">
        <f t="shared" si="3"/>
        <v>0.1337890625</v>
      </c>
      <c r="E54" s="8">
        <v>0.914886474609375</v>
      </c>
      <c r="F54" s="9">
        <f t="shared" si="1"/>
        <v>0.88</v>
      </c>
      <c r="G54" s="10">
        <f t="shared" si="2"/>
        <v>3.4886474609374996E-2</v>
      </c>
      <c r="H54" s="9"/>
      <c r="I54" s="29"/>
      <c r="L54" s="30">
        <f t="shared" si="5"/>
        <v>0</v>
      </c>
      <c r="M54" s="30">
        <f t="shared" si="4"/>
        <v>0</v>
      </c>
      <c r="N54" s="50"/>
      <c r="W54" s="17">
        <v>0.1337890625</v>
      </c>
      <c r="X54" s="15" t="s">
        <v>24</v>
      </c>
      <c r="Y54" s="15"/>
      <c r="Z54" s="15"/>
      <c r="AA54" s="15"/>
      <c r="AB54" s="15"/>
    </row>
    <row r="55" spans="1:28" x14ac:dyDescent="0.25">
      <c r="A55">
        <v>6701</v>
      </c>
      <c r="C55" s="5">
        <v>45</v>
      </c>
      <c r="D55" s="7">
        <f t="shared" si="3"/>
        <v>0.204498291015625</v>
      </c>
      <c r="E55" s="8">
        <v>0.916748046875</v>
      </c>
      <c r="F55" s="9">
        <f t="shared" si="1"/>
        <v>0.9</v>
      </c>
      <c r="G55" s="10">
        <f t="shared" si="2"/>
        <v>1.6748046874999978E-2</v>
      </c>
      <c r="H55" s="9"/>
      <c r="I55" s="29"/>
      <c r="L55" s="30">
        <f t="shared" si="5"/>
        <v>0</v>
      </c>
      <c r="M55" s="30">
        <f t="shared" si="4"/>
        <v>1</v>
      </c>
      <c r="N55" s="50"/>
      <c r="W55" s="17">
        <v>0.204498291015625</v>
      </c>
      <c r="X55" s="15" t="s">
        <v>24</v>
      </c>
      <c r="Y55" s="15"/>
      <c r="Z55" s="15"/>
      <c r="AA55" s="15"/>
      <c r="AB55" s="15"/>
    </row>
    <row r="56" spans="1:28" x14ac:dyDescent="0.25">
      <c r="A56">
        <v>27554</v>
      </c>
      <c r="C56" s="5">
        <v>46</v>
      </c>
      <c r="D56" s="7">
        <f t="shared" si="3"/>
        <v>0.84088134765625</v>
      </c>
      <c r="E56" s="8">
        <v>0.93719482421875</v>
      </c>
      <c r="F56" s="9">
        <f t="shared" si="1"/>
        <v>0.92</v>
      </c>
      <c r="G56" s="10">
        <f t="shared" si="2"/>
        <v>1.719482421874996E-2</v>
      </c>
      <c r="H56" s="9"/>
      <c r="I56" s="29"/>
      <c r="L56" s="30">
        <f t="shared" si="5"/>
        <v>1</v>
      </c>
      <c r="M56" s="30">
        <f t="shared" si="4"/>
        <v>0</v>
      </c>
      <c r="N56" s="50"/>
      <c r="W56" s="17">
        <v>0.84088134765625</v>
      </c>
      <c r="X56" s="15" t="s">
        <v>35</v>
      </c>
      <c r="Y56" s="15"/>
      <c r="Z56" s="15"/>
      <c r="AA56" s="15"/>
      <c r="AB56" s="15"/>
    </row>
    <row r="57" spans="1:28" x14ac:dyDescent="0.25">
      <c r="A57">
        <v>18623</v>
      </c>
      <c r="C57" s="5">
        <v>47</v>
      </c>
      <c r="D57" s="7">
        <f t="shared" si="3"/>
        <v>0.568328857421875</v>
      </c>
      <c r="E57" s="8">
        <v>0.967041015625</v>
      </c>
      <c r="F57" s="9">
        <f t="shared" si="1"/>
        <v>0.94</v>
      </c>
      <c r="G57" s="10">
        <f t="shared" si="2"/>
        <v>2.7041015625000053E-2</v>
      </c>
      <c r="H57" s="9"/>
      <c r="I57" s="29"/>
      <c r="L57" s="30">
        <f t="shared" si="5"/>
        <v>1</v>
      </c>
      <c r="M57" s="30">
        <f t="shared" si="4"/>
        <v>1</v>
      </c>
      <c r="N57" s="50"/>
      <c r="W57" s="17">
        <v>0.568328857421875</v>
      </c>
      <c r="X57" s="15" t="s">
        <v>24</v>
      </c>
      <c r="Y57" s="15"/>
      <c r="Z57" s="15"/>
      <c r="AA57" s="15"/>
      <c r="AB57" s="15"/>
    </row>
    <row r="58" spans="1:28" x14ac:dyDescent="0.25">
      <c r="A58">
        <v>3780</v>
      </c>
      <c r="C58" s="5">
        <v>48</v>
      </c>
      <c r="D58" s="7">
        <f t="shared" si="3"/>
        <v>0.1153564453125</v>
      </c>
      <c r="E58" s="8">
        <v>0.968902587890625</v>
      </c>
      <c r="F58" s="9">
        <f t="shared" si="1"/>
        <v>0.96</v>
      </c>
      <c r="G58" s="10">
        <f t="shared" si="2"/>
        <v>8.9025878906250355E-3</v>
      </c>
      <c r="H58" s="9"/>
      <c r="I58" s="29"/>
      <c r="L58" s="30">
        <f t="shared" si="5"/>
        <v>0</v>
      </c>
      <c r="M58" s="30">
        <f t="shared" si="4"/>
        <v>0</v>
      </c>
      <c r="N58" s="50"/>
      <c r="W58" s="17">
        <v>0.1153564453125</v>
      </c>
      <c r="X58" s="15" t="s">
        <v>24</v>
      </c>
      <c r="Y58" s="15"/>
      <c r="Z58" s="15"/>
      <c r="AA58" s="15"/>
      <c r="AB58" s="15"/>
    </row>
    <row r="59" spans="1:28" x14ac:dyDescent="0.25">
      <c r="A59">
        <v>1265</v>
      </c>
      <c r="C59" s="5">
        <v>49</v>
      </c>
      <c r="D59" s="7">
        <f t="shared" si="3"/>
        <v>3.8604736328125E-2</v>
      </c>
      <c r="E59" s="8">
        <v>0.983673095703125</v>
      </c>
      <c r="F59" s="9">
        <f t="shared" si="1"/>
        <v>0.98</v>
      </c>
      <c r="G59" s="10">
        <f t="shared" si="2"/>
        <v>3.6730957031250178E-3</v>
      </c>
      <c r="H59" s="9"/>
      <c r="I59" s="29"/>
      <c r="L59" s="30">
        <f t="shared" si="5"/>
        <v>0</v>
      </c>
      <c r="M59" s="30">
        <f t="shared" si="4"/>
        <v>0</v>
      </c>
      <c r="N59" s="50"/>
      <c r="W59" s="17">
        <v>3.8604736328125E-2</v>
      </c>
      <c r="X59" s="15" t="s">
        <v>24</v>
      </c>
      <c r="Y59" s="15"/>
      <c r="Z59" s="15"/>
      <c r="AA59" s="15"/>
      <c r="AB59" s="15"/>
    </row>
    <row r="60" spans="1:28" x14ac:dyDescent="0.25">
      <c r="A60">
        <v>11398</v>
      </c>
      <c r="C60" s="5">
        <v>50</v>
      </c>
      <c r="D60" s="7">
        <f t="shared" si="3"/>
        <v>0.34783935546875</v>
      </c>
      <c r="E60" s="8">
        <v>0.98834228515625</v>
      </c>
      <c r="F60" s="9">
        <f t="shared" si="1"/>
        <v>1</v>
      </c>
      <c r="G60" s="10">
        <f t="shared" si="2"/>
        <v>1.165771484375E-2</v>
      </c>
      <c r="H60" s="9"/>
      <c r="I60" s="29"/>
      <c r="L60" s="30">
        <f t="shared" si="5"/>
        <v>0</v>
      </c>
      <c r="M60" s="30">
        <f>IF(S16&lt;&gt;L60,1,0)</f>
        <v>1</v>
      </c>
      <c r="N60" s="50"/>
      <c r="W60" s="17">
        <v>0.34783935546875</v>
      </c>
      <c r="X60" s="15" t="s">
        <v>24</v>
      </c>
      <c r="Y60" s="15"/>
      <c r="Z60" s="15"/>
      <c r="AA60" s="15"/>
      <c r="AB60" s="15"/>
    </row>
  </sheetData>
  <sortState ref="E11:E60">
    <sortCondition ref="E11:E60"/>
  </sortState>
  <pageMargins left="0.7" right="0.7" top="0.75" bottom="0.75" header="0.3" footer="0.3"/>
  <pageSetup paperSize="9" scale="57" orientation="portrait" r:id="rId1"/>
  <colBreaks count="2" manualBreakCount="2">
    <brk id="9" max="1048575" man="1"/>
    <brk id="2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60"/>
  <sheetViews>
    <sheetView tabSelected="1" view="pageBreakPreview" zoomScale="112" zoomScaleNormal="106" zoomScaleSheetLayoutView="112" workbookViewId="0">
      <selection activeCell="Z16" sqref="Z16"/>
    </sheetView>
  </sheetViews>
  <sheetFormatPr baseColWidth="10" defaultColWidth="9.140625" defaultRowHeight="15" x14ac:dyDescent="0.25"/>
  <cols>
    <col min="4" max="4" width="12" customWidth="1"/>
    <col min="5" max="5" width="15.42578125" customWidth="1"/>
    <col min="6" max="6" width="13.28515625" customWidth="1"/>
    <col min="7" max="7" width="12.5703125" customWidth="1"/>
    <col min="8" max="8" width="12" customWidth="1"/>
    <col min="9" max="9" width="13" customWidth="1"/>
    <col min="13" max="13" width="18.85546875" bestFit="1" customWidth="1"/>
    <col min="16" max="16" width="15.85546875" customWidth="1"/>
    <col min="17" max="17" width="14.140625" customWidth="1"/>
    <col min="18" max="18" width="18.28515625" customWidth="1"/>
    <col min="19" max="19" width="13.5703125" customWidth="1"/>
    <col min="20" max="20" width="20.28515625" customWidth="1"/>
    <col min="21" max="21" width="23.7109375" bestFit="1" customWidth="1"/>
    <col min="22" max="22" width="11.28515625" bestFit="1" customWidth="1"/>
    <col min="23" max="23" width="21.28515625" bestFit="1" customWidth="1"/>
    <col min="24" max="24" width="20.42578125" bestFit="1" customWidth="1"/>
    <col min="26" max="26" width="19.140625" bestFit="1" customWidth="1"/>
    <col min="27" max="27" width="18.7109375" bestFit="1" customWidth="1"/>
  </cols>
  <sheetData>
    <row r="4" spans="1:24" x14ac:dyDescent="0.25">
      <c r="L4" t="s">
        <v>0</v>
      </c>
    </row>
    <row r="5" spans="1:24" x14ac:dyDescent="0.25">
      <c r="E5" s="4" t="s">
        <v>1</v>
      </c>
      <c r="K5" s="30"/>
      <c r="L5" s="44" t="str">
        <f>IF(AND(L7&gt;=K7,L7&lt;=M7),"No se rechaza Ho","Se Rechaza Ho")</f>
        <v>No se rechaza Ho</v>
      </c>
      <c r="M5" s="44"/>
      <c r="U5" t="s">
        <v>2</v>
      </c>
    </row>
    <row r="6" spans="1:24" x14ac:dyDescent="0.25">
      <c r="E6" s="4" t="s">
        <v>3</v>
      </c>
      <c r="K6" s="43" t="s">
        <v>4</v>
      </c>
      <c r="L6" s="43" t="s">
        <v>5</v>
      </c>
      <c r="M6" s="43" t="s">
        <v>6</v>
      </c>
      <c r="U6" t="s">
        <v>7</v>
      </c>
    </row>
    <row r="7" spans="1:24" x14ac:dyDescent="0.25">
      <c r="D7" s="11" t="s">
        <v>76</v>
      </c>
      <c r="E7" s="11" t="s">
        <v>77</v>
      </c>
      <c r="F7" s="11" t="s">
        <v>72</v>
      </c>
      <c r="K7" s="30">
        <f>N16*-1</f>
        <v>-1.96</v>
      </c>
      <c r="L7" s="30">
        <f>R18</f>
        <v>0.44081164972656012</v>
      </c>
      <c r="M7" s="30">
        <f>K7*-1</f>
        <v>1.96</v>
      </c>
      <c r="T7" s="11" t="s">
        <v>76</v>
      </c>
      <c r="U7" s="11" t="s">
        <v>77</v>
      </c>
      <c r="V7" s="11" t="s">
        <v>72</v>
      </c>
    </row>
    <row r="10" spans="1:24" ht="60" x14ac:dyDescent="0.25">
      <c r="A10" s="12" t="s">
        <v>11</v>
      </c>
      <c r="C10" s="15"/>
      <c r="D10" s="15" t="s">
        <v>59</v>
      </c>
      <c r="E10" s="16" t="s">
        <v>60</v>
      </c>
      <c r="F10" s="16" t="s">
        <v>61</v>
      </c>
      <c r="G10" s="16" t="s">
        <v>15</v>
      </c>
      <c r="H10" s="16" t="s">
        <v>16</v>
      </c>
      <c r="I10" s="16" t="s">
        <v>17</v>
      </c>
      <c r="K10" s="52" t="s">
        <v>80</v>
      </c>
      <c r="L10" s="31" t="s">
        <v>18</v>
      </c>
      <c r="M10" s="49"/>
      <c r="N10" s="49"/>
      <c r="S10" s="15" t="s">
        <v>19</v>
      </c>
      <c r="T10" s="15" t="s">
        <v>20</v>
      </c>
      <c r="U10" s="15" t="s">
        <v>21</v>
      </c>
      <c r="V10" s="15"/>
      <c r="W10" s="15" t="s">
        <v>22</v>
      </c>
      <c r="X10" s="15" t="s">
        <v>23</v>
      </c>
    </row>
    <row r="11" spans="1:24" x14ac:dyDescent="0.25">
      <c r="A11">
        <v>4665</v>
      </c>
      <c r="C11" s="15">
        <v>1</v>
      </c>
      <c r="D11" s="17">
        <f>A11/32768</f>
        <v>0.142364501953125</v>
      </c>
      <c r="E11" s="17">
        <v>1.3519287109375E-2</v>
      </c>
      <c r="F11" s="15">
        <f>C11/50</f>
        <v>0.02</v>
      </c>
      <c r="G11" s="18">
        <f>ABS(E11-F11)</f>
        <v>6.4807128906250004E-3</v>
      </c>
      <c r="H11" s="18">
        <f>MAX(G11:G60)</f>
        <v>7.1958007812500002E-2</v>
      </c>
      <c r="I11" s="15">
        <v>0.188</v>
      </c>
      <c r="K11" s="30">
        <f>IF(D11&gt;$N$12,1,0)</f>
        <v>0</v>
      </c>
      <c r="L11" s="30">
        <f>K11</f>
        <v>0</v>
      </c>
      <c r="M11" s="50"/>
      <c r="N11" s="50"/>
      <c r="S11" s="17">
        <v>0.142364501953125</v>
      </c>
      <c r="T11" s="15" t="s">
        <v>26</v>
      </c>
      <c r="U11" s="15">
        <v>18</v>
      </c>
      <c r="V11" s="15" t="s">
        <v>25</v>
      </c>
      <c r="W11" s="15">
        <v>15.120000000000001</v>
      </c>
      <c r="X11" s="40">
        <f>ABS((U11-15.12)^2/15.12)</f>
        <v>0.54857142857142893</v>
      </c>
    </row>
    <row r="12" spans="1:24" x14ac:dyDescent="0.25">
      <c r="A12">
        <v>21090</v>
      </c>
      <c r="C12" s="15">
        <v>2</v>
      </c>
      <c r="D12" s="17">
        <f t="shared" ref="D12:D60" si="0">A12/32768</f>
        <v>0.64361572265625</v>
      </c>
      <c r="E12" s="17">
        <v>6.5704345703125E-2</v>
      </c>
      <c r="F12" s="15">
        <f t="shared" ref="F12:F59" si="1">C12/50</f>
        <v>0.04</v>
      </c>
      <c r="G12" s="18">
        <f t="shared" ref="G12:G60" si="2">ABS(E12-F12)</f>
        <v>2.5704345703124999E-2</v>
      </c>
      <c r="H12" s="15"/>
      <c r="I12" s="15"/>
      <c r="K12" s="30">
        <f>IF(D12&gt;$N$12,1,0)</f>
        <v>1</v>
      </c>
      <c r="L12" s="30">
        <f>IF(K13&lt;&gt;K12,1,0)</f>
        <v>1</v>
      </c>
      <c r="M12" t="s">
        <v>38</v>
      </c>
      <c r="N12" s="13">
        <f>AVERAGE(D11:D60)</f>
        <v>0.52130065917968749</v>
      </c>
      <c r="Q12" t="s">
        <v>39</v>
      </c>
      <c r="R12" s="32">
        <f>SUM(L11:L60)</f>
        <v>27</v>
      </c>
      <c r="S12" s="17">
        <v>0.64361572265625</v>
      </c>
      <c r="T12" s="15" t="s">
        <v>24</v>
      </c>
      <c r="U12" s="15">
        <v>25</v>
      </c>
      <c r="V12" s="15" t="s">
        <v>27</v>
      </c>
      <c r="W12" s="15">
        <v>25.2</v>
      </c>
      <c r="X12" s="40">
        <f>ABS((U12-25.2)^2/25.2)</f>
        <v>1.587301587301576E-3</v>
      </c>
    </row>
    <row r="13" spans="1:24" x14ac:dyDescent="0.25">
      <c r="A13">
        <v>10651</v>
      </c>
      <c r="C13" s="15">
        <v>3</v>
      </c>
      <c r="D13" s="17">
        <f t="shared" si="0"/>
        <v>0.325042724609375</v>
      </c>
      <c r="E13" s="17">
        <v>0.1319580078125</v>
      </c>
      <c r="F13" s="15">
        <f t="shared" si="1"/>
        <v>0.06</v>
      </c>
      <c r="G13" s="18">
        <f t="shared" si="2"/>
        <v>7.1958007812500002E-2</v>
      </c>
      <c r="H13" s="15"/>
      <c r="I13" s="15"/>
      <c r="K13" s="30">
        <f>IF(D13&gt;$N$12,1,0)</f>
        <v>0</v>
      </c>
      <c r="L13" s="30">
        <f t="shared" ref="L13:L59" si="3">IF(K14&lt;&gt;K13,1,0)</f>
        <v>0</v>
      </c>
      <c r="M13" t="s">
        <v>40</v>
      </c>
      <c r="N13">
        <f>_xlfn.STDEV.S(D11:D60)</f>
        <v>0.27928280080313034</v>
      </c>
      <c r="O13" t="s">
        <v>41</v>
      </c>
      <c r="P13" t="s">
        <v>42</v>
      </c>
      <c r="S13" s="17">
        <v>0.325042724609375</v>
      </c>
      <c r="T13" s="15" t="s">
        <v>26</v>
      </c>
      <c r="U13" s="15">
        <v>2</v>
      </c>
      <c r="V13" s="15" t="s">
        <v>28</v>
      </c>
      <c r="W13" s="15">
        <v>5.4</v>
      </c>
      <c r="X13" s="40">
        <f>ABS((U13-5.4)^2/5.4)</f>
        <v>2.1407407407407408</v>
      </c>
    </row>
    <row r="14" spans="1:24" x14ac:dyDescent="0.25">
      <c r="A14">
        <v>4324</v>
      </c>
      <c r="C14" s="15">
        <v>4</v>
      </c>
      <c r="D14" s="17">
        <f t="shared" si="0"/>
        <v>0.1319580078125</v>
      </c>
      <c r="E14" s="17">
        <v>0.134674072265625</v>
      </c>
      <c r="F14" s="15">
        <f t="shared" si="1"/>
        <v>0.08</v>
      </c>
      <c r="G14" s="18">
        <f t="shared" si="2"/>
        <v>5.4674072265624998E-2</v>
      </c>
      <c r="H14" s="15"/>
      <c r="I14" s="15"/>
      <c r="K14" s="30">
        <f>IF(D14&gt;$N$12,1,0)</f>
        <v>0</v>
      </c>
      <c r="L14" s="30">
        <f t="shared" si="3"/>
        <v>0</v>
      </c>
      <c r="M14" s="27" t="s">
        <v>43</v>
      </c>
      <c r="N14">
        <v>0.05</v>
      </c>
      <c r="O14">
        <f>COUNTIF(K11:K60,1)</f>
        <v>24</v>
      </c>
      <c r="P14">
        <f>COUNTIF(K11:K60,0)</f>
        <v>26</v>
      </c>
      <c r="S14" s="17">
        <v>0.1319580078125</v>
      </c>
      <c r="T14" s="15" t="s">
        <v>24</v>
      </c>
      <c r="U14" s="15">
        <v>4</v>
      </c>
      <c r="V14" s="15" t="s">
        <v>29</v>
      </c>
      <c r="W14" s="15">
        <v>3.5999999999999996</v>
      </c>
      <c r="X14" s="40">
        <f>ABS((U14-3.6)^2/3.6)</f>
        <v>4.4444444444444418E-2</v>
      </c>
    </row>
    <row r="15" spans="1:24" x14ac:dyDescent="0.25">
      <c r="A15">
        <v>4413</v>
      </c>
      <c r="C15" s="15">
        <v>5</v>
      </c>
      <c r="D15" s="17">
        <f t="shared" si="0"/>
        <v>0.134674072265625</v>
      </c>
      <c r="E15" s="17">
        <v>0.142364501953125</v>
      </c>
      <c r="F15" s="15">
        <f t="shared" si="1"/>
        <v>0.1</v>
      </c>
      <c r="G15" s="18">
        <f t="shared" si="2"/>
        <v>4.2364501953124994E-2</v>
      </c>
      <c r="H15" s="15"/>
      <c r="I15" s="15"/>
      <c r="K15" s="30">
        <f>IF(D15&gt;$N$12,1,0)</f>
        <v>0</v>
      </c>
      <c r="L15" s="30">
        <f t="shared" si="3"/>
        <v>1</v>
      </c>
      <c r="M15" s="27" t="s">
        <v>44</v>
      </c>
      <c r="N15">
        <f>N14/2</f>
        <v>2.5000000000000001E-2</v>
      </c>
      <c r="S15" s="17">
        <v>0.134674072265625</v>
      </c>
      <c r="T15" s="15" t="s">
        <v>26</v>
      </c>
      <c r="U15" s="15">
        <v>0</v>
      </c>
      <c r="V15" s="15" t="s">
        <v>30</v>
      </c>
      <c r="W15" s="15">
        <v>0.22499999999999998</v>
      </c>
      <c r="X15" s="40">
        <f>ABS((U15-0.225)^2/0.225)</f>
        <v>0.22500000000000001</v>
      </c>
    </row>
    <row r="16" spans="1:24" x14ac:dyDescent="0.25">
      <c r="A16">
        <v>17318</v>
      </c>
      <c r="C16" s="15">
        <v>6</v>
      </c>
      <c r="D16" s="17">
        <f t="shared" si="0"/>
        <v>0.52850341796875</v>
      </c>
      <c r="E16" s="17">
        <v>0.150115966796875</v>
      </c>
      <c r="F16" s="15">
        <f t="shared" si="1"/>
        <v>0.12</v>
      </c>
      <c r="G16" s="18">
        <f t="shared" si="2"/>
        <v>3.0115966796875004E-2</v>
      </c>
      <c r="H16" s="15"/>
      <c r="I16" s="15"/>
      <c r="K16" s="30">
        <f>IF(D16&gt;$N$12,1,0)</f>
        <v>1</v>
      </c>
      <c r="L16" s="30">
        <f t="shared" si="3"/>
        <v>0</v>
      </c>
      <c r="M16" t="s">
        <v>6</v>
      </c>
      <c r="N16">
        <f>1.96</f>
        <v>1.96</v>
      </c>
      <c r="Q16" t="s">
        <v>45</v>
      </c>
      <c r="R16" s="33">
        <f>((2*O14*P14))/(O14+P14)+(1/2)</f>
        <v>25.46</v>
      </c>
      <c r="S16" s="17">
        <v>0.52850341796875</v>
      </c>
      <c r="T16" s="15" t="s">
        <v>24</v>
      </c>
      <c r="U16" s="15">
        <v>1</v>
      </c>
      <c r="V16" s="15" t="s">
        <v>31</v>
      </c>
      <c r="W16" s="15">
        <v>0.44999999999999996</v>
      </c>
      <c r="X16" s="40">
        <f>ABS((U16-0.45)^2/0.45)</f>
        <v>0.67222222222222228</v>
      </c>
    </row>
    <row r="17" spans="1:24" x14ac:dyDescent="0.25">
      <c r="A17">
        <v>20767</v>
      </c>
      <c r="C17" s="15">
        <v>7</v>
      </c>
      <c r="D17" s="17">
        <f t="shared" si="0"/>
        <v>0.633758544921875</v>
      </c>
      <c r="E17" s="17">
        <v>0.167022705078125</v>
      </c>
      <c r="F17" s="15">
        <f t="shared" si="1"/>
        <v>0.14000000000000001</v>
      </c>
      <c r="G17" s="18">
        <f t="shared" si="2"/>
        <v>2.7022705078124987E-2</v>
      </c>
      <c r="H17" s="15"/>
      <c r="I17" s="15"/>
      <c r="K17" s="30">
        <f>IF(D17&gt;$N$12,1,0)</f>
        <v>1</v>
      </c>
      <c r="L17" s="30">
        <f t="shared" si="3"/>
        <v>0</v>
      </c>
      <c r="Q17" t="s">
        <v>46</v>
      </c>
      <c r="R17">
        <f>(2*O14*P14*(2*O14*P14 -C60))/(C60*C60*(C60-1))</f>
        <v>12.204930612244898</v>
      </c>
      <c r="S17" s="17">
        <v>0.633758544921875</v>
      </c>
      <c r="T17" s="15" t="s">
        <v>37</v>
      </c>
      <c r="U17" s="15">
        <v>0</v>
      </c>
      <c r="V17" s="15" t="s">
        <v>32</v>
      </c>
      <c r="W17" s="15">
        <v>5.0000000000000001E-3</v>
      </c>
      <c r="X17" s="40">
        <f>ABS((U17-0.005)^2/0.005)</f>
        <v>5.0000000000000001E-3</v>
      </c>
    </row>
    <row r="18" spans="1:24" x14ac:dyDescent="0.25">
      <c r="A18">
        <v>29352</v>
      </c>
      <c r="C18" s="15">
        <v>8</v>
      </c>
      <c r="D18" s="17">
        <f t="shared" si="0"/>
        <v>0.895751953125</v>
      </c>
      <c r="E18" s="17">
        <v>0.19512939453125</v>
      </c>
      <c r="F18" s="15">
        <f t="shared" si="1"/>
        <v>0.16</v>
      </c>
      <c r="G18" s="18">
        <f t="shared" si="2"/>
        <v>3.5129394531249997E-2</v>
      </c>
      <c r="H18" s="15"/>
      <c r="I18" s="15"/>
      <c r="K18" s="30">
        <f>IF(D18&gt;$N$12,1,0)</f>
        <v>1</v>
      </c>
      <c r="L18" s="30">
        <f t="shared" si="3"/>
        <v>0</v>
      </c>
      <c r="Q18" t="s">
        <v>5</v>
      </c>
      <c r="R18">
        <f>(R12-R16)/SQRT(R17)</f>
        <v>0.44081164972656012</v>
      </c>
      <c r="S18" s="17">
        <v>0.895751953125</v>
      </c>
      <c r="T18" s="15" t="s">
        <v>24</v>
      </c>
      <c r="U18" s="15"/>
      <c r="V18" s="15"/>
      <c r="W18" s="15"/>
      <c r="X18" s="40"/>
    </row>
    <row r="19" spans="1:24" x14ac:dyDescent="0.25">
      <c r="A19">
        <v>28993</v>
      </c>
      <c r="C19" s="15">
        <v>9</v>
      </c>
      <c r="D19" s="17">
        <f t="shared" si="0"/>
        <v>0.884796142578125</v>
      </c>
      <c r="E19" s="17">
        <v>0.21905517578125</v>
      </c>
      <c r="F19" s="15">
        <f t="shared" si="1"/>
        <v>0.18</v>
      </c>
      <c r="G19" s="18">
        <f t="shared" si="2"/>
        <v>3.9055175781250007E-2</v>
      </c>
      <c r="H19" s="15"/>
      <c r="I19" s="15"/>
      <c r="K19" s="30">
        <f>IF(D19&gt;$N$12,1,0)</f>
        <v>1</v>
      </c>
      <c r="L19" s="30">
        <f t="shared" si="3"/>
        <v>1</v>
      </c>
      <c r="M19" s="50"/>
      <c r="N19" s="50"/>
      <c r="S19" s="17">
        <v>0.884796142578125</v>
      </c>
      <c r="T19" s="15" t="s">
        <v>35</v>
      </c>
      <c r="U19" s="15"/>
      <c r="V19" s="15"/>
      <c r="W19" s="15" t="s">
        <v>33</v>
      </c>
      <c r="X19" s="40">
        <f>SUM(X11:X17)</f>
        <v>3.6375661375661377</v>
      </c>
    </row>
    <row r="20" spans="1:24" x14ac:dyDescent="0.25">
      <c r="A20">
        <v>9706</v>
      </c>
      <c r="C20" s="15">
        <v>10</v>
      </c>
      <c r="D20" s="17">
        <f t="shared" si="0"/>
        <v>0.29620361328125</v>
      </c>
      <c r="E20" s="17">
        <v>0.237457275390625</v>
      </c>
      <c r="F20" s="15">
        <f t="shared" si="1"/>
        <v>0.2</v>
      </c>
      <c r="G20" s="18">
        <f t="shared" si="2"/>
        <v>3.7457275390624989E-2</v>
      </c>
      <c r="H20" s="15"/>
      <c r="I20" s="15"/>
      <c r="K20" s="30">
        <f>IF(D20&gt;$N$12,1,0)</f>
        <v>0</v>
      </c>
      <c r="L20" s="30">
        <f t="shared" si="3"/>
        <v>1</v>
      </c>
      <c r="M20" s="50"/>
      <c r="N20" s="50"/>
      <c r="S20" s="17">
        <v>0.29620361328125</v>
      </c>
      <c r="T20" s="15" t="s">
        <v>24</v>
      </c>
      <c r="U20" s="15"/>
      <c r="V20" s="15"/>
      <c r="W20" s="15" t="s">
        <v>34</v>
      </c>
      <c r="X20" s="40">
        <v>12.59</v>
      </c>
    </row>
    <row r="21" spans="1:24" x14ac:dyDescent="0.25">
      <c r="A21">
        <v>31139</v>
      </c>
      <c r="C21" s="15">
        <v>11</v>
      </c>
      <c r="D21" s="17">
        <f t="shared" si="0"/>
        <v>0.950286865234375</v>
      </c>
      <c r="E21" s="17">
        <v>0.279052734375</v>
      </c>
      <c r="F21" s="15">
        <f t="shared" si="1"/>
        <v>0.22</v>
      </c>
      <c r="G21" s="18">
        <f t="shared" si="2"/>
        <v>5.9052734374999999E-2</v>
      </c>
      <c r="H21" s="15"/>
      <c r="I21" s="15"/>
      <c r="K21" s="30">
        <f>IF(D21&gt;$N$12,1,0)</f>
        <v>1</v>
      </c>
      <c r="L21" s="30">
        <f t="shared" si="3"/>
        <v>0</v>
      </c>
      <c r="M21" s="50"/>
      <c r="N21" s="50"/>
      <c r="S21" s="17">
        <v>0.950286865234375</v>
      </c>
      <c r="T21" s="15" t="s">
        <v>24</v>
      </c>
      <c r="U21" s="15"/>
      <c r="V21" s="15"/>
      <c r="W21" s="15"/>
      <c r="X21" s="15"/>
    </row>
    <row r="22" spans="1:24" x14ac:dyDescent="0.25">
      <c r="A22">
        <v>25964</v>
      </c>
      <c r="C22" s="15">
        <v>12</v>
      </c>
      <c r="D22" s="17">
        <f t="shared" si="0"/>
        <v>0.7923583984375</v>
      </c>
      <c r="E22" s="17">
        <v>0.294525146484375</v>
      </c>
      <c r="F22" s="15">
        <f t="shared" si="1"/>
        <v>0.24</v>
      </c>
      <c r="G22" s="18">
        <f t="shared" si="2"/>
        <v>5.4525146484375009E-2</v>
      </c>
      <c r="H22" s="15"/>
      <c r="I22" s="15"/>
      <c r="K22" s="30">
        <f>IF(D22&gt;$N$12,1,0)</f>
        <v>1</v>
      </c>
      <c r="L22" s="30">
        <f t="shared" si="3"/>
        <v>0</v>
      </c>
      <c r="M22" s="50"/>
      <c r="N22" s="50"/>
      <c r="S22" s="17">
        <v>0.7923583984375</v>
      </c>
      <c r="T22" s="15" t="s">
        <v>26</v>
      </c>
      <c r="U22" s="15"/>
      <c r="V22" s="15"/>
      <c r="W22" s="15"/>
      <c r="X22" s="15"/>
    </row>
    <row r="23" spans="1:24" x14ac:dyDescent="0.25">
      <c r="A23">
        <v>29253</v>
      </c>
      <c r="C23" s="15">
        <v>13</v>
      </c>
      <c r="D23" s="17">
        <f t="shared" si="0"/>
        <v>0.892730712890625</v>
      </c>
      <c r="E23" s="17">
        <v>0.29620361328125</v>
      </c>
      <c r="F23" s="15">
        <f t="shared" si="1"/>
        <v>0.26</v>
      </c>
      <c r="G23" s="18">
        <f t="shared" si="2"/>
        <v>3.6203613281249991E-2</v>
      </c>
      <c r="H23" s="15"/>
      <c r="I23" s="15"/>
      <c r="K23" s="30">
        <f>IF(D23&gt;$N$12,1,0)</f>
        <v>1</v>
      </c>
      <c r="L23" s="30">
        <f t="shared" si="3"/>
        <v>1</v>
      </c>
      <c r="M23" s="50"/>
      <c r="N23" s="50"/>
      <c r="S23" s="17">
        <v>0.892730712890625</v>
      </c>
      <c r="T23" s="15" t="s">
        <v>26</v>
      </c>
      <c r="U23" s="15"/>
      <c r="V23" s="15"/>
      <c r="W23" s="15"/>
      <c r="X23" s="15"/>
    </row>
    <row r="24" spans="1:24" x14ac:dyDescent="0.25">
      <c r="A24">
        <v>14638</v>
      </c>
      <c r="C24" s="15">
        <v>14</v>
      </c>
      <c r="D24" s="17">
        <f t="shared" si="0"/>
        <v>0.44671630859375</v>
      </c>
      <c r="E24" s="17">
        <v>0.299591064453125</v>
      </c>
      <c r="F24" s="15">
        <f t="shared" si="1"/>
        <v>0.28000000000000003</v>
      </c>
      <c r="G24" s="18">
        <f t="shared" si="2"/>
        <v>1.9591064453124973E-2</v>
      </c>
      <c r="H24" s="15"/>
      <c r="I24" s="15"/>
      <c r="K24" s="30">
        <f>IF(D24&gt;$N$12,1,0)</f>
        <v>0</v>
      </c>
      <c r="L24" s="30">
        <f t="shared" si="3"/>
        <v>1</v>
      </c>
      <c r="M24" s="50"/>
      <c r="N24" s="50"/>
      <c r="S24" s="17">
        <v>0.44671630859375</v>
      </c>
      <c r="T24" s="15" t="s">
        <v>24</v>
      </c>
      <c r="U24" s="15"/>
      <c r="V24" s="15"/>
      <c r="W24" s="15"/>
      <c r="X24" s="15"/>
    </row>
    <row r="25" spans="1:24" x14ac:dyDescent="0.25">
      <c r="A25">
        <v>25383</v>
      </c>
      <c r="C25" s="15">
        <v>15</v>
      </c>
      <c r="D25" s="17">
        <f t="shared" si="0"/>
        <v>0.774627685546875</v>
      </c>
      <c r="E25" s="17">
        <v>0.32177734375</v>
      </c>
      <c r="F25" s="15">
        <f t="shared" si="1"/>
        <v>0.3</v>
      </c>
      <c r="G25" s="18">
        <f t="shared" si="2"/>
        <v>2.1777343750000011E-2</v>
      </c>
      <c r="H25" s="15"/>
      <c r="I25" s="15"/>
      <c r="K25" s="30">
        <f>IF(D25&gt;$N$12,1,0)</f>
        <v>1</v>
      </c>
      <c r="L25" s="30">
        <f t="shared" si="3"/>
        <v>1</v>
      </c>
      <c r="M25" s="50"/>
      <c r="N25" s="50"/>
      <c r="S25" s="17">
        <v>0.774627685546875</v>
      </c>
      <c r="T25" s="15" t="s">
        <v>24</v>
      </c>
      <c r="U25" s="15"/>
      <c r="V25" s="15"/>
      <c r="W25" s="15"/>
      <c r="X25" s="15"/>
    </row>
    <row r="26" spans="1:24" x14ac:dyDescent="0.25">
      <c r="A26">
        <v>10544</v>
      </c>
      <c r="C26" s="15">
        <v>16</v>
      </c>
      <c r="D26" s="17">
        <f t="shared" si="0"/>
        <v>0.32177734375</v>
      </c>
      <c r="E26" s="17">
        <v>0.325042724609375</v>
      </c>
      <c r="F26" s="15">
        <f t="shared" si="1"/>
        <v>0.32</v>
      </c>
      <c r="G26" s="18">
        <f t="shared" si="2"/>
        <v>5.0427246093749933E-3</v>
      </c>
      <c r="H26" s="15"/>
      <c r="I26" s="15"/>
      <c r="K26" s="30">
        <f>IF(D26&gt;$N$12,1,0)</f>
        <v>0</v>
      </c>
      <c r="L26" s="30">
        <f t="shared" si="3"/>
        <v>1</v>
      </c>
      <c r="M26" s="50"/>
      <c r="N26" s="50"/>
      <c r="S26" s="17">
        <v>0.32177734375</v>
      </c>
      <c r="T26" s="15" t="s">
        <v>26</v>
      </c>
      <c r="U26" s="15"/>
      <c r="V26" s="15"/>
      <c r="W26" s="15"/>
      <c r="X26" s="15"/>
    </row>
    <row r="27" spans="1:24" x14ac:dyDescent="0.25">
      <c r="A27">
        <v>21577</v>
      </c>
      <c r="C27" s="15">
        <v>17</v>
      </c>
      <c r="D27" s="17">
        <f t="shared" si="0"/>
        <v>0.658477783203125</v>
      </c>
      <c r="E27" s="17">
        <v>0.33837890625</v>
      </c>
      <c r="F27" s="15">
        <f t="shared" si="1"/>
        <v>0.34</v>
      </c>
      <c r="G27" s="18">
        <f t="shared" si="2"/>
        <v>1.6210937500000244E-3</v>
      </c>
      <c r="H27" s="15"/>
      <c r="I27" s="15"/>
      <c r="K27" s="30">
        <f>IF(D27&gt;$N$12,1,0)</f>
        <v>1</v>
      </c>
      <c r="L27" s="30">
        <f t="shared" si="3"/>
        <v>1</v>
      </c>
      <c r="M27" s="50"/>
      <c r="N27" s="50"/>
      <c r="S27" s="17">
        <v>0.658477783203125</v>
      </c>
      <c r="T27" s="15" t="s">
        <v>24</v>
      </c>
      <c r="U27" s="15"/>
      <c r="V27" s="15"/>
      <c r="W27" s="15"/>
      <c r="X27" s="15"/>
    </row>
    <row r="28" spans="1:24" x14ac:dyDescent="0.25">
      <c r="A28">
        <v>15730</v>
      </c>
      <c r="C28" s="15">
        <v>18</v>
      </c>
      <c r="D28" s="17">
        <f t="shared" si="0"/>
        <v>0.48004150390625</v>
      </c>
      <c r="E28" s="17">
        <v>0.354400634765625</v>
      </c>
      <c r="F28" s="15">
        <f t="shared" si="1"/>
        <v>0.36</v>
      </c>
      <c r="G28" s="18">
        <f t="shared" si="2"/>
        <v>5.5993652343749867E-3</v>
      </c>
      <c r="H28" s="15"/>
      <c r="I28" s="15"/>
      <c r="K28" s="30">
        <f>IF(D28&gt;$N$12,1,0)</f>
        <v>0</v>
      </c>
      <c r="L28" s="30">
        <f t="shared" si="3"/>
        <v>1</v>
      </c>
      <c r="M28" s="50"/>
      <c r="N28" s="50"/>
      <c r="S28" s="17">
        <v>0.48004150390625</v>
      </c>
      <c r="T28" s="15" t="s">
        <v>24</v>
      </c>
      <c r="U28" s="15"/>
      <c r="V28" s="15"/>
      <c r="W28" s="15"/>
      <c r="X28" s="15"/>
    </row>
    <row r="29" spans="1:24" x14ac:dyDescent="0.25">
      <c r="A29">
        <v>19883</v>
      </c>
      <c r="C29" s="15">
        <v>19</v>
      </c>
      <c r="D29" s="17">
        <f t="shared" si="0"/>
        <v>0.606781005859375</v>
      </c>
      <c r="E29" s="17">
        <v>0.384735107421875</v>
      </c>
      <c r="F29" s="15">
        <f t="shared" si="1"/>
        <v>0.38</v>
      </c>
      <c r="G29" s="18">
        <f t="shared" si="2"/>
        <v>4.7351074218749956E-3</v>
      </c>
      <c r="H29" s="15"/>
      <c r="I29" s="15"/>
      <c r="K29" s="30">
        <f>IF(D29&gt;$N$12,1,0)</f>
        <v>1</v>
      </c>
      <c r="L29" s="30">
        <f t="shared" si="3"/>
        <v>0</v>
      </c>
      <c r="M29" s="50"/>
      <c r="N29" s="50"/>
      <c r="S29" s="17">
        <v>0.606781005859375</v>
      </c>
      <c r="T29" s="15" t="s">
        <v>24</v>
      </c>
      <c r="U29" s="15"/>
      <c r="V29" s="15"/>
      <c r="W29" s="15"/>
      <c r="X29" s="15"/>
    </row>
    <row r="30" spans="1:24" x14ac:dyDescent="0.25">
      <c r="A30">
        <v>32244</v>
      </c>
      <c r="C30" s="15">
        <v>20</v>
      </c>
      <c r="D30" s="17">
        <f t="shared" si="0"/>
        <v>0.9840087890625</v>
      </c>
      <c r="E30" s="17">
        <v>0.38885498046875</v>
      </c>
      <c r="F30" s="15">
        <f t="shared" si="1"/>
        <v>0.4</v>
      </c>
      <c r="G30" s="18">
        <f t="shared" si="2"/>
        <v>1.1145019531250022E-2</v>
      </c>
      <c r="H30" s="15"/>
      <c r="I30" s="15"/>
      <c r="K30" s="30">
        <f>IF(D30&gt;$N$12,1,0)</f>
        <v>1</v>
      </c>
      <c r="L30" s="30">
        <f t="shared" si="3"/>
        <v>0</v>
      </c>
      <c r="M30" s="50"/>
      <c r="N30" s="50"/>
      <c r="S30" s="17">
        <v>0.9840087890625</v>
      </c>
      <c r="T30" s="15" t="s">
        <v>26</v>
      </c>
      <c r="U30" s="15"/>
      <c r="V30" s="15"/>
      <c r="W30" s="15"/>
      <c r="X30" s="15"/>
    </row>
    <row r="31" spans="1:24" x14ac:dyDescent="0.25">
      <c r="A31">
        <v>22349</v>
      </c>
      <c r="C31" s="15">
        <v>21</v>
      </c>
      <c r="D31" s="17">
        <f t="shared" si="0"/>
        <v>0.682037353515625</v>
      </c>
      <c r="E31" s="17">
        <v>0.43206787109375</v>
      </c>
      <c r="F31" s="15">
        <f t="shared" si="1"/>
        <v>0.42</v>
      </c>
      <c r="G31" s="18">
        <f t="shared" si="2"/>
        <v>1.2067871093750016E-2</v>
      </c>
      <c r="H31" s="15"/>
      <c r="I31" s="15"/>
      <c r="K31" s="30">
        <f>IF(D31&gt;$N$12,1,0)</f>
        <v>1</v>
      </c>
      <c r="L31" s="30">
        <f t="shared" si="3"/>
        <v>0</v>
      </c>
      <c r="M31" s="50"/>
      <c r="N31" s="50"/>
      <c r="S31" s="17">
        <v>0.682037353515625</v>
      </c>
      <c r="T31" s="15" t="s">
        <v>26</v>
      </c>
      <c r="U31" s="15"/>
      <c r="V31" s="15"/>
      <c r="W31" s="15"/>
      <c r="X31" s="15"/>
    </row>
    <row r="32" spans="1:24" x14ac:dyDescent="0.25">
      <c r="A32">
        <v>29366</v>
      </c>
      <c r="C32" s="15">
        <v>22</v>
      </c>
      <c r="D32" s="17">
        <f t="shared" si="0"/>
        <v>0.89617919921875</v>
      </c>
      <c r="E32" s="17">
        <v>0.44146728515625</v>
      </c>
      <c r="F32" s="15">
        <f t="shared" si="1"/>
        <v>0.44</v>
      </c>
      <c r="G32" s="18">
        <f t="shared" si="2"/>
        <v>1.4672851562499978E-3</v>
      </c>
      <c r="H32" s="15"/>
      <c r="I32" s="15"/>
      <c r="K32" s="30">
        <f>IF(D32&gt;$N$12,1,0)</f>
        <v>1</v>
      </c>
      <c r="L32" s="30">
        <f t="shared" si="3"/>
        <v>0</v>
      </c>
      <c r="M32" s="50"/>
      <c r="N32" s="50"/>
      <c r="S32" s="17">
        <v>0.89617919921875</v>
      </c>
      <c r="T32" s="15" t="s">
        <v>24</v>
      </c>
      <c r="U32" s="15"/>
      <c r="V32" s="15"/>
      <c r="W32" s="15"/>
      <c r="X32" s="15"/>
    </row>
    <row r="33" spans="1:24" x14ac:dyDescent="0.25">
      <c r="A33">
        <v>31023</v>
      </c>
      <c r="C33" s="15">
        <v>23</v>
      </c>
      <c r="D33" s="17">
        <f t="shared" si="0"/>
        <v>0.946746826171875</v>
      </c>
      <c r="E33" s="17">
        <v>0.44671630859375</v>
      </c>
      <c r="F33" s="15">
        <f t="shared" si="1"/>
        <v>0.46</v>
      </c>
      <c r="G33" s="18">
        <f t="shared" si="2"/>
        <v>1.328369140625002E-2</v>
      </c>
      <c r="H33" s="15"/>
      <c r="I33" s="15"/>
      <c r="K33" s="30">
        <f>IF(D33&gt;$N$12,1,0)</f>
        <v>1</v>
      </c>
      <c r="L33" s="30">
        <f t="shared" si="3"/>
        <v>1</v>
      </c>
      <c r="M33" s="50"/>
      <c r="N33" s="50"/>
      <c r="S33" s="17">
        <v>0.946746826171875</v>
      </c>
      <c r="T33" s="15" t="s">
        <v>26</v>
      </c>
      <c r="U33" s="15"/>
      <c r="V33" s="15"/>
      <c r="W33" s="15"/>
      <c r="X33" s="15"/>
    </row>
    <row r="34" spans="1:24" x14ac:dyDescent="0.25">
      <c r="A34">
        <v>9144</v>
      </c>
      <c r="C34" s="15">
        <v>24</v>
      </c>
      <c r="D34" s="17">
        <f t="shared" si="0"/>
        <v>0.279052734375</v>
      </c>
      <c r="E34" s="17">
        <v>0.463409423828125</v>
      </c>
      <c r="F34" s="15">
        <f t="shared" si="1"/>
        <v>0.48</v>
      </c>
      <c r="G34" s="18">
        <f t="shared" si="2"/>
        <v>1.6590576171874982E-2</v>
      </c>
      <c r="H34" s="15"/>
      <c r="I34" s="15"/>
      <c r="K34" s="30">
        <f>IF(D34&gt;$N$12,1,0)</f>
        <v>0</v>
      </c>
      <c r="L34" s="30">
        <f t="shared" si="3"/>
        <v>0</v>
      </c>
      <c r="M34" s="50"/>
      <c r="N34" s="50"/>
      <c r="S34" s="17">
        <v>0.279052734375</v>
      </c>
      <c r="T34" s="15" t="s">
        <v>26</v>
      </c>
      <c r="U34" s="15"/>
      <c r="V34" s="15"/>
      <c r="W34" s="15"/>
      <c r="X34" s="15"/>
    </row>
    <row r="35" spans="1:24" x14ac:dyDescent="0.25">
      <c r="A35">
        <v>15185</v>
      </c>
      <c r="C35" s="15">
        <v>25</v>
      </c>
      <c r="D35" s="17">
        <f t="shared" si="0"/>
        <v>0.463409423828125</v>
      </c>
      <c r="E35" s="17">
        <v>0.48004150390625</v>
      </c>
      <c r="F35" s="15">
        <f t="shared" si="1"/>
        <v>0.5</v>
      </c>
      <c r="G35" s="18">
        <f t="shared" si="2"/>
        <v>1.995849609375E-2</v>
      </c>
      <c r="H35" s="15"/>
      <c r="I35" s="15"/>
      <c r="K35" s="30">
        <f>IF(D35&gt;$N$12,1,0)</f>
        <v>0</v>
      </c>
      <c r="L35" s="30">
        <f t="shared" si="3"/>
        <v>0</v>
      </c>
      <c r="M35" s="50"/>
      <c r="N35" s="50"/>
      <c r="S35" s="17">
        <v>0.463409423828125</v>
      </c>
      <c r="T35" s="15" t="s">
        <v>24</v>
      </c>
      <c r="U35" s="15"/>
      <c r="V35" s="15"/>
      <c r="W35" s="15"/>
      <c r="X35" s="15"/>
    </row>
    <row r="36" spans="1:24" x14ac:dyDescent="0.25">
      <c r="A36">
        <v>6394</v>
      </c>
      <c r="C36" s="15">
        <v>26</v>
      </c>
      <c r="D36" s="17">
        <f t="shared" si="0"/>
        <v>0.19512939453125</v>
      </c>
      <c r="E36" s="17">
        <v>0.502593994140625</v>
      </c>
      <c r="F36" s="15">
        <f t="shared" si="1"/>
        <v>0.52</v>
      </c>
      <c r="G36" s="18">
        <f t="shared" si="2"/>
        <v>1.7406005859375018E-2</v>
      </c>
      <c r="H36" s="15"/>
      <c r="I36" s="15"/>
      <c r="K36" s="30">
        <f>IF(D36&gt;$N$12,1,0)</f>
        <v>0</v>
      </c>
      <c r="L36" s="30">
        <f t="shared" si="3"/>
        <v>0</v>
      </c>
      <c r="M36" s="50"/>
      <c r="N36" s="50"/>
      <c r="S36" s="17">
        <v>0.19512939453125</v>
      </c>
      <c r="T36" s="15" t="s">
        <v>24</v>
      </c>
      <c r="U36" s="15"/>
      <c r="V36" s="15"/>
      <c r="W36" s="15"/>
      <c r="X36" s="15"/>
    </row>
    <row r="37" spans="1:24" x14ac:dyDescent="0.25">
      <c r="A37">
        <v>9651</v>
      </c>
      <c r="C37" s="15">
        <v>27</v>
      </c>
      <c r="D37" s="17">
        <f t="shared" si="0"/>
        <v>0.294525146484375</v>
      </c>
      <c r="E37" s="17">
        <v>0.52789306640625</v>
      </c>
      <c r="F37" s="15">
        <f t="shared" si="1"/>
        <v>0.54</v>
      </c>
      <c r="G37" s="18">
        <f t="shared" si="2"/>
        <v>1.2106933593750036E-2</v>
      </c>
      <c r="H37" s="15"/>
      <c r="I37" s="15"/>
      <c r="K37" s="30">
        <f>IF(D37&gt;$N$12,1,0)</f>
        <v>0</v>
      </c>
      <c r="L37" s="30">
        <f t="shared" si="3"/>
        <v>1</v>
      </c>
      <c r="M37" s="50"/>
      <c r="N37" s="50"/>
      <c r="S37" s="17">
        <v>0.294525146484375</v>
      </c>
      <c r="T37" s="15" t="s">
        <v>26</v>
      </c>
      <c r="U37" s="15"/>
      <c r="V37" s="15"/>
      <c r="W37" s="15"/>
      <c r="X37" s="15"/>
    </row>
    <row r="38" spans="1:24" x14ac:dyDescent="0.25">
      <c r="A38">
        <v>23164</v>
      </c>
      <c r="C38" s="15">
        <v>28</v>
      </c>
      <c r="D38" s="17">
        <f t="shared" si="0"/>
        <v>0.7069091796875</v>
      </c>
      <c r="E38" s="17">
        <v>0.52850341796875</v>
      </c>
      <c r="F38" s="15">
        <f t="shared" si="1"/>
        <v>0.56000000000000005</v>
      </c>
      <c r="G38" s="18">
        <f t="shared" si="2"/>
        <v>3.1496582031250053E-2</v>
      </c>
      <c r="H38" s="15"/>
      <c r="I38" s="15"/>
      <c r="K38" s="30">
        <f>IF(D38&gt;$N$12,1,0)</f>
        <v>1</v>
      </c>
      <c r="L38" s="30">
        <f t="shared" si="3"/>
        <v>1</v>
      </c>
      <c r="M38" s="50"/>
      <c r="N38" s="50"/>
      <c r="S38" s="17">
        <v>0.7069091796875</v>
      </c>
      <c r="T38" s="15" t="s">
        <v>26</v>
      </c>
      <c r="U38" s="15"/>
      <c r="V38" s="15"/>
      <c r="W38" s="15"/>
      <c r="X38" s="15"/>
    </row>
    <row r="39" spans="1:24" x14ac:dyDescent="0.25">
      <c r="A39">
        <v>16469</v>
      </c>
      <c r="C39" s="15">
        <v>29</v>
      </c>
      <c r="D39" s="17">
        <f t="shared" si="0"/>
        <v>0.502593994140625</v>
      </c>
      <c r="E39" s="17">
        <v>0.606781005859375</v>
      </c>
      <c r="F39" s="15">
        <f t="shared" si="1"/>
        <v>0.57999999999999996</v>
      </c>
      <c r="G39" s="18">
        <f t="shared" si="2"/>
        <v>2.678100585937504E-2</v>
      </c>
      <c r="H39" s="15"/>
      <c r="I39" s="15"/>
      <c r="K39" s="30">
        <f>IF(D39&gt;$N$12,1,0)</f>
        <v>0</v>
      </c>
      <c r="L39" s="30">
        <f t="shared" si="3"/>
        <v>1</v>
      </c>
      <c r="M39" s="50"/>
      <c r="N39" s="50"/>
      <c r="S39" s="17">
        <v>0.502593994140625</v>
      </c>
      <c r="T39" s="15" t="s">
        <v>24</v>
      </c>
      <c r="U39" s="15"/>
      <c r="V39" s="15"/>
      <c r="W39" s="15"/>
      <c r="X39" s="15"/>
    </row>
    <row r="40" spans="1:24" x14ac:dyDescent="0.25">
      <c r="A40">
        <v>28734</v>
      </c>
      <c r="C40" s="15">
        <v>30</v>
      </c>
      <c r="D40" s="17">
        <f t="shared" si="0"/>
        <v>0.87689208984375</v>
      </c>
      <c r="E40" s="17">
        <v>0.633758544921875</v>
      </c>
      <c r="F40" s="15">
        <f t="shared" si="1"/>
        <v>0.6</v>
      </c>
      <c r="G40" s="18">
        <f t="shared" si="2"/>
        <v>3.3758544921875022E-2</v>
      </c>
      <c r="H40" s="15"/>
      <c r="I40" s="15"/>
      <c r="K40" s="30">
        <f>IF(D40&gt;$N$12,1,0)</f>
        <v>1</v>
      </c>
      <c r="L40" s="30">
        <f t="shared" si="3"/>
        <v>1</v>
      </c>
      <c r="M40" s="50"/>
      <c r="N40" s="50"/>
      <c r="S40" s="17">
        <v>0.87689208984375</v>
      </c>
      <c r="T40" s="15" t="s">
        <v>24</v>
      </c>
      <c r="U40" s="15"/>
      <c r="V40" s="15"/>
      <c r="W40" s="15"/>
      <c r="X40" s="15"/>
    </row>
    <row r="41" spans="1:24" x14ac:dyDescent="0.25">
      <c r="A41">
        <v>4919</v>
      </c>
      <c r="C41" s="15">
        <v>31</v>
      </c>
      <c r="D41" s="17">
        <f t="shared" si="0"/>
        <v>0.150115966796875</v>
      </c>
      <c r="E41" s="17">
        <v>0.64361572265625</v>
      </c>
      <c r="F41" s="15">
        <f t="shared" si="1"/>
        <v>0.62</v>
      </c>
      <c r="G41" s="18">
        <f t="shared" si="2"/>
        <v>2.3615722656250004E-2</v>
      </c>
      <c r="H41" s="15"/>
      <c r="I41" s="15"/>
      <c r="K41" s="30">
        <f>IF(D41&gt;$N$12,1,0)</f>
        <v>0</v>
      </c>
      <c r="L41" s="30">
        <f t="shared" si="3"/>
        <v>1</v>
      </c>
      <c r="M41" s="50"/>
      <c r="N41" s="50"/>
      <c r="S41" s="17">
        <v>0.150115966796875</v>
      </c>
      <c r="T41" s="15" t="s">
        <v>24</v>
      </c>
      <c r="U41" s="15"/>
      <c r="V41" s="15"/>
      <c r="W41" s="15"/>
      <c r="X41" s="15"/>
    </row>
    <row r="42" spans="1:24" x14ac:dyDescent="0.25">
      <c r="A42">
        <v>25152</v>
      </c>
      <c r="C42" s="15">
        <v>32</v>
      </c>
      <c r="D42" s="17">
        <f t="shared" si="0"/>
        <v>0.767578125</v>
      </c>
      <c r="E42" s="17">
        <v>0.650604248046875</v>
      </c>
      <c r="F42" s="15">
        <f t="shared" si="1"/>
        <v>0.64</v>
      </c>
      <c r="G42" s="18">
        <f t="shared" si="2"/>
        <v>1.0604248046874987E-2</v>
      </c>
      <c r="H42" s="15"/>
      <c r="I42" s="15"/>
      <c r="K42" s="30">
        <f>IF(D42&gt;$N$12,1,0)</f>
        <v>1</v>
      </c>
      <c r="L42" s="30">
        <f t="shared" si="3"/>
        <v>1</v>
      </c>
      <c r="M42" s="50"/>
      <c r="N42" s="50"/>
      <c r="S42" s="17">
        <v>0.767578125</v>
      </c>
      <c r="T42" s="15" t="s">
        <v>24</v>
      </c>
      <c r="U42" s="15"/>
      <c r="V42" s="15"/>
      <c r="W42" s="15"/>
      <c r="X42" s="15"/>
    </row>
    <row r="43" spans="1:24" x14ac:dyDescent="0.25">
      <c r="A43">
        <v>9817</v>
      </c>
      <c r="C43" s="15">
        <v>33</v>
      </c>
      <c r="D43" s="17">
        <f t="shared" si="0"/>
        <v>0.299591064453125</v>
      </c>
      <c r="E43" s="17">
        <v>0.658477783203125</v>
      </c>
      <c r="F43" s="15">
        <f t="shared" si="1"/>
        <v>0.66</v>
      </c>
      <c r="G43" s="18">
        <f t="shared" si="2"/>
        <v>1.5222167968750311E-3</v>
      </c>
      <c r="H43" s="15"/>
      <c r="I43" s="15"/>
      <c r="K43" s="30">
        <f>IF(D43&gt;$N$12,1,0)</f>
        <v>0</v>
      </c>
      <c r="L43" s="30">
        <f t="shared" si="3"/>
        <v>0</v>
      </c>
      <c r="M43" s="50"/>
      <c r="N43" s="50"/>
      <c r="S43" s="17">
        <v>0.299591064453125</v>
      </c>
      <c r="T43" s="15" t="s">
        <v>35</v>
      </c>
      <c r="U43" s="15"/>
      <c r="V43" s="15"/>
      <c r="W43" s="15"/>
      <c r="X43" s="15"/>
    </row>
    <row r="44" spans="1:24" x14ac:dyDescent="0.25">
      <c r="A44">
        <v>14466</v>
      </c>
      <c r="C44" s="15">
        <v>34</v>
      </c>
      <c r="D44" s="17">
        <f t="shared" si="0"/>
        <v>0.44146728515625</v>
      </c>
      <c r="E44" s="17">
        <v>0.682037353515625</v>
      </c>
      <c r="F44" s="15">
        <f t="shared" si="1"/>
        <v>0.68</v>
      </c>
      <c r="G44" s="18">
        <f t="shared" si="2"/>
        <v>2.0373535156249512E-3</v>
      </c>
      <c r="H44" s="15"/>
      <c r="I44" s="15"/>
      <c r="K44" s="30">
        <f>IF(D44&gt;$N$12,1,0)</f>
        <v>0</v>
      </c>
      <c r="L44" s="30">
        <f t="shared" si="3"/>
        <v>0</v>
      </c>
      <c r="M44" s="50"/>
      <c r="N44" s="50"/>
      <c r="S44" s="17">
        <v>0.44146728515625</v>
      </c>
      <c r="T44" s="15" t="s">
        <v>35</v>
      </c>
      <c r="U44" s="15"/>
      <c r="V44" s="15"/>
      <c r="W44" s="15"/>
      <c r="X44" s="15"/>
    </row>
    <row r="45" spans="1:24" x14ac:dyDescent="0.25">
      <c r="A45">
        <v>443</v>
      </c>
      <c r="C45" s="15">
        <v>35</v>
      </c>
      <c r="D45" s="17">
        <f t="shared" si="0"/>
        <v>1.3519287109375E-2</v>
      </c>
      <c r="E45" s="17">
        <v>0.7069091796875</v>
      </c>
      <c r="F45" s="15">
        <f t="shared" si="1"/>
        <v>0.7</v>
      </c>
      <c r="G45" s="18">
        <f t="shared" si="2"/>
        <v>6.9091796875000444E-3</v>
      </c>
      <c r="H45" s="15"/>
      <c r="I45" s="15"/>
      <c r="K45" s="30">
        <f>IF(D45&gt;$N$12,1,0)</f>
        <v>0</v>
      </c>
      <c r="L45" s="30">
        <f t="shared" si="3"/>
        <v>1</v>
      </c>
      <c r="M45" s="50"/>
      <c r="N45" s="50"/>
      <c r="S45" s="17">
        <v>1.3519287109375E-2</v>
      </c>
      <c r="T45" s="15" t="s">
        <v>26</v>
      </c>
      <c r="U45" s="15"/>
      <c r="V45" s="15"/>
      <c r="W45" s="15"/>
      <c r="X45" s="15"/>
    </row>
    <row r="46" spans="1:24" x14ac:dyDescent="0.25">
      <c r="A46">
        <v>31492</v>
      </c>
      <c r="C46" s="15">
        <v>36</v>
      </c>
      <c r="D46" s="17">
        <f t="shared" si="0"/>
        <v>0.9610595703125</v>
      </c>
      <c r="E46" s="17">
        <v>0.7464599609375</v>
      </c>
      <c r="F46" s="15">
        <f t="shared" si="1"/>
        <v>0.72</v>
      </c>
      <c r="G46" s="18">
        <f t="shared" si="2"/>
        <v>2.6459960937500027E-2</v>
      </c>
      <c r="H46" s="15"/>
      <c r="I46" s="15"/>
      <c r="K46" s="30">
        <f>IF(D46&gt;$N$12,1,0)</f>
        <v>1</v>
      </c>
      <c r="L46" s="30">
        <f t="shared" si="3"/>
        <v>1</v>
      </c>
      <c r="M46" s="50"/>
      <c r="N46" s="50"/>
      <c r="S46" s="17">
        <v>0.9610595703125</v>
      </c>
      <c r="T46" s="15" t="s">
        <v>24</v>
      </c>
      <c r="U46" s="15"/>
      <c r="V46" s="15"/>
      <c r="W46" s="15"/>
      <c r="X46" s="15"/>
    </row>
    <row r="47" spans="1:24" x14ac:dyDescent="0.25">
      <c r="A47">
        <v>11613</v>
      </c>
      <c r="C47" s="15">
        <v>37</v>
      </c>
      <c r="D47" s="17">
        <f t="shared" si="0"/>
        <v>0.354400634765625</v>
      </c>
      <c r="E47" s="17">
        <v>0.763763427734375</v>
      </c>
      <c r="F47" s="15">
        <f t="shared" si="1"/>
        <v>0.74</v>
      </c>
      <c r="G47" s="18">
        <f t="shared" si="2"/>
        <v>2.3763427734375009E-2</v>
      </c>
      <c r="H47" s="15"/>
      <c r="I47" s="15"/>
      <c r="K47" s="30">
        <f>IF(D47&gt;$N$12,1,0)</f>
        <v>0</v>
      </c>
      <c r="L47" s="30">
        <f t="shared" si="3"/>
        <v>0</v>
      </c>
      <c r="M47" s="50"/>
      <c r="N47" s="50"/>
      <c r="S47" s="17">
        <v>0.354400634765625</v>
      </c>
      <c r="T47" s="15" t="s">
        <v>24</v>
      </c>
      <c r="U47" s="15"/>
      <c r="V47" s="15"/>
      <c r="W47" s="15"/>
      <c r="X47" s="15"/>
    </row>
    <row r="48" spans="1:24" x14ac:dyDescent="0.25">
      <c r="A48">
        <v>12742</v>
      </c>
      <c r="C48" s="15">
        <v>38</v>
      </c>
      <c r="D48" s="17">
        <f t="shared" si="0"/>
        <v>0.38885498046875</v>
      </c>
      <c r="E48" s="17">
        <v>0.767578125</v>
      </c>
      <c r="F48" s="15">
        <f t="shared" si="1"/>
        <v>0.76</v>
      </c>
      <c r="G48" s="18">
        <f t="shared" si="2"/>
        <v>7.5781249999999911E-3</v>
      </c>
      <c r="H48" s="15"/>
      <c r="I48" s="15"/>
      <c r="K48" s="30">
        <f>IF(D48&gt;$N$12,1,0)</f>
        <v>0</v>
      </c>
      <c r="L48" s="30">
        <f t="shared" si="3"/>
        <v>0</v>
      </c>
      <c r="M48" s="50"/>
      <c r="N48" s="50"/>
      <c r="S48" s="17">
        <v>0.38885498046875</v>
      </c>
      <c r="T48" s="15" t="s">
        <v>35</v>
      </c>
      <c r="U48" s="15"/>
      <c r="V48" s="15"/>
      <c r="W48" s="15"/>
      <c r="X48" s="15"/>
    </row>
    <row r="49" spans="1:24" x14ac:dyDescent="0.25">
      <c r="A49">
        <v>12607</v>
      </c>
      <c r="C49" s="15">
        <v>39</v>
      </c>
      <c r="D49" s="17">
        <f t="shared" si="0"/>
        <v>0.384735107421875</v>
      </c>
      <c r="E49" s="17">
        <v>0.774627685546875</v>
      </c>
      <c r="F49" s="15">
        <f t="shared" si="1"/>
        <v>0.78</v>
      </c>
      <c r="G49" s="18">
        <f t="shared" si="2"/>
        <v>5.3723144531250266E-3</v>
      </c>
      <c r="H49" s="15"/>
      <c r="I49" s="15"/>
      <c r="K49" s="30">
        <f>IF(D49&gt;$N$12,1,0)</f>
        <v>0</v>
      </c>
      <c r="L49" s="30">
        <f t="shared" si="3"/>
        <v>1</v>
      </c>
      <c r="M49" s="50"/>
      <c r="N49" s="50"/>
      <c r="S49" s="17">
        <v>0.384735107421875</v>
      </c>
      <c r="T49" s="15" t="s">
        <v>24</v>
      </c>
      <c r="U49" s="15"/>
      <c r="V49" s="15"/>
      <c r="W49" s="15"/>
      <c r="X49" s="15"/>
    </row>
    <row r="50" spans="1:24" x14ac:dyDescent="0.25">
      <c r="A50">
        <v>25800</v>
      </c>
      <c r="C50" s="15">
        <v>40</v>
      </c>
      <c r="D50" s="17">
        <f t="shared" si="0"/>
        <v>0.787353515625</v>
      </c>
      <c r="E50" s="17">
        <v>0.787353515625</v>
      </c>
      <c r="F50" s="15">
        <f t="shared" si="1"/>
        <v>0.8</v>
      </c>
      <c r="G50" s="18">
        <f t="shared" si="2"/>
        <v>1.2646484375000044E-2</v>
      </c>
      <c r="H50" s="15"/>
      <c r="I50" s="15"/>
      <c r="K50" s="30">
        <f>IF(D50&gt;$N$12,1,0)</f>
        <v>1</v>
      </c>
      <c r="L50" s="30">
        <f t="shared" si="3"/>
        <v>1</v>
      </c>
      <c r="M50" s="50"/>
      <c r="N50" s="50"/>
      <c r="S50" s="17">
        <v>0.787353515625</v>
      </c>
      <c r="T50" s="15" t="s">
        <v>24</v>
      </c>
      <c r="U50" s="15"/>
      <c r="V50" s="15"/>
      <c r="W50" s="15"/>
      <c r="X50" s="15"/>
    </row>
    <row r="51" spans="1:24" x14ac:dyDescent="0.25">
      <c r="A51">
        <v>5473</v>
      </c>
      <c r="C51" s="15">
        <v>41</v>
      </c>
      <c r="D51" s="17">
        <f t="shared" si="0"/>
        <v>0.167022705078125</v>
      </c>
      <c r="E51" s="17">
        <v>0.7923583984375</v>
      </c>
      <c r="F51" s="15">
        <f t="shared" si="1"/>
        <v>0.82</v>
      </c>
      <c r="G51" s="18">
        <f t="shared" si="2"/>
        <v>2.7641601562499951E-2</v>
      </c>
      <c r="H51" s="15"/>
      <c r="I51" s="15"/>
      <c r="K51" s="30">
        <f>IF(D51&gt;$N$12,1,0)</f>
        <v>0</v>
      </c>
      <c r="L51" s="30">
        <f t="shared" si="3"/>
        <v>0</v>
      </c>
      <c r="M51" s="50"/>
      <c r="N51" s="50"/>
      <c r="S51" s="17">
        <v>0.167022705078125</v>
      </c>
      <c r="T51" s="15" t="s">
        <v>26</v>
      </c>
      <c r="U51" s="15"/>
      <c r="V51" s="15"/>
      <c r="W51" s="15"/>
      <c r="X51" s="15"/>
    </row>
    <row r="52" spans="1:24" x14ac:dyDescent="0.25">
      <c r="A52">
        <v>7178</v>
      </c>
      <c r="C52" s="15">
        <v>42</v>
      </c>
      <c r="D52" s="17">
        <f t="shared" si="0"/>
        <v>0.21905517578125</v>
      </c>
      <c r="E52" s="17">
        <v>0.87689208984375</v>
      </c>
      <c r="F52" s="15">
        <f t="shared" si="1"/>
        <v>0.84</v>
      </c>
      <c r="G52" s="18">
        <f t="shared" si="2"/>
        <v>3.6892089843750031E-2</v>
      </c>
      <c r="H52" s="15"/>
      <c r="I52" s="15"/>
      <c r="K52" s="30">
        <f>IF(D52&gt;$N$12,1,0)</f>
        <v>0</v>
      </c>
      <c r="L52" s="30">
        <f t="shared" si="3"/>
        <v>1</v>
      </c>
      <c r="M52" s="50"/>
      <c r="N52" s="50"/>
      <c r="S52" s="17">
        <v>0.21905517578125</v>
      </c>
      <c r="T52" s="15" t="s">
        <v>26</v>
      </c>
      <c r="U52" s="15"/>
      <c r="V52" s="15"/>
      <c r="W52" s="15"/>
      <c r="X52" s="15"/>
    </row>
    <row r="53" spans="1:24" x14ac:dyDescent="0.25">
      <c r="A53">
        <v>25027</v>
      </c>
      <c r="C53" s="15">
        <v>43</v>
      </c>
      <c r="D53" s="17">
        <f t="shared" si="0"/>
        <v>0.763763427734375</v>
      </c>
      <c r="E53" s="17">
        <v>0.884796142578125</v>
      </c>
      <c r="F53" s="15">
        <f t="shared" si="1"/>
        <v>0.86</v>
      </c>
      <c r="G53" s="18">
        <f t="shared" si="2"/>
        <v>2.4796142578125013E-2</v>
      </c>
      <c r="H53" s="15"/>
      <c r="I53" s="15"/>
      <c r="K53" s="30">
        <f>IF(D53&gt;$N$12,1,0)</f>
        <v>1</v>
      </c>
      <c r="L53" s="30">
        <f t="shared" si="3"/>
        <v>0</v>
      </c>
      <c r="M53" s="50"/>
      <c r="N53" s="50"/>
      <c r="S53" s="17">
        <v>0.763763427734375</v>
      </c>
      <c r="T53" s="15" t="s">
        <v>24</v>
      </c>
      <c r="U53" s="15"/>
      <c r="V53" s="15"/>
      <c r="W53" s="15"/>
      <c r="X53" s="15"/>
    </row>
    <row r="54" spans="1:24" x14ac:dyDescent="0.25">
      <c r="A54">
        <v>24460</v>
      </c>
      <c r="C54" s="15">
        <v>44</v>
      </c>
      <c r="D54" s="17">
        <f t="shared" si="0"/>
        <v>0.7464599609375</v>
      </c>
      <c r="E54" s="17">
        <v>0.892730712890625</v>
      </c>
      <c r="F54" s="15">
        <f t="shared" si="1"/>
        <v>0.88</v>
      </c>
      <c r="G54" s="18">
        <f t="shared" si="2"/>
        <v>1.2730712890624996E-2</v>
      </c>
      <c r="H54" s="15"/>
      <c r="I54" s="15"/>
      <c r="K54" s="30">
        <f>IF(D54&gt;$N$12,1,0)</f>
        <v>1</v>
      </c>
      <c r="L54" s="30">
        <f t="shared" si="3"/>
        <v>1</v>
      </c>
      <c r="M54" s="50"/>
      <c r="N54" s="50"/>
      <c r="S54" s="17">
        <v>0.7464599609375</v>
      </c>
      <c r="T54" s="15" t="s">
        <v>24</v>
      </c>
      <c r="U54" s="15"/>
      <c r="V54" s="15"/>
      <c r="W54" s="15"/>
      <c r="X54" s="15"/>
    </row>
    <row r="55" spans="1:24" x14ac:dyDescent="0.25">
      <c r="A55">
        <v>7781</v>
      </c>
      <c r="C55" s="15">
        <v>45</v>
      </c>
      <c r="D55" s="17">
        <f t="shared" si="0"/>
        <v>0.237457275390625</v>
      </c>
      <c r="E55" s="17">
        <v>0.895751953125</v>
      </c>
      <c r="F55" s="15">
        <f t="shared" si="1"/>
        <v>0.9</v>
      </c>
      <c r="G55" s="18">
        <f t="shared" si="2"/>
        <v>4.2480468750000222E-3</v>
      </c>
      <c r="H55" s="15"/>
      <c r="I55" s="15"/>
      <c r="K55" s="30">
        <f>IF(D55&gt;$N$12,1,0)</f>
        <v>0</v>
      </c>
      <c r="L55" s="30">
        <f t="shared" si="3"/>
        <v>0</v>
      </c>
      <c r="M55" s="50"/>
      <c r="N55" s="50"/>
      <c r="S55" s="17">
        <v>0.237457275390625</v>
      </c>
      <c r="T55" s="15" t="s">
        <v>26</v>
      </c>
      <c r="U55" s="15"/>
      <c r="V55" s="15"/>
      <c r="W55" s="15"/>
      <c r="X55" s="15"/>
    </row>
    <row r="56" spans="1:24" x14ac:dyDescent="0.25">
      <c r="A56">
        <v>14158</v>
      </c>
      <c r="C56" s="15">
        <v>46</v>
      </c>
      <c r="D56" s="17">
        <f t="shared" si="0"/>
        <v>0.43206787109375</v>
      </c>
      <c r="E56" s="17">
        <v>0.89617919921875</v>
      </c>
      <c r="F56" s="15">
        <f t="shared" si="1"/>
        <v>0.92</v>
      </c>
      <c r="G56" s="18">
        <f t="shared" si="2"/>
        <v>2.382080078125004E-2</v>
      </c>
      <c r="H56" s="15"/>
      <c r="I56" s="15"/>
      <c r="K56" s="30">
        <f>IF(D56&gt;$N$12,1,0)</f>
        <v>0</v>
      </c>
      <c r="L56" s="30">
        <f t="shared" si="3"/>
        <v>1</v>
      </c>
      <c r="M56" s="50"/>
      <c r="N56" s="50"/>
      <c r="S56" s="17">
        <v>0.43206787109375</v>
      </c>
      <c r="T56" s="15" t="s">
        <v>26</v>
      </c>
      <c r="U56" s="15"/>
      <c r="V56" s="15"/>
      <c r="W56" s="15"/>
      <c r="X56" s="15"/>
    </row>
    <row r="57" spans="1:24" x14ac:dyDescent="0.25">
      <c r="A57">
        <v>21319</v>
      </c>
      <c r="C57" s="15">
        <v>47</v>
      </c>
      <c r="D57" s="17">
        <f t="shared" si="0"/>
        <v>0.650604248046875</v>
      </c>
      <c r="E57" s="17">
        <v>0.946746826171875</v>
      </c>
      <c r="F57" s="15">
        <f t="shared" si="1"/>
        <v>0.94</v>
      </c>
      <c r="G57" s="18">
        <f t="shared" si="2"/>
        <v>6.7468261718750533E-3</v>
      </c>
      <c r="H57" s="15"/>
      <c r="I57" s="15"/>
      <c r="K57" s="30">
        <f>IF(D57&gt;$N$12,1,0)</f>
        <v>1</v>
      </c>
      <c r="L57" s="30">
        <f t="shared" si="3"/>
        <v>1</v>
      </c>
      <c r="M57" s="50"/>
      <c r="N57" s="50"/>
      <c r="S57" s="17">
        <v>0.650604248046875</v>
      </c>
      <c r="T57" s="15" t="s">
        <v>37</v>
      </c>
      <c r="U57" s="15"/>
      <c r="V57" s="15"/>
      <c r="W57" s="15"/>
      <c r="X57" s="15"/>
    </row>
    <row r="58" spans="1:24" x14ac:dyDescent="0.25">
      <c r="A58">
        <v>11088</v>
      </c>
      <c r="C58" s="15">
        <v>48</v>
      </c>
      <c r="D58" s="17">
        <f t="shared" si="0"/>
        <v>0.33837890625</v>
      </c>
      <c r="E58" s="17">
        <v>0.950286865234375</v>
      </c>
      <c r="F58" s="15">
        <f t="shared" si="1"/>
        <v>0.96</v>
      </c>
      <c r="G58" s="18">
        <f t="shared" si="2"/>
        <v>9.7131347656249645E-3</v>
      </c>
      <c r="H58" s="15"/>
      <c r="I58" s="15"/>
      <c r="K58" s="30">
        <f>IF(D58&gt;$N$12,1,0)</f>
        <v>0</v>
      </c>
      <c r="L58" s="30">
        <f t="shared" si="3"/>
        <v>0</v>
      </c>
      <c r="M58" s="50"/>
      <c r="N58" s="50"/>
      <c r="S58" s="17">
        <v>0.33837890625</v>
      </c>
      <c r="T58" s="15" t="s">
        <v>66</v>
      </c>
      <c r="U58" s="15"/>
      <c r="V58" s="15"/>
      <c r="W58" s="15"/>
      <c r="X58" s="15"/>
    </row>
    <row r="59" spans="1:24" x14ac:dyDescent="0.25">
      <c r="A59">
        <v>2153</v>
      </c>
      <c r="C59" s="15">
        <v>49</v>
      </c>
      <c r="D59" s="17">
        <f t="shared" si="0"/>
        <v>6.5704345703125E-2</v>
      </c>
      <c r="E59" s="17">
        <v>0.9610595703125</v>
      </c>
      <c r="F59" s="15">
        <f t="shared" si="1"/>
        <v>0.98</v>
      </c>
      <c r="G59" s="18">
        <f t="shared" si="2"/>
        <v>1.8940429687499982E-2</v>
      </c>
      <c r="H59" s="15"/>
      <c r="I59" s="15"/>
      <c r="K59" s="30">
        <f>IF(D59&gt;$N$12,1,0)</f>
        <v>0</v>
      </c>
      <c r="L59" s="30">
        <f t="shared" si="3"/>
        <v>1</v>
      </c>
      <c r="M59" s="50"/>
      <c r="N59" s="50"/>
      <c r="S59" s="17">
        <v>6.5704345703125E-2</v>
      </c>
      <c r="T59" s="15" t="s">
        <v>24</v>
      </c>
      <c r="U59" s="15"/>
      <c r="V59" s="15"/>
      <c r="W59" s="15"/>
      <c r="X59" s="15"/>
    </row>
    <row r="60" spans="1:24" x14ac:dyDescent="0.25">
      <c r="A60">
        <v>17298</v>
      </c>
      <c r="C60" s="15">
        <v>50</v>
      </c>
      <c r="D60" s="17">
        <f t="shared" si="0"/>
        <v>0.52789306640625</v>
      </c>
      <c r="E60" s="17">
        <v>0.9840087890625</v>
      </c>
      <c r="F60" s="15">
        <f>C60/50</f>
        <v>1</v>
      </c>
      <c r="G60" s="18">
        <f t="shared" si="2"/>
        <v>1.59912109375E-2</v>
      </c>
      <c r="H60" s="15"/>
      <c r="I60" s="15"/>
      <c r="K60" s="30">
        <f>IF(D60&gt;$N$12,1,0)</f>
        <v>1</v>
      </c>
      <c r="L60" s="30">
        <f>IF(Q12&lt;&gt;K60,1,0)</f>
        <v>1</v>
      </c>
      <c r="M60" s="50"/>
      <c r="N60" s="50"/>
      <c r="S60" s="17">
        <v>0.52789306640625</v>
      </c>
      <c r="T60" s="15" t="s">
        <v>26</v>
      </c>
      <c r="U60" s="15"/>
      <c r="V60" s="15"/>
      <c r="W60" s="15"/>
      <c r="X60" s="15"/>
    </row>
  </sheetData>
  <sortState ref="E11:E60">
    <sortCondition ref="E11:E60"/>
  </sortState>
  <pageMargins left="0.7" right="0.7" top="0.75" bottom="0.75" header="0.3" footer="0.3"/>
  <pageSetup paperSize="9" scale="76" orientation="portrait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2"/>
  <sheetViews>
    <sheetView workbookViewId="0">
      <selection activeCell="M7" sqref="M7"/>
    </sheetView>
  </sheetViews>
  <sheetFormatPr baseColWidth="10" defaultColWidth="11.42578125" defaultRowHeight="15" x14ac:dyDescent="0.25"/>
  <cols>
    <col min="7" max="7" width="17.85546875" bestFit="1" customWidth="1"/>
    <col min="8" max="8" width="16.140625" bestFit="1" customWidth="1"/>
    <col min="9" max="9" width="17.85546875" bestFit="1" customWidth="1"/>
  </cols>
  <sheetData>
    <row r="2" spans="4:9" x14ac:dyDescent="0.25">
      <c r="G2" s="51" t="s">
        <v>79</v>
      </c>
      <c r="H2" t="s">
        <v>78</v>
      </c>
      <c r="I2" t="s">
        <v>30</v>
      </c>
    </row>
    <row r="3" spans="4:9" x14ac:dyDescent="0.25">
      <c r="D3" s="11" t="str">
        <f>'1'!$D$7</f>
        <v>X0= 20</v>
      </c>
      <c r="E3" s="11" t="str">
        <f>'1'!$E$7</f>
        <v>A=9</v>
      </c>
      <c r="F3" s="11" t="str">
        <f>'1'!$F$7</f>
        <v>C=13</v>
      </c>
      <c r="G3" s="46" t="str">
        <f>'1'!$E$6</f>
        <v>No se rechaza Ho</v>
      </c>
      <c r="H3" s="46" t="str">
        <f>'1'!$M$5</f>
        <v>No se rechaza Ho</v>
      </c>
      <c r="I3" s="46" t="str">
        <f>'1'!$Y$6</f>
        <v>NO SE RECHAZA Ho</v>
      </c>
    </row>
    <row r="4" spans="4:9" x14ac:dyDescent="0.25">
      <c r="D4" s="11" t="str">
        <f>'2'!D$7</f>
        <v>X0= 17</v>
      </c>
      <c r="E4" s="11" t="str">
        <f>'2'!E$7</f>
        <v>A=5</v>
      </c>
      <c r="F4" s="11" t="str">
        <f>'2'!F$7</f>
        <v>C=13</v>
      </c>
      <c r="G4" s="46" t="str">
        <f>'2'!$E$6</f>
        <v>NO SE RECHAZA Ho</v>
      </c>
      <c r="H4" s="47" t="str">
        <f>'2'!$L$5</f>
        <v>Se Rechaza Ho</v>
      </c>
      <c r="I4" s="46" t="str">
        <f>'1'!$Y$6</f>
        <v>NO SE RECHAZA Ho</v>
      </c>
    </row>
    <row r="5" spans="4:9" x14ac:dyDescent="0.25">
      <c r="D5" s="11" t="str">
        <f>'3'!D$7</f>
        <v>X0= 2</v>
      </c>
      <c r="E5" s="11" t="str">
        <f>'3'!E$7</f>
        <v>A=29</v>
      </c>
      <c r="F5" s="11" t="str">
        <f>'3'!F$7</f>
        <v>C=9</v>
      </c>
      <c r="G5" s="46" t="str">
        <f>'3'!$E$6</f>
        <v>No se rechaza Ho</v>
      </c>
      <c r="H5" s="46" t="str">
        <f>'3'!$L$5</f>
        <v>No se rechaza Ho</v>
      </c>
      <c r="I5" s="46" t="str">
        <f>'1'!$Y$6</f>
        <v>NO SE RECHAZA Ho</v>
      </c>
    </row>
    <row r="6" spans="4:9" x14ac:dyDescent="0.25">
      <c r="D6" s="11" t="str">
        <f>'4'!D$7</f>
        <v>X0= 17</v>
      </c>
      <c r="E6" s="11" t="str">
        <f>'4'!E$7</f>
        <v>A=21</v>
      </c>
      <c r="F6" s="11" t="str">
        <f>'4'!F$7</f>
        <v>C=5</v>
      </c>
      <c r="G6" s="46" t="str">
        <f>'4'!$E$6</f>
        <v>No se rechaza Ho</v>
      </c>
      <c r="H6" s="46" t="str">
        <f>'4'!$L$5</f>
        <v>No se rechaza Ho</v>
      </c>
      <c r="I6" s="46" t="str">
        <f>'1'!$Y$6</f>
        <v>NO SE RECHAZA Ho</v>
      </c>
    </row>
    <row r="7" spans="4:9" x14ac:dyDescent="0.25">
      <c r="D7" s="11" t="str">
        <f>'5'!D$7</f>
        <v>X0= 24</v>
      </c>
      <c r="E7" s="11" t="str">
        <f>'5'!E$7</f>
        <v>A=13</v>
      </c>
      <c r="F7" s="11" t="str">
        <f>'5'!F$7</f>
        <v>C=1</v>
      </c>
      <c r="G7" s="46" t="str">
        <f>'5'!$E$6</f>
        <v>No se rechaza Ho</v>
      </c>
      <c r="H7" s="46" t="str">
        <f>'5'!$L$5</f>
        <v>No se rechaza Ho</v>
      </c>
      <c r="I7" s="46" t="str">
        <f>'1'!$Y$6</f>
        <v>NO SE RECHAZA Ho</v>
      </c>
    </row>
    <row r="8" spans="4:9" x14ac:dyDescent="0.25">
      <c r="D8" s="11" t="str">
        <f>'6'!D7</f>
        <v>X0= 10</v>
      </c>
      <c r="E8" s="11" t="str">
        <f>'6'!E7</f>
        <v>A=5</v>
      </c>
      <c r="F8" s="11" t="str">
        <f>'6'!F7</f>
        <v>C=1</v>
      </c>
      <c r="G8" s="46" t="str">
        <f>'6'!$E$6</f>
        <v>No se rechaza Ho</v>
      </c>
      <c r="H8" s="46" t="str">
        <f>'6'!$L$5</f>
        <v>No se rechaza Ho</v>
      </c>
      <c r="I8" s="46" t="str">
        <f>'1'!$Y$6</f>
        <v>NO SE RECHAZA Ho</v>
      </c>
    </row>
    <row r="9" spans="4:9" x14ac:dyDescent="0.25">
      <c r="D9" s="11" t="str">
        <f>'7'!D$7</f>
        <v>X0= 12</v>
      </c>
      <c r="E9" s="11" t="str">
        <f>'7'!E$7</f>
        <v>A=29</v>
      </c>
      <c r="F9" s="11" t="str">
        <f>'7'!F$7</f>
        <v>C=25</v>
      </c>
      <c r="G9" s="46" t="str">
        <f>'7'!$E$6</f>
        <v>No se rechaza Ho</v>
      </c>
      <c r="H9" s="46" t="str">
        <f>'7'!$L$5</f>
        <v>No se rechaza Ho</v>
      </c>
      <c r="I9" s="46" t="str">
        <f>'1'!$Y$6</f>
        <v>NO SE RECHAZA Ho</v>
      </c>
    </row>
    <row r="10" spans="4:9" x14ac:dyDescent="0.25">
      <c r="D10" s="11" t="str">
        <f>'8'!D7</f>
        <v>X0= 29</v>
      </c>
      <c r="E10" s="11" t="str">
        <f>'8'!E7</f>
        <v>A=17</v>
      </c>
      <c r="F10" s="11" t="str">
        <f>'8'!F7</f>
        <v>C=13</v>
      </c>
      <c r="G10" s="46" t="str">
        <f>'8'!$E$6</f>
        <v>No se rechaza Ho</v>
      </c>
      <c r="H10" s="46" t="str">
        <f>'8'!$L$5</f>
        <v>No se rechaza Ho</v>
      </c>
      <c r="I10" s="46" t="str">
        <f>'1'!$Y$6</f>
        <v>NO SE RECHAZA Ho</v>
      </c>
    </row>
    <row r="11" spans="4:9" x14ac:dyDescent="0.25">
      <c r="D11" s="11" t="str">
        <f>'9'!D7</f>
        <v>X0= 10</v>
      </c>
      <c r="E11" s="11" t="str">
        <f>'9'!E7</f>
        <v>A=25</v>
      </c>
      <c r="F11" s="11" t="str">
        <f>'9'!F7</f>
        <v>C=5</v>
      </c>
      <c r="G11" s="46" t="str">
        <f>'9'!$E$6</f>
        <v>No se rechaza Ho</v>
      </c>
      <c r="H11" s="46" t="str">
        <f>'9'!$L$5</f>
        <v>No se rechaza Ho</v>
      </c>
      <c r="I11" s="46" t="str">
        <f>'1'!$Y$6</f>
        <v>NO SE RECHAZA Ho</v>
      </c>
    </row>
    <row r="12" spans="4:9" x14ac:dyDescent="0.25">
      <c r="D12" s="11" t="str">
        <f>'10'!D7</f>
        <v>X0= 32</v>
      </c>
      <c r="E12" s="11" t="str">
        <f>'10'!E7</f>
        <v>A=145</v>
      </c>
      <c r="F12" s="11" t="str">
        <f>'10'!F7</f>
        <v>C=25</v>
      </c>
      <c r="G12" s="46" t="str">
        <f>'10'!$E$6</f>
        <v>No se rechaza Ho</v>
      </c>
      <c r="H12" s="46" t="str">
        <f>'10'!$L$5</f>
        <v>No se rechaza Ho</v>
      </c>
      <c r="I12" s="46" t="str">
        <f>'1'!$Y$6</f>
        <v>NO SE RECHAZA Ho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0"/>
  <sheetViews>
    <sheetView view="pageBreakPreview" zoomScale="60" zoomScaleNormal="75" workbookViewId="0">
      <selection activeCell="Q13" sqref="Q13"/>
    </sheetView>
  </sheetViews>
  <sheetFormatPr baseColWidth="10" defaultColWidth="11.42578125" defaultRowHeight="15" x14ac:dyDescent="0.25"/>
  <cols>
    <col min="3" max="3" width="17.42578125" customWidth="1"/>
    <col min="5" max="5" width="20.28515625" customWidth="1"/>
    <col min="6" max="6" width="17.28515625" customWidth="1"/>
    <col min="9" max="9" width="11.42578125" customWidth="1"/>
    <col min="10" max="10" width="23.42578125" customWidth="1"/>
    <col min="13" max="13" width="20" bestFit="1" customWidth="1"/>
    <col min="14" max="14" width="15.7109375" customWidth="1"/>
    <col min="15" max="15" width="15.5703125" customWidth="1"/>
    <col min="16" max="16" width="10.7109375" customWidth="1"/>
    <col min="17" max="17" width="16.5703125" customWidth="1"/>
    <col min="18" max="18" width="21.140625" customWidth="1"/>
    <col min="19" max="19" width="20.5703125" customWidth="1"/>
    <col min="20" max="20" width="17.140625" customWidth="1"/>
    <col min="23" max="23" width="23.7109375" bestFit="1" customWidth="1"/>
    <col min="24" max="24" width="27.28515625" bestFit="1" customWidth="1"/>
    <col min="25" max="25" width="25.5703125" bestFit="1" customWidth="1"/>
    <col min="26" max="26" width="19.42578125" bestFit="1" customWidth="1"/>
    <col min="27" max="27" width="18.28515625" bestFit="1" customWidth="1"/>
  </cols>
  <sheetData>
    <row r="3" spans="1:25" x14ac:dyDescent="0.25">
      <c r="E3" t="s">
        <v>47</v>
      </c>
      <c r="W3" t="s">
        <v>48</v>
      </c>
    </row>
    <row r="4" spans="1:25" x14ac:dyDescent="0.25">
      <c r="L4" t="s">
        <v>0</v>
      </c>
    </row>
    <row r="5" spans="1:25" x14ac:dyDescent="0.25">
      <c r="E5" s="2" t="s">
        <v>49</v>
      </c>
      <c r="K5" s="30"/>
      <c r="L5" s="45" t="str">
        <f>IF(AND(L7&gt;=K7,L7&lt;=M7),"No se rechaza Ho","Se Rechaza Ho")</f>
        <v>Se Rechaza Ho</v>
      </c>
      <c r="M5" s="45"/>
      <c r="W5" s="2" t="s">
        <v>2</v>
      </c>
    </row>
    <row r="6" spans="1:25" x14ac:dyDescent="0.25">
      <c r="E6" s="2" t="s">
        <v>7</v>
      </c>
      <c r="K6" s="43" t="s">
        <v>4</v>
      </c>
      <c r="L6" s="43" t="s">
        <v>5</v>
      </c>
      <c r="M6" s="43" t="s">
        <v>6</v>
      </c>
      <c r="W6" s="2" t="s">
        <v>7</v>
      </c>
    </row>
    <row r="7" spans="1:25" x14ac:dyDescent="0.25">
      <c r="D7" s="1" t="s">
        <v>50</v>
      </c>
      <c r="E7" s="1" t="s">
        <v>51</v>
      </c>
      <c r="F7" s="1" t="s">
        <v>10</v>
      </c>
      <c r="K7" s="30">
        <f>N23*-1</f>
        <v>-1.96</v>
      </c>
      <c r="L7" s="30">
        <f>R25</f>
        <v>-2.0708667921625001</v>
      </c>
      <c r="M7" s="30">
        <f>K7*-1</f>
        <v>1.96</v>
      </c>
      <c r="V7" s="1" t="s">
        <v>50</v>
      </c>
      <c r="W7" s="1" t="s">
        <v>51</v>
      </c>
      <c r="X7" s="1" t="s">
        <v>10</v>
      </c>
    </row>
    <row r="9" spans="1:25" ht="19.5" customHeight="1" x14ac:dyDescent="0.25"/>
    <row r="10" spans="1:25" ht="44.25" customHeight="1" x14ac:dyDescent="0.25">
      <c r="A10" s="3" t="s">
        <v>11</v>
      </c>
      <c r="C10" s="19"/>
      <c r="D10" s="19" t="s">
        <v>12</v>
      </c>
      <c r="E10" s="20" t="s">
        <v>52</v>
      </c>
      <c r="F10" s="20" t="s">
        <v>53</v>
      </c>
      <c r="G10" s="20" t="s">
        <v>54</v>
      </c>
      <c r="H10" s="20" t="s">
        <v>55</v>
      </c>
      <c r="I10" s="20" t="s">
        <v>17</v>
      </c>
      <c r="K10" s="52" t="s">
        <v>80</v>
      </c>
      <c r="L10" s="31" t="s">
        <v>18</v>
      </c>
      <c r="M10" s="49"/>
      <c r="T10" s="19" t="s">
        <v>19</v>
      </c>
      <c r="U10" s="19" t="s">
        <v>20</v>
      </c>
      <c r="V10" s="19" t="s">
        <v>21</v>
      </c>
      <c r="W10" s="21"/>
      <c r="X10" s="19" t="s">
        <v>22</v>
      </c>
      <c r="Y10" s="19" t="s">
        <v>23</v>
      </c>
    </row>
    <row r="11" spans="1:25" x14ac:dyDescent="0.25">
      <c r="A11">
        <v>98</v>
      </c>
      <c r="C11" s="19">
        <v>1</v>
      </c>
      <c r="D11" s="25">
        <f>A11/32768</f>
        <v>2.99072265625E-3</v>
      </c>
      <c r="E11" s="25">
        <v>2.99072265625E-3</v>
      </c>
      <c r="F11" s="19">
        <f>C11/50</f>
        <v>0.02</v>
      </c>
      <c r="G11" s="26">
        <f>ABS(E11-F11)</f>
        <v>1.700927734375E-2</v>
      </c>
      <c r="H11" s="26">
        <f>MAX(G11:G60)</f>
        <v>9.4820556640625053E-2</v>
      </c>
      <c r="I11" s="19">
        <v>0.188</v>
      </c>
      <c r="K11" s="30">
        <f t="shared" ref="K11:K42" si="0">IF(D11&gt;$N$19,1,0)</f>
        <v>0</v>
      </c>
      <c r="L11" s="30">
        <f>K11</f>
        <v>0</v>
      </c>
      <c r="M11" s="50"/>
      <c r="T11" s="22">
        <f>D11</f>
        <v>2.99072265625E-3</v>
      </c>
      <c r="U11" s="23" t="s">
        <v>37</v>
      </c>
      <c r="V11" s="23">
        <f>COUNTIF(W11:W60, "td")</f>
        <v>0</v>
      </c>
      <c r="W11" s="23" t="s">
        <v>25</v>
      </c>
      <c r="X11" s="23">
        <f>50*0.3024</f>
        <v>15.120000000000001</v>
      </c>
      <c r="Y11" s="24">
        <f>ABS((20 - 15.2)* (20 - 15.2)/ 15.12)</f>
        <v>1.5238095238095244</v>
      </c>
    </row>
    <row r="12" spans="1:25" x14ac:dyDescent="0.25">
      <c r="A12">
        <v>503</v>
      </c>
      <c r="C12" s="19">
        <v>2</v>
      </c>
      <c r="D12" s="25">
        <f t="shared" ref="D12:D42" si="1">A12/32768</f>
        <v>1.5350341796875E-2</v>
      </c>
      <c r="E12" s="25">
        <v>1.5350341796875E-2</v>
      </c>
      <c r="F12" s="19">
        <f t="shared" ref="F12:F59" si="2">C12/50</f>
        <v>0.04</v>
      </c>
      <c r="G12" s="26">
        <f t="shared" ref="G12:G60" si="3">ABS(E12-F12)</f>
        <v>2.4649658203125001E-2</v>
      </c>
      <c r="H12" s="19"/>
      <c r="I12" s="19"/>
      <c r="K12" s="30">
        <f t="shared" si="0"/>
        <v>0</v>
      </c>
      <c r="L12" s="30">
        <f>IF(K13&lt;&gt;K12,1,0)</f>
        <v>0</v>
      </c>
      <c r="M12" s="50"/>
      <c r="T12" s="22">
        <f>D12</f>
        <v>1.5350341796875E-2</v>
      </c>
      <c r="U12" s="23" t="s">
        <v>24</v>
      </c>
      <c r="V12" s="23">
        <f>COUNTIF(W11:W60, "1p")</f>
        <v>1</v>
      </c>
      <c r="W12" s="23" t="s">
        <v>27</v>
      </c>
      <c r="X12" s="23">
        <f>50*0.504</f>
        <v>25.2</v>
      </c>
      <c r="Y12" s="24">
        <f>ABS((18-25.2)*(18-25.2)/25.2)</f>
        <v>2.0571428571428569</v>
      </c>
    </row>
    <row r="13" spans="1:25" x14ac:dyDescent="0.25">
      <c r="A13">
        <v>2528</v>
      </c>
      <c r="C13" s="19">
        <v>3</v>
      </c>
      <c r="D13" s="25">
        <f t="shared" si="1"/>
        <v>7.71484375E-2</v>
      </c>
      <c r="E13" s="25">
        <v>2.2125244140625E-2</v>
      </c>
      <c r="F13" s="19">
        <f t="shared" si="2"/>
        <v>0.06</v>
      </c>
      <c r="G13" s="26">
        <f t="shared" si="3"/>
        <v>3.7874755859374998E-2</v>
      </c>
      <c r="H13" s="19"/>
      <c r="I13" s="19"/>
      <c r="K13" s="30">
        <f t="shared" si="0"/>
        <v>0</v>
      </c>
      <c r="L13" s="30">
        <f t="shared" ref="L13:L59" si="4">IF(K14&lt;&gt;K13,1,0)</f>
        <v>0</v>
      </c>
      <c r="M13" s="50"/>
      <c r="T13" s="22">
        <f>D13</f>
        <v>7.71484375E-2</v>
      </c>
      <c r="U13" s="23" t="s">
        <v>24</v>
      </c>
      <c r="V13" s="23">
        <f>COUNTIF(P11:P62, "2p")</f>
        <v>0</v>
      </c>
      <c r="W13" s="23" t="s">
        <v>28</v>
      </c>
      <c r="X13" s="23">
        <f>50*0.108</f>
        <v>5.4</v>
      </c>
      <c r="Y13" s="24">
        <f>ABS((6-5.4)*(6-5.4)/5.4)</f>
        <v>6.6666666666666582E-2</v>
      </c>
    </row>
    <row r="14" spans="1:25" x14ac:dyDescent="0.25">
      <c r="A14">
        <v>12653</v>
      </c>
      <c r="C14" s="19">
        <v>4</v>
      </c>
      <c r="D14" s="25">
        <f t="shared" si="1"/>
        <v>0.386138916015625</v>
      </c>
      <c r="E14" s="25">
        <v>6.38427734375E-2</v>
      </c>
      <c r="F14" s="19">
        <f t="shared" si="2"/>
        <v>0.08</v>
      </c>
      <c r="G14" s="26">
        <f t="shared" si="3"/>
        <v>1.6157226562500002E-2</v>
      </c>
      <c r="H14" s="19"/>
      <c r="I14" s="19"/>
      <c r="K14" s="30">
        <f t="shared" si="0"/>
        <v>0</v>
      </c>
      <c r="L14" s="30">
        <f t="shared" si="4"/>
        <v>1</v>
      </c>
      <c r="M14" s="50"/>
      <c r="T14" s="22">
        <f>D14</f>
        <v>0.386138916015625</v>
      </c>
      <c r="U14" s="23" t="s">
        <v>26</v>
      </c>
      <c r="V14" s="23">
        <f>COUNTIF(P11:P63, "ter")</f>
        <v>0</v>
      </c>
      <c r="W14" s="23" t="s">
        <v>29</v>
      </c>
      <c r="X14" s="23">
        <f>50*0.072</f>
        <v>3.5999999999999996</v>
      </c>
      <c r="Y14" s="24">
        <f>ABS((5-3.6)^2/3.6)</f>
        <v>0.5444444444444444</v>
      </c>
    </row>
    <row r="15" spans="1:25" x14ac:dyDescent="0.25">
      <c r="A15">
        <v>30510</v>
      </c>
      <c r="C15" s="19">
        <v>5</v>
      </c>
      <c r="D15" s="25">
        <f t="shared" si="1"/>
        <v>0.93109130859375</v>
      </c>
      <c r="E15" s="25">
        <v>7.71484375E-2</v>
      </c>
      <c r="F15" s="19">
        <f t="shared" si="2"/>
        <v>0.1</v>
      </c>
      <c r="G15" s="26">
        <f t="shared" si="3"/>
        <v>2.2851562500000006E-2</v>
      </c>
      <c r="H15" s="19"/>
      <c r="I15" s="19"/>
      <c r="K15" s="30">
        <f t="shared" si="0"/>
        <v>1</v>
      </c>
      <c r="L15" s="30">
        <f t="shared" si="4"/>
        <v>0</v>
      </c>
      <c r="M15" s="50"/>
      <c r="T15" s="22">
        <f>D15</f>
        <v>0.93109130859375</v>
      </c>
      <c r="U15" s="23" t="s">
        <v>24</v>
      </c>
      <c r="V15" s="23">
        <f>COUNTIF(W11:W60, "pok")</f>
        <v>0</v>
      </c>
      <c r="W15" s="23" t="s">
        <v>30</v>
      </c>
      <c r="X15" s="23">
        <f>50*0.0045</f>
        <v>0.22499999999999998</v>
      </c>
      <c r="Y15" s="24">
        <f>ABS((1-0.225)^2/0.225)</f>
        <v>2.6694444444444447</v>
      </c>
    </row>
    <row r="16" spans="1:25" x14ac:dyDescent="0.25">
      <c r="A16">
        <v>21491</v>
      </c>
      <c r="C16" s="19">
        <v>6</v>
      </c>
      <c r="D16" s="25">
        <f t="shared" si="1"/>
        <v>0.655853271484375</v>
      </c>
      <c r="E16" s="25">
        <v>8.245849609375E-2</v>
      </c>
      <c r="F16" s="19">
        <f t="shared" si="2"/>
        <v>0.12</v>
      </c>
      <c r="G16" s="26">
        <f t="shared" si="3"/>
        <v>3.7541503906249996E-2</v>
      </c>
      <c r="H16" s="19"/>
      <c r="I16" s="19"/>
      <c r="K16" s="30">
        <f t="shared" si="0"/>
        <v>1</v>
      </c>
      <c r="L16" s="30">
        <f t="shared" si="4"/>
        <v>1</v>
      </c>
      <c r="M16" s="50"/>
      <c r="T16" s="22">
        <f>D16</f>
        <v>0.655853271484375</v>
      </c>
      <c r="U16" s="23" t="s">
        <v>35</v>
      </c>
      <c r="V16" s="23">
        <v>0</v>
      </c>
      <c r="W16" s="23" t="s">
        <v>31</v>
      </c>
      <c r="X16" s="23">
        <f>50*0.009</f>
        <v>0.44999999999999996</v>
      </c>
      <c r="Y16" s="24">
        <f>ABS((0-0.45)^2/0.45)</f>
        <v>0.45</v>
      </c>
    </row>
    <row r="17" spans="1:25" x14ac:dyDescent="0.25">
      <c r="A17">
        <v>9164</v>
      </c>
      <c r="C17" s="19">
        <v>7</v>
      </c>
      <c r="D17" s="25">
        <f t="shared" si="1"/>
        <v>0.2796630859375</v>
      </c>
      <c r="E17" s="25">
        <v>9.295654296875E-2</v>
      </c>
      <c r="F17" s="19">
        <f t="shared" si="2"/>
        <v>0.14000000000000001</v>
      </c>
      <c r="G17" s="26">
        <f t="shared" si="3"/>
        <v>4.7043457031250013E-2</v>
      </c>
      <c r="H17" s="19"/>
      <c r="I17" s="19"/>
      <c r="K17" s="30">
        <f t="shared" si="0"/>
        <v>0</v>
      </c>
      <c r="L17" s="30">
        <f t="shared" si="4"/>
        <v>0</v>
      </c>
      <c r="M17" s="50"/>
      <c r="T17" s="22">
        <f>D17</f>
        <v>0.2796630859375</v>
      </c>
      <c r="U17" s="23" t="s">
        <v>24</v>
      </c>
      <c r="V17" s="23">
        <v>0</v>
      </c>
      <c r="W17" s="23" t="s">
        <v>32</v>
      </c>
      <c r="X17" s="23">
        <f>50*0.0001</f>
        <v>5.0000000000000001E-3</v>
      </c>
      <c r="Y17" s="24">
        <f>'3'!Z17</f>
        <v>5.0000000000000001E-3</v>
      </c>
    </row>
    <row r="18" spans="1:25" x14ac:dyDescent="0.25">
      <c r="A18">
        <v>13065</v>
      </c>
      <c r="C18" s="19">
        <v>8</v>
      </c>
      <c r="D18" s="25">
        <f t="shared" si="1"/>
        <v>0.398712158203125</v>
      </c>
      <c r="E18" s="25">
        <v>0.11102294921875</v>
      </c>
      <c r="F18" s="19">
        <f t="shared" si="2"/>
        <v>0.16</v>
      </c>
      <c r="G18" s="26">
        <f t="shared" si="3"/>
        <v>4.8977050781250003E-2</v>
      </c>
      <c r="H18" s="19"/>
      <c r="I18" s="19"/>
      <c r="K18" s="30">
        <f t="shared" si="0"/>
        <v>0</v>
      </c>
      <c r="L18" s="30">
        <f t="shared" si="4"/>
        <v>1</v>
      </c>
      <c r="M18" s="50"/>
      <c r="T18" s="22">
        <f>D18</f>
        <v>0.398712158203125</v>
      </c>
      <c r="U18" s="23" t="s">
        <v>26</v>
      </c>
      <c r="V18" s="21"/>
      <c r="W18" s="21"/>
      <c r="X18" s="21"/>
      <c r="Y18" s="21"/>
    </row>
    <row r="19" spans="1:25" x14ac:dyDescent="0.25">
      <c r="A19">
        <v>32570</v>
      </c>
      <c r="C19" s="19">
        <v>9</v>
      </c>
      <c r="D19" s="25">
        <f t="shared" si="1"/>
        <v>0.99395751953125</v>
      </c>
      <c r="E19" s="25">
        <v>0.1358642578125</v>
      </c>
      <c r="F19" s="19">
        <f t="shared" si="2"/>
        <v>0.18</v>
      </c>
      <c r="G19" s="26">
        <f t="shared" si="3"/>
        <v>4.4135742187499993E-2</v>
      </c>
      <c r="H19" s="19"/>
      <c r="I19" s="19"/>
      <c r="K19" s="30">
        <f t="shared" si="0"/>
        <v>1</v>
      </c>
      <c r="L19" s="30">
        <f t="shared" si="4"/>
        <v>0</v>
      </c>
      <c r="M19" t="s">
        <v>38</v>
      </c>
      <c r="N19" s="13">
        <f>AVERAGE(D11:D60)</f>
        <v>0.49986389160156253</v>
      </c>
      <c r="Q19" t="s">
        <v>39</v>
      </c>
      <c r="R19" s="32">
        <f>SUM(L11:L60)</f>
        <v>18</v>
      </c>
      <c r="T19" s="22">
        <f>D19</f>
        <v>0.99395751953125</v>
      </c>
      <c r="U19" s="23" t="s">
        <v>35</v>
      </c>
      <c r="V19" s="21"/>
      <c r="W19" s="21"/>
      <c r="X19" s="23" t="s">
        <v>33</v>
      </c>
      <c r="Y19" s="24">
        <f>SUM(Y11:Y17)</f>
        <v>7.3165079365079375</v>
      </c>
    </row>
    <row r="20" spans="1:25" x14ac:dyDescent="0.25">
      <c r="A20">
        <v>31791</v>
      </c>
      <c r="C20" s="19">
        <v>10</v>
      </c>
      <c r="D20" s="25">
        <f t="shared" si="1"/>
        <v>0.970184326171875</v>
      </c>
      <c r="E20" s="25">
        <v>0.143646240234375</v>
      </c>
      <c r="F20" s="19">
        <f t="shared" si="2"/>
        <v>0.2</v>
      </c>
      <c r="G20" s="26">
        <f t="shared" si="3"/>
        <v>5.6353759765625011E-2</v>
      </c>
      <c r="H20" s="19"/>
      <c r="I20" s="19"/>
      <c r="K20" s="30">
        <f t="shared" si="0"/>
        <v>1</v>
      </c>
      <c r="L20" s="30">
        <f t="shared" si="4"/>
        <v>0</v>
      </c>
      <c r="M20" t="s">
        <v>40</v>
      </c>
      <c r="N20">
        <f>_xlfn.STDEV.S(D11:D60)</f>
        <v>0.32484334678944388</v>
      </c>
      <c r="O20" t="s">
        <v>41</v>
      </c>
      <c r="P20" t="s">
        <v>42</v>
      </c>
      <c r="Q20" s="50"/>
      <c r="R20" s="50"/>
      <c r="T20" s="22">
        <f>D20</f>
        <v>0.970184326171875</v>
      </c>
      <c r="U20" s="23" t="s">
        <v>26</v>
      </c>
      <c r="V20" s="21"/>
      <c r="W20" s="21"/>
      <c r="X20" s="23" t="s">
        <v>34</v>
      </c>
      <c r="Y20" s="23">
        <v>12.59</v>
      </c>
    </row>
    <row r="21" spans="1:25" x14ac:dyDescent="0.25">
      <c r="A21">
        <v>27896</v>
      </c>
      <c r="C21" s="19">
        <v>11</v>
      </c>
      <c r="D21" s="25">
        <f t="shared" si="1"/>
        <v>0.851318359375</v>
      </c>
      <c r="E21" s="25">
        <v>0.15972900390625</v>
      </c>
      <c r="F21" s="19">
        <f t="shared" si="2"/>
        <v>0.22</v>
      </c>
      <c r="G21" s="26">
        <f t="shared" si="3"/>
        <v>6.0270996093750001E-2</v>
      </c>
      <c r="H21" s="19"/>
      <c r="I21" s="19"/>
      <c r="K21" s="30">
        <f t="shared" si="0"/>
        <v>1</v>
      </c>
      <c r="L21" s="30">
        <f t="shared" si="4"/>
        <v>1</v>
      </c>
      <c r="M21" s="27" t="s">
        <v>43</v>
      </c>
      <c r="N21">
        <v>0.05</v>
      </c>
      <c r="O21">
        <f>COUNTIF(K11:K60,1)</f>
        <v>22</v>
      </c>
      <c r="P21">
        <f>COUNTIF(K11:K60,0)</f>
        <v>28</v>
      </c>
      <c r="Q21" s="50"/>
      <c r="R21" s="50"/>
      <c r="T21" s="22">
        <f>D21</f>
        <v>0.851318359375</v>
      </c>
      <c r="U21" s="23" t="s">
        <v>26</v>
      </c>
      <c r="V21" s="21"/>
      <c r="W21" s="21"/>
      <c r="X21" s="21"/>
      <c r="Y21" s="21"/>
    </row>
    <row r="22" spans="1:25" x14ac:dyDescent="0.25">
      <c r="A22">
        <v>8421</v>
      </c>
      <c r="C22" s="19">
        <v>12</v>
      </c>
      <c r="D22" s="25">
        <f t="shared" si="1"/>
        <v>0.256988525390625</v>
      </c>
      <c r="E22" s="25">
        <v>0.204345703125</v>
      </c>
      <c r="F22" s="19">
        <f t="shared" si="2"/>
        <v>0.24</v>
      </c>
      <c r="G22" s="26">
        <f t="shared" si="3"/>
        <v>3.5654296874999991E-2</v>
      </c>
      <c r="H22" s="19"/>
      <c r="I22" s="19"/>
      <c r="K22" s="30">
        <f t="shared" si="0"/>
        <v>0</v>
      </c>
      <c r="L22" s="30">
        <f t="shared" si="4"/>
        <v>0</v>
      </c>
      <c r="M22" s="27" t="s">
        <v>44</v>
      </c>
      <c r="N22">
        <f>N21/2</f>
        <v>2.5000000000000001E-2</v>
      </c>
      <c r="T22" s="22">
        <f>D22</f>
        <v>0.256988525390625</v>
      </c>
      <c r="U22" s="23" t="s">
        <v>24</v>
      </c>
      <c r="V22" s="21"/>
      <c r="W22" s="21"/>
      <c r="X22" s="21"/>
      <c r="Y22" s="21"/>
    </row>
    <row r="23" spans="1:25" x14ac:dyDescent="0.25">
      <c r="A23">
        <v>9350</v>
      </c>
      <c r="C23" s="19">
        <v>13</v>
      </c>
      <c r="D23" s="25">
        <f t="shared" si="1"/>
        <v>0.28533935546875</v>
      </c>
      <c r="E23" s="25">
        <v>0.256561279296875</v>
      </c>
      <c r="F23" s="19">
        <f t="shared" si="2"/>
        <v>0.26</v>
      </c>
      <c r="G23" s="26">
        <f t="shared" si="3"/>
        <v>3.4387207031250089E-3</v>
      </c>
      <c r="H23" s="19"/>
      <c r="I23" s="19"/>
      <c r="K23" s="30">
        <f t="shared" si="0"/>
        <v>0</v>
      </c>
      <c r="L23" s="30">
        <f t="shared" si="4"/>
        <v>0</v>
      </c>
      <c r="M23" t="s">
        <v>6</v>
      </c>
      <c r="N23">
        <f>1.96</f>
        <v>1.96</v>
      </c>
      <c r="Q23" t="s">
        <v>45</v>
      </c>
      <c r="R23" s="33">
        <f>((2*O21*P21))/(O21+P21)+(1/2)</f>
        <v>25.14</v>
      </c>
      <c r="T23" s="22">
        <f>D23</f>
        <v>0.28533935546875</v>
      </c>
      <c r="U23" s="23" t="s">
        <v>26</v>
      </c>
      <c r="V23" s="21"/>
      <c r="W23" s="21"/>
      <c r="X23" s="21"/>
      <c r="Y23" s="21"/>
    </row>
    <row r="24" spans="1:25" x14ac:dyDescent="0.25">
      <c r="A24">
        <v>13995</v>
      </c>
      <c r="C24" s="19">
        <v>14</v>
      </c>
      <c r="D24" s="25">
        <f t="shared" si="1"/>
        <v>0.427093505859375</v>
      </c>
      <c r="E24" s="25">
        <v>0.256988525390625</v>
      </c>
      <c r="F24" s="19">
        <f t="shared" si="2"/>
        <v>0.28000000000000003</v>
      </c>
      <c r="G24" s="26">
        <f t="shared" si="3"/>
        <v>2.3011474609375027E-2</v>
      </c>
      <c r="H24" s="19"/>
      <c r="I24" s="19"/>
      <c r="K24" s="30">
        <f t="shared" si="0"/>
        <v>0</v>
      </c>
      <c r="L24" s="30">
        <f t="shared" si="4"/>
        <v>0</v>
      </c>
      <c r="Q24" t="s">
        <v>46</v>
      </c>
      <c r="R24">
        <f>(2*O21*P21*(2*O21*P21 -C60))/(C60*C60*(C60-1))</f>
        <v>11.887542857142858</v>
      </c>
      <c r="T24" s="22">
        <f>D24</f>
        <v>0.427093505859375</v>
      </c>
      <c r="U24" s="23" t="s">
        <v>26</v>
      </c>
      <c r="V24" s="21"/>
      <c r="W24" s="21"/>
      <c r="X24" s="21"/>
      <c r="Y24" s="21"/>
    </row>
    <row r="25" spans="1:25" x14ac:dyDescent="0.25">
      <c r="A25">
        <v>4452</v>
      </c>
      <c r="C25" s="19">
        <v>15</v>
      </c>
      <c r="D25" s="25">
        <f t="shared" si="1"/>
        <v>0.1358642578125</v>
      </c>
      <c r="E25" s="25">
        <v>0.2796630859375</v>
      </c>
      <c r="F25" s="19">
        <f t="shared" si="2"/>
        <v>0.3</v>
      </c>
      <c r="G25" s="26">
        <f t="shared" si="3"/>
        <v>2.0336914062499989E-2</v>
      </c>
      <c r="H25" s="19"/>
      <c r="I25" s="19"/>
      <c r="K25" s="30">
        <f t="shared" si="0"/>
        <v>0</v>
      </c>
      <c r="L25" s="30">
        <f t="shared" si="4"/>
        <v>1</v>
      </c>
      <c r="Q25" t="s">
        <v>5</v>
      </c>
      <c r="R25">
        <f>(R19-R23)/SQRT(R24)</f>
        <v>-2.0708667921625001</v>
      </c>
      <c r="T25" s="22">
        <f>D25</f>
        <v>0.1358642578125</v>
      </c>
      <c r="U25" s="23" t="s">
        <v>26</v>
      </c>
      <c r="V25" s="21"/>
      <c r="W25" s="21"/>
      <c r="X25" s="21"/>
      <c r="Y25" s="21"/>
    </row>
    <row r="26" spans="1:25" x14ac:dyDescent="0.25">
      <c r="A26">
        <v>22273</v>
      </c>
      <c r="C26" s="19">
        <v>16</v>
      </c>
      <c r="D26" s="25">
        <f t="shared" si="1"/>
        <v>0.679718017578125</v>
      </c>
      <c r="E26" s="25">
        <v>0.283203125</v>
      </c>
      <c r="F26" s="19">
        <f t="shared" si="2"/>
        <v>0.32</v>
      </c>
      <c r="G26" s="26">
        <f t="shared" si="3"/>
        <v>3.6796875000000007E-2</v>
      </c>
      <c r="H26" s="19"/>
      <c r="I26" s="19"/>
      <c r="K26" s="30">
        <f t="shared" si="0"/>
        <v>1</v>
      </c>
      <c r="L26" s="30">
        <f t="shared" si="4"/>
        <v>1</v>
      </c>
      <c r="T26" s="22">
        <f>D26</f>
        <v>0.679718017578125</v>
      </c>
      <c r="U26" s="23" t="s">
        <v>24</v>
      </c>
      <c r="V26" s="21"/>
      <c r="W26" s="21"/>
      <c r="X26" s="21"/>
      <c r="Y26" s="21"/>
    </row>
    <row r="27" spans="1:25" x14ac:dyDescent="0.25">
      <c r="A27">
        <v>13074</v>
      </c>
      <c r="C27" s="19">
        <v>17</v>
      </c>
      <c r="D27" s="25">
        <f t="shared" si="1"/>
        <v>0.39898681640625</v>
      </c>
      <c r="E27" s="25">
        <v>0.28533935546875</v>
      </c>
      <c r="F27" s="19">
        <f t="shared" si="2"/>
        <v>0.34</v>
      </c>
      <c r="G27" s="26">
        <f t="shared" si="3"/>
        <v>5.4660644531250024E-2</v>
      </c>
      <c r="H27" s="19"/>
      <c r="I27" s="19"/>
      <c r="K27" s="30">
        <f t="shared" si="0"/>
        <v>0</v>
      </c>
      <c r="L27" s="30">
        <f t="shared" si="4"/>
        <v>1</v>
      </c>
      <c r="M27" s="50"/>
      <c r="T27" s="22">
        <f>D27</f>
        <v>0.39898681640625</v>
      </c>
      <c r="U27" s="23" t="s">
        <v>35</v>
      </c>
      <c r="V27" s="21"/>
      <c r="W27" s="21"/>
      <c r="X27" s="21"/>
      <c r="Y27" s="21"/>
    </row>
    <row r="28" spans="1:25" x14ac:dyDescent="0.25">
      <c r="A28">
        <v>32615</v>
      </c>
      <c r="C28" s="19">
        <v>18</v>
      </c>
      <c r="D28" s="25">
        <f t="shared" si="1"/>
        <v>0.995330810546875</v>
      </c>
      <c r="E28" s="25">
        <v>0.319610595703125</v>
      </c>
      <c r="F28" s="19">
        <f t="shared" si="2"/>
        <v>0.36</v>
      </c>
      <c r="G28" s="26">
        <f t="shared" si="3"/>
        <v>4.0389404296874987E-2</v>
      </c>
      <c r="H28" s="19"/>
      <c r="I28" s="19"/>
      <c r="K28" s="30">
        <f t="shared" si="0"/>
        <v>1</v>
      </c>
      <c r="L28" s="30">
        <f t="shared" si="4"/>
        <v>0</v>
      </c>
      <c r="M28" s="50"/>
      <c r="T28" s="22">
        <f>D28</f>
        <v>0.995330810546875</v>
      </c>
      <c r="U28" s="23" t="s">
        <v>37</v>
      </c>
      <c r="V28" s="21"/>
      <c r="W28" s="21"/>
      <c r="X28" s="21"/>
      <c r="Y28" s="21"/>
    </row>
    <row r="29" spans="1:25" x14ac:dyDescent="0.25">
      <c r="A29">
        <v>32016</v>
      </c>
      <c r="C29" s="19">
        <v>19</v>
      </c>
      <c r="D29" s="25">
        <f t="shared" si="1"/>
        <v>0.97705078125</v>
      </c>
      <c r="E29" s="25">
        <v>0.3262939453125</v>
      </c>
      <c r="F29" s="19">
        <f t="shared" si="2"/>
        <v>0.38</v>
      </c>
      <c r="G29" s="26">
        <f t="shared" si="3"/>
        <v>5.3706054687500004E-2</v>
      </c>
      <c r="H29" s="19"/>
      <c r="I29" s="19"/>
      <c r="K29" s="30">
        <f t="shared" si="0"/>
        <v>1</v>
      </c>
      <c r="L29" s="30">
        <f t="shared" si="4"/>
        <v>0</v>
      </c>
      <c r="M29" s="50"/>
      <c r="T29" s="22">
        <f>D29</f>
        <v>0.97705078125</v>
      </c>
      <c r="U29" s="23" t="s">
        <v>24</v>
      </c>
      <c r="V29" s="21"/>
      <c r="W29" s="21"/>
      <c r="X29" s="21"/>
      <c r="Y29" s="21"/>
    </row>
    <row r="30" spans="1:25" x14ac:dyDescent="0.25">
      <c r="A30">
        <v>29021</v>
      </c>
      <c r="C30" s="19">
        <v>20</v>
      </c>
      <c r="D30" s="25">
        <f t="shared" si="1"/>
        <v>0.885650634765625</v>
      </c>
      <c r="E30" s="25">
        <v>0.386138916015625</v>
      </c>
      <c r="F30" s="19">
        <f t="shared" si="2"/>
        <v>0.4</v>
      </c>
      <c r="G30" s="26">
        <f t="shared" si="3"/>
        <v>1.3861083984375022E-2</v>
      </c>
      <c r="H30" s="19"/>
      <c r="I30" s="19"/>
      <c r="K30" s="30">
        <f t="shared" si="0"/>
        <v>1</v>
      </c>
      <c r="L30" s="30">
        <f t="shared" si="4"/>
        <v>1</v>
      </c>
      <c r="M30" s="50"/>
      <c r="T30" s="22">
        <f>D30</f>
        <v>0.885650634765625</v>
      </c>
      <c r="U30" s="23" t="s">
        <v>37</v>
      </c>
      <c r="V30" s="21"/>
      <c r="W30" s="21"/>
      <c r="X30" s="21"/>
      <c r="Y30" s="21"/>
    </row>
    <row r="31" spans="1:25" x14ac:dyDescent="0.25">
      <c r="A31">
        <v>14046</v>
      </c>
      <c r="C31" s="19">
        <v>21</v>
      </c>
      <c r="D31" s="25">
        <f t="shared" si="1"/>
        <v>0.42864990234375</v>
      </c>
      <c r="E31" s="25">
        <v>0.398712158203125</v>
      </c>
      <c r="F31" s="19">
        <f t="shared" si="2"/>
        <v>0.42</v>
      </c>
      <c r="G31" s="26">
        <f t="shared" si="3"/>
        <v>2.1287841796874984E-2</v>
      </c>
      <c r="H31" s="19"/>
      <c r="I31" s="19"/>
      <c r="K31" s="30">
        <f t="shared" si="0"/>
        <v>0</v>
      </c>
      <c r="L31" s="30">
        <f t="shared" si="4"/>
        <v>0</v>
      </c>
      <c r="M31" s="50"/>
      <c r="T31" s="22">
        <f>D31</f>
        <v>0.42864990234375</v>
      </c>
      <c r="U31" s="23" t="s">
        <v>26</v>
      </c>
      <c r="V31" s="21"/>
      <c r="W31" s="21"/>
      <c r="X31" s="21"/>
      <c r="Y31" s="21"/>
    </row>
    <row r="32" spans="1:25" x14ac:dyDescent="0.25">
      <c r="A32">
        <v>4707</v>
      </c>
      <c r="C32" s="19">
        <v>22</v>
      </c>
      <c r="D32" s="25">
        <f t="shared" si="1"/>
        <v>0.143646240234375</v>
      </c>
      <c r="E32" s="25">
        <v>0.39898681640625</v>
      </c>
      <c r="F32" s="19">
        <f t="shared" si="2"/>
        <v>0.44</v>
      </c>
      <c r="G32" s="26">
        <f t="shared" si="3"/>
        <v>4.1013183593750002E-2</v>
      </c>
      <c r="H32" s="19"/>
      <c r="I32" s="19"/>
      <c r="K32" s="30">
        <f t="shared" si="0"/>
        <v>0</v>
      </c>
      <c r="L32" s="30">
        <f t="shared" si="4"/>
        <v>1</v>
      </c>
      <c r="M32" s="50"/>
      <c r="T32" s="22">
        <f>D32</f>
        <v>0.143646240234375</v>
      </c>
      <c r="U32" s="23" t="s">
        <v>26</v>
      </c>
      <c r="V32" s="21"/>
      <c r="W32" s="21"/>
      <c r="X32" s="21"/>
      <c r="Y32" s="21"/>
    </row>
    <row r="33" spans="1:25" x14ac:dyDescent="0.25">
      <c r="A33">
        <v>23548</v>
      </c>
      <c r="C33" s="19">
        <v>23</v>
      </c>
      <c r="D33" s="25">
        <f t="shared" si="1"/>
        <v>0.7186279296875</v>
      </c>
      <c r="E33" s="25">
        <v>0.412689208984375</v>
      </c>
      <c r="F33" s="19">
        <f t="shared" si="2"/>
        <v>0.46</v>
      </c>
      <c r="G33" s="26">
        <f t="shared" si="3"/>
        <v>4.731079101562502E-2</v>
      </c>
      <c r="H33" s="19"/>
      <c r="I33" s="19"/>
      <c r="K33" s="30">
        <f t="shared" si="0"/>
        <v>1</v>
      </c>
      <c r="L33" s="30">
        <f t="shared" si="4"/>
        <v>0</v>
      </c>
      <c r="M33" s="50"/>
      <c r="T33" s="22">
        <f>D33</f>
        <v>0.7186279296875</v>
      </c>
      <c r="U33" s="23" t="s">
        <v>26</v>
      </c>
      <c r="V33" s="21"/>
      <c r="W33" s="21"/>
      <c r="X33" s="21"/>
      <c r="Y33" s="21"/>
    </row>
    <row r="34" spans="1:25" x14ac:dyDescent="0.25">
      <c r="A34">
        <v>19449</v>
      </c>
      <c r="C34" s="19">
        <v>24</v>
      </c>
      <c r="D34" s="25">
        <f t="shared" si="1"/>
        <v>0.593536376953125</v>
      </c>
      <c r="E34" s="25">
        <v>0.416412353515625</v>
      </c>
      <c r="F34" s="19">
        <f t="shared" si="2"/>
        <v>0.48</v>
      </c>
      <c r="G34" s="26">
        <f t="shared" si="3"/>
        <v>6.3587646484374982E-2</v>
      </c>
      <c r="H34" s="19"/>
      <c r="I34" s="19"/>
      <c r="K34" s="30">
        <f t="shared" si="0"/>
        <v>1</v>
      </c>
      <c r="L34" s="30">
        <f t="shared" si="4"/>
        <v>0</v>
      </c>
      <c r="M34" s="50"/>
      <c r="T34" s="22">
        <f>D34</f>
        <v>0.593536376953125</v>
      </c>
      <c r="U34" s="23" t="s">
        <v>24</v>
      </c>
      <c r="V34" s="21"/>
      <c r="W34" s="21"/>
      <c r="X34" s="21"/>
      <c r="Y34" s="21"/>
    </row>
    <row r="35" spans="1:25" x14ac:dyDescent="0.25">
      <c r="A35">
        <v>31722</v>
      </c>
      <c r="C35" s="19">
        <v>25</v>
      </c>
      <c r="D35" s="25">
        <f t="shared" si="1"/>
        <v>0.96807861328125</v>
      </c>
      <c r="E35" s="25">
        <v>0.427093505859375</v>
      </c>
      <c r="F35" s="19">
        <f t="shared" si="2"/>
        <v>0.5</v>
      </c>
      <c r="G35" s="26">
        <f t="shared" si="3"/>
        <v>7.2906494140625E-2</v>
      </c>
      <c r="H35" s="19"/>
      <c r="I35" s="19"/>
      <c r="K35" s="30">
        <f t="shared" si="0"/>
        <v>1</v>
      </c>
      <c r="L35" s="30">
        <f t="shared" si="4"/>
        <v>0</v>
      </c>
      <c r="M35" s="50"/>
      <c r="T35" s="22">
        <f>D35</f>
        <v>0.96807861328125</v>
      </c>
      <c r="U35" s="23" t="s">
        <v>24</v>
      </c>
      <c r="V35" s="21"/>
      <c r="W35" s="21"/>
      <c r="X35" s="21"/>
      <c r="Y35" s="21"/>
    </row>
    <row r="36" spans="1:25" x14ac:dyDescent="0.25">
      <c r="A36">
        <v>27551</v>
      </c>
      <c r="C36" s="19">
        <v>26</v>
      </c>
      <c r="D36" s="25">
        <f t="shared" si="1"/>
        <v>0.840789794921875</v>
      </c>
      <c r="E36" s="25">
        <v>0.42864990234375</v>
      </c>
      <c r="F36" s="19">
        <f t="shared" si="2"/>
        <v>0.52</v>
      </c>
      <c r="G36" s="26">
        <f t="shared" si="3"/>
        <v>9.1350097656250018E-2</v>
      </c>
      <c r="H36" s="19"/>
      <c r="I36" s="19"/>
      <c r="K36" s="30">
        <f t="shared" si="0"/>
        <v>1</v>
      </c>
      <c r="L36" s="30">
        <f t="shared" si="4"/>
        <v>1</v>
      </c>
      <c r="M36" s="50"/>
      <c r="T36" s="22">
        <f>D36</f>
        <v>0.840789794921875</v>
      </c>
      <c r="U36" s="23" t="s">
        <v>26</v>
      </c>
      <c r="V36" s="21"/>
      <c r="W36" s="21"/>
      <c r="X36" s="21"/>
      <c r="Y36" s="21"/>
    </row>
    <row r="37" spans="1:25" x14ac:dyDescent="0.25">
      <c r="A37">
        <v>6696</v>
      </c>
      <c r="C37" s="19">
        <v>27</v>
      </c>
      <c r="D37" s="25">
        <f t="shared" si="1"/>
        <v>0.204345703125</v>
      </c>
      <c r="E37" s="25">
        <v>0.45123291015625</v>
      </c>
      <c r="F37" s="19">
        <f t="shared" si="2"/>
        <v>0.54</v>
      </c>
      <c r="G37" s="26">
        <f t="shared" si="3"/>
        <v>8.8767089843750036E-2</v>
      </c>
      <c r="H37" s="19"/>
      <c r="I37" s="19"/>
      <c r="K37" s="30">
        <f t="shared" si="0"/>
        <v>0</v>
      </c>
      <c r="L37" s="30">
        <f t="shared" si="4"/>
        <v>0</v>
      </c>
      <c r="M37" s="50"/>
      <c r="T37" s="22">
        <f>D37</f>
        <v>0.204345703125</v>
      </c>
      <c r="U37" s="23" t="s">
        <v>26</v>
      </c>
      <c r="V37" s="21"/>
      <c r="W37" s="21"/>
      <c r="X37" s="21"/>
      <c r="Y37" s="21"/>
    </row>
    <row r="38" spans="1:25" x14ac:dyDescent="0.25">
      <c r="A38">
        <v>725</v>
      </c>
      <c r="C38" s="19">
        <v>28</v>
      </c>
      <c r="D38" s="25">
        <f t="shared" si="1"/>
        <v>2.2125244140625E-2</v>
      </c>
      <c r="E38" s="25">
        <v>0.465179443359375</v>
      </c>
      <c r="F38" s="19">
        <f t="shared" si="2"/>
        <v>0.56000000000000005</v>
      </c>
      <c r="G38" s="26">
        <f t="shared" si="3"/>
        <v>9.4820556640625053E-2</v>
      </c>
      <c r="H38" s="19"/>
      <c r="I38" s="19"/>
      <c r="K38" s="30">
        <f t="shared" si="0"/>
        <v>0</v>
      </c>
      <c r="L38" s="30">
        <f t="shared" si="4"/>
        <v>0</v>
      </c>
      <c r="M38" s="50"/>
      <c r="T38" s="22">
        <f>D38</f>
        <v>2.2125244140625E-2</v>
      </c>
      <c r="U38" s="23" t="s">
        <v>24</v>
      </c>
      <c r="V38" s="21"/>
      <c r="W38" s="21"/>
      <c r="X38" s="21"/>
      <c r="Y38" s="21"/>
    </row>
    <row r="39" spans="1:25" x14ac:dyDescent="0.25">
      <c r="A39">
        <v>3638</v>
      </c>
      <c r="C39" s="19">
        <v>29</v>
      </c>
      <c r="D39" s="25">
        <f t="shared" si="1"/>
        <v>0.11102294921875</v>
      </c>
      <c r="E39" s="25">
        <v>0.555511474609375</v>
      </c>
      <c r="F39" s="19">
        <f t="shared" si="2"/>
        <v>0.57999999999999996</v>
      </c>
      <c r="G39" s="26">
        <f t="shared" si="3"/>
        <v>2.448852539062496E-2</v>
      </c>
      <c r="H39" s="19"/>
      <c r="I39" s="19"/>
      <c r="K39" s="30">
        <f t="shared" si="0"/>
        <v>0</v>
      </c>
      <c r="L39" s="30">
        <f t="shared" si="4"/>
        <v>1</v>
      </c>
      <c r="M39" s="50"/>
      <c r="T39" s="22">
        <f>D39</f>
        <v>0.11102294921875</v>
      </c>
      <c r="U39" s="23" t="s">
        <v>35</v>
      </c>
      <c r="V39" s="21"/>
      <c r="W39" s="21"/>
      <c r="X39" s="21"/>
      <c r="Y39" s="21"/>
    </row>
    <row r="40" spans="1:25" x14ac:dyDescent="0.25">
      <c r="A40">
        <v>18203</v>
      </c>
      <c r="C40" s="19">
        <v>30</v>
      </c>
      <c r="D40" s="25">
        <f t="shared" si="1"/>
        <v>0.555511474609375</v>
      </c>
      <c r="E40" s="25">
        <v>0.593536376953125</v>
      </c>
      <c r="F40" s="19">
        <f t="shared" si="2"/>
        <v>0.6</v>
      </c>
      <c r="G40" s="26">
        <f t="shared" si="3"/>
        <v>6.4636230468749778E-3</v>
      </c>
      <c r="H40" s="19"/>
      <c r="I40" s="19"/>
      <c r="K40" s="30">
        <f t="shared" si="0"/>
        <v>1</v>
      </c>
      <c r="L40" s="30">
        <f t="shared" si="4"/>
        <v>0</v>
      </c>
      <c r="T40" s="22">
        <f>D40</f>
        <v>0.555511474609375</v>
      </c>
      <c r="U40" s="23" t="s">
        <v>36</v>
      </c>
      <c r="V40" s="21"/>
      <c r="W40" s="21"/>
      <c r="X40" s="21"/>
      <c r="Y40" s="21"/>
    </row>
    <row r="41" spans="1:25" x14ac:dyDescent="0.25">
      <c r="A41">
        <v>25492</v>
      </c>
      <c r="C41" s="19">
        <v>31</v>
      </c>
      <c r="D41" s="25">
        <f t="shared" si="1"/>
        <v>0.7779541015625</v>
      </c>
      <c r="E41" s="25">
        <v>0.59844970703125</v>
      </c>
      <c r="F41" s="19">
        <f t="shared" si="2"/>
        <v>0.62</v>
      </c>
      <c r="G41" s="26">
        <f t="shared" si="3"/>
        <v>2.1550292968749996E-2</v>
      </c>
      <c r="H41" s="19"/>
      <c r="I41" s="19"/>
      <c r="K41" s="30">
        <f t="shared" si="0"/>
        <v>1</v>
      </c>
      <c r="L41" s="30">
        <f t="shared" si="4"/>
        <v>0</v>
      </c>
      <c r="T41" s="22">
        <f>D41</f>
        <v>0.7779541015625</v>
      </c>
      <c r="U41" s="23" t="s">
        <v>35</v>
      </c>
      <c r="V41" s="21"/>
      <c r="W41" s="21"/>
      <c r="X41" s="21"/>
      <c r="Y41" s="21"/>
    </row>
    <row r="42" spans="1:25" x14ac:dyDescent="0.25">
      <c r="A42">
        <v>29169</v>
      </c>
      <c r="C42" s="19">
        <v>32</v>
      </c>
      <c r="D42" s="25">
        <f t="shared" si="1"/>
        <v>0.890167236328125</v>
      </c>
      <c r="E42" s="25">
        <v>0.631866455078125</v>
      </c>
      <c r="F42" s="19">
        <f t="shared" si="2"/>
        <v>0.64</v>
      </c>
      <c r="G42" s="26">
        <f t="shared" si="3"/>
        <v>8.1335449218750133E-3</v>
      </c>
      <c r="H42" s="19"/>
      <c r="I42" s="19"/>
      <c r="K42" s="30">
        <f t="shared" si="0"/>
        <v>1</v>
      </c>
      <c r="L42" s="30">
        <f t="shared" si="4"/>
        <v>1</v>
      </c>
      <c r="T42" s="22">
        <f>D42</f>
        <v>0.890167236328125</v>
      </c>
      <c r="U42" s="23" t="s">
        <v>26</v>
      </c>
      <c r="V42" s="21"/>
      <c r="W42" s="21"/>
      <c r="X42" s="21"/>
      <c r="Y42" s="21"/>
    </row>
    <row r="43" spans="1:25" x14ac:dyDescent="0.25">
      <c r="A43">
        <v>14786</v>
      </c>
      <c r="C43" s="19">
        <v>33</v>
      </c>
      <c r="D43" s="25">
        <f t="shared" ref="D43:D60" si="5">A43/32768</f>
        <v>0.45123291015625</v>
      </c>
      <c r="E43" s="25">
        <v>0.655853271484375</v>
      </c>
      <c r="F43" s="19">
        <f t="shared" si="2"/>
        <v>0.66</v>
      </c>
      <c r="G43" s="26">
        <f t="shared" si="3"/>
        <v>4.1467285156250311E-3</v>
      </c>
      <c r="H43" s="19"/>
      <c r="I43" s="19"/>
      <c r="K43" s="30">
        <f t="shared" ref="K43:K60" si="6">IF(D43&gt;$N$19,1,0)</f>
        <v>0</v>
      </c>
      <c r="L43" s="30">
        <f t="shared" si="4"/>
        <v>0</v>
      </c>
      <c r="T43" s="22">
        <f>D43</f>
        <v>0.45123291015625</v>
      </c>
      <c r="U43" s="23" t="s">
        <v>26</v>
      </c>
      <c r="V43" s="21"/>
      <c r="W43" s="21"/>
      <c r="X43" s="21"/>
      <c r="Y43" s="21"/>
    </row>
    <row r="44" spans="1:25" x14ac:dyDescent="0.25">
      <c r="A44">
        <v>8407</v>
      </c>
      <c r="C44" s="19">
        <v>34</v>
      </c>
      <c r="D44" s="25">
        <f t="shared" si="5"/>
        <v>0.256561279296875</v>
      </c>
      <c r="E44" s="25">
        <v>0.679718017578125</v>
      </c>
      <c r="F44" s="19">
        <f t="shared" si="2"/>
        <v>0.68</v>
      </c>
      <c r="G44" s="26">
        <f t="shared" si="3"/>
        <v>2.8198242187504885E-4</v>
      </c>
      <c r="H44" s="19"/>
      <c r="I44" s="19"/>
      <c r="K44" s="30">
        <f t="shared" si="6"/>
        <v>0</v>
      </c>
      <c r="L44" s="30">
        <f t="shared" si="4"/>
        <v>0</v>
      </c>
      <c r="T44" s="22">
        <f>D44</f>
        <v>0.256561279296875</v>
      </c>
      <c r="U44" s="23" t="s">
        <v>37</v>
      </c>
      <c r="V44" s="21"/>
      <c r="W44" s="21"/>
      <c r="X44" s="21"/>
      <c r="Y44" s="21"/>
    </row>
    <row r="45" spans="1:25" x14ac:dyDescent="0.25">
      <c r="A45">
        <v>9280</v>
      </c>
      <c r="C45" s="19">
        <v>35</v>
      </c>
      <c r="D45" s="25">
        <f t="shared" si="5"/>
        <v>0.283203125</v>
      </c>
      <c r="E45" s="25">
        <v>0.7186279296875</v>
      </c>
      <c r="F45" s="19">
        <f t="shared" si="2"/>
        <v>0.7</v>
      </c>
      <c r="G45" s="26">
        <f t="shared" si="3"/>
        <v>1.8627929687500044E-2</v>
      </c>
      <c r="H45" s="19"/>
      <c r="I45" s="19"/>
      <c r="K45" s="30">
        <f t="shared" si="6"/>
        <v>0</v>
      </c>
      <c r="L45" s="30">
        <f t="shared" si="4"/>
        <v>0</v>
      </c>
      <c r="T45" s="22">
        <f>D45</f>
        <v>0.283203125</v>
      </c>
      <c r="U45" s="23" t="s">
        <v>24</v>
      </c>
      <c r="V45" s="21"/>
      <c r="W45" s="21"/>
      <c r="X45" s="21"/>
      <c r="Y45" s="21"/>
    </row>
    <row r="46" spans="1:25" x14ac:dyDescent="0.25">
      <c r="A46">
        <v>13645</v>
      </c>
      <c r="C46" s="19">
        <v>36</v>
      </c>
      <c r="D46" s="25">
        <f t="shared" si="5"/>
        <v>0.416412353515625</v>
      </c>
      <c r="E46" s="25">
        <v>0.7779541015625</v>
      </c>
      <c r="F46" s="19">
        <f t="shared" si="2"/>
        <v>0.72</v>
      </c>
      <c r="G46" s="26">
        <f t="shared" si="3"/>
        <v>5.7954101562500027E-2</v>
      </c>
      <c r="H46" s="19"/>
      <c r="I46" s="19"/>
      <c r="K46" s="30">
        <f t="shared" si="6"/>
        <v>0</v>
      </c>
      <c r="L46" s="30">
        <f t="shared" si="4"/>
        <v>0</v>
      </c>
      <c r="T46" s="22">
        <f>D46</f>
        <v>0.416412353515625</v>
      </c>
      <c r="U46" s="23" t="s">
        <v>37</v>
      </c>
      <c r="V46" s="21"/>
      <c r="W46" s="21"/>
      <c r="X46" s="21"/>
      <c r="Y46" s="21"/>
    </row>
    <row r="47" spans="1:25" x14ac:dyDescent="0.25">
      <c r="A47">
        <v>2702</v>
      </c>
      <c r="C47" s="19">
        <v>37</v>
      </c>
      <c r="D47" s="25">
        <f t="shared" si="5"/>
        <v>8.245849609375E-2</v>
      </c>
      <c r="E47" s="25">
        <v>0.799041748046875</v>
      </c>
      <c r="F47" s="19">
        <f t="shared" si="2"/>
        <v>0.74</v>
      </c>
      <c r="G47" s="26">
        <f t="shared" si="3"/>
        <v>5.9041748046875009E-2</v>
      </c>
      <c r="H47" s="19"/>
      <c r="I47" s="19"/>
      <c r="K47" s="30">
        <f t="shared" si="6"/>
        <v>0</v>
      </c>
      <c r="L47" s="30">
        <f t="shared" si="4"/>
        <v>0</v>
      </c>
      <c r="T47" s="22">
        <f>D47</f>
        <v>8.245849609375E-2</v>
      </c>
      <c r="U47" s="23" t="s">
        <v>26</v>
      </c>
      <c r="V47" s="21"/>
      <c r="W47" s="21"/>
      <c r="X47" s="21"/>
      <c r="Y47" s="21"/>
    </row>
    <row r="48" spans="1:25" x14ac:dyDescent="0.25">
      <c r="A48">
        <v>13523</v>
      </c>
      <c r="C48" s="19">
        <v>38</v>
      </c>
      <c r="D48" s="25">
        <f t="shared" si="5"/>
        <v>0.412689208984375</v>
      </c>
      <c r="E48" s="25">
        <v>0.818511962890625</v>
      </c>
      <c r="F48" s="19">
        <f t="shared" si="2"/>
        <v>0.76</v>
      </c>
      <c r="G48" s="26">
        <f t="shared" si="3"/>
        <v>5.8511962890624991E-2</v>
      </c>
      <c r="H48" s="19"/>
      <c r="I48" s="19"/>
      <c r="K48" s="30">
        <f t="shared" si="6"/>
        <v>0</v>
      </c>
      <c r="L48" s="30">
        <f t="shared" si="4"/>
        <v>0</v>
      </c>
      <c r="M48" s="50"/>
      <c r="T48" s="22">
        <f>D48</f>
        <v>0.412689208984375</v>
      </c>
      <c r="U48" s="23" t="s">
        <v>26</v>
      </c>
      <c r="V48" s="21"/>
      <c r="W48" s="21"/>
      <c r="X48" s="21"/>
      <c r="Y48" s="21"/>
    </row>
    <row r="49" spans="1:27" x14ac:dyDescent="0.25">
      <c r="A49">
        <v>2092</v>
      </c>
      <c r="C49" s="19">
        <v>39</v>
      </c>
      <c r="D49" s="25">
        <f t="shared" si="5"/>
        <v>6.38427734375E-2</v>
      </c>
      <c r="E49" s="25">
        <v>0.840789794921875</v>
      </c>
      <c r="F49" s="19">
        <f t="shared" si="2"/>
        <v>0.78</v>
      </c>
      <c r="G49" s="26">
        <f t="shared" si="3"/>
        <v>6.0789794921874973E-2</v>
      </c>
      <c r="H49" s="19"/>
      <c r="I49" s="19"/>
      <c r="K49" s="30">
        <f t="shared" si="6"/>
        <v>0</v>
      </c>
      <c r="L49" s="30">
        <f t="shared" si="4"/>
        <v>0</v>
      </c>
      <c r="M49" s="50"/>
      <c r="T49" s="22">
        <f>D49</f>
        <v>6.38427734375E-2</v>
      </c>
      <c r="U49" s="23" t="s">
        <v>26</v>
      </c>
      <c r="V49" s="21"/>
      <c r="W49" s="21"/>
      <c r="X49" s="21"/>
      <c r="Y49" s="21"/>
    </row>
    <row r="50" spans="1:27" x14ac:dyDescent="0.25">
      <c r="A50">
        <v>10473</v>
      </c>
      <c r="C50" s="19">
        <v>40</v>
      </c>
      <c r="D50" s="25">
        <f t="shared" si="5"/>
        <v>0.319610595703125</v>
      </c>
      <c r="E50" s="25">
        <v>0.851318359375</v>
      </c>
      <c r="F50" s="19">
        <f t="shared" si="2"/>
        <v>0.8</v>
      </c>
      <c r="G50" s="26">
        <f t="shared" si="3"/>
        <v>5.1318359374999956E-2</v>
      </c>
      <c r="H50" s="19"/>
      <c r="I50" s="19"/>
      <c r="K50" s="30">
        <f t="shared" si="6"/>
        <v>0</v>
      </c>
      <c r="L50" s="30">
        <f t="shared" si="4"/>
        <v>1</v>
      </c>
      <c r="M50" s="50"/>
      <c r="T50" s="22">
        <f>D50</f>
        <v>0.319610595703125</v>
      </c>
      <c r="U50" s="23" t="s">
        <v>24</v>
      </c>
      <c r="V50" s="21"/>
      <c r="W50" s="21"/>
      <c r="X50" s="21"/>
      <c r="Y50" s="21"/>
    </row>
    <row r="51" spans="1:27" x14ac:dyDescent="0.25">
      <c r="A51">
        <v>19610</v>
      </c>
      <c r="C51" s="19">
        <v>41</v>
      </c>
      <c r="D51" s="25">
        <f t="shared" si="5"/>
        <v>0.59844970703125</v>
      </c>
      <c r="E51" s="25">
        <v>0.885650634765625</v>
      </c>
      <c r="F51" s="19">
        <f t="shared" si="2"/>
        <v>0.82</v>
      </c>
      <c r="G51" s="26">
        <f t="shared" si="3"/>
        <v>6.5650634765625049E-2</v>
      </c>
      <c r="H51" s="19"/>
      <c r="I51" s="19"/>
      <c r="K51" s="30">
        <f t="shared" si="6"/>
        <v>1</v>
      </c>
      <c r="L51" s="30">
        <f t="shared" si="4"/>
        <v>0</v>
      </c>
      <c r="M51" s="50"/>
      <c r="T51" s="22">
        <f>D51</f>
        <v>0.59844970703125</v>
      </c>
      <c r="U51" s="23" t="s">
        <v>24</v>
      </c>
      <c r="V51" s="21"/>
      <c r="W51" s="21"/>
      <c r="X51" s="21"/>
      <c r="Y51" s="21"/>
    </row>
    <row r="52" spans="1:27" x14ac:dyDescent="0.25">
      <c r="A52">
        <v>32527</v>
      </c>
      <c r="C52" s="19">
        <v>42</v>
      </c>
      <c r="D52" s="25">
        <f t="shared" si="5"/>
        <v>0.992645263671875</v>
      </c>
      <c r="E52" s="25">
        <v>0.890167236328125</v>
      </c>
      <c r="F52" s="19">
        <f t="shared" si="2"/>
        <v>0.84</v>
      </c>
      <c r="G52" s="26">
        <f t="shared" si="3"/>
        <v>5.0167236328125031E-2</v>
      </c>
      <c r="H52" s="19"/>
      <c r="I52" s="19"/>
      <c r="K52" s="30">
        <f t="shared" si="6"/>
        <v>1</v>
      </c>
      <c r="L52" s="30">
        <f t="shared" si="4"/>
        <v>0</v>
      </c>
      <c r="M52" s="50"/>
      <c r="T52" s="22">
        <f>D52</f>
        <v>0.992645263671875</v>
      </c>
      <c r="U52" s="23" t="s">
        <v>24</v>
      </c>
      <c r="V52" s="21"/>
      <c r="W52" s="21"/>
      <c r="X52" s="21"/>
      <c r="Y52" s="21"/>
    </row>
    <row r="53" spans="1:27" x14ac:dyDescent="0.25">
      <c r="A53">
        <v>31576</v>
      </c>
      <c r="C53" s="19">
        <v>43</v>
      </c>
      <c r="D53" s="25">
        <f t="shared" si="5"/>
        <v>0.963623046875</v>
      </c>
      <c r="E53" s="25">
        <v>0.93109130859375</v>
      </c>
      <c r="F53" s="19">
        <f t="shared" si="2"/>
        <v>0.86</v>
      </c>
      <c r="G53" s="26">
        <f t="shared" si="3"/>
        <v>7.1091308593750013E-2</v>
      </c>
      <c r="H53" s="19"/>
      <c r="I53" s="19"/>
      <c r="K53" s="30">
        <f t="shared" si="6"/>
        <v>1</v>
      </c>
      <c r="L53" s="30">
        <f t="shared" si="4"/>
        <v>0</v>
      </c>
      <c r="M53" s="50"/>
      <c r="T53" s="22">
        <f>D53</f>
        <v>0.963623046875</v>
      </c>
      <c r="U53" s="23" t="s">
        <v>24</v>
      </c>
      <c r="V53" s="21"/>
      <c r="W53" s="21"/>
      <c r="X53" s="21"/>
      <c r="Y53" s="21"/>
    </row>
    <row r="54" spans="1:27" x14ac:dyDescent="0.25">
      <c r="A54">
        <v>26821</v>
      </c>
      <c r="C54" s="19">
        <v>44</v>
      </c>
      <c r="D54" s="25">
        <f t="shared" si="5"/>
        <v>0.818511962890625</v>
      </c>
      <c r="E54" s="25">
        <v>0.963623046875</v>
      </c>
      <c r="F54" s="19">
        <f t="shared" si="2"/>
        <v>0.88</v>
      </c>
      <c r="G54" s="26">
        <f t="shared" si="3"/>
        <v>8.3623046874999996E-2</v>
      </c>
      <c r="H54" s="19"/>
      <c r="I54" s="19"/>
      <c r="K54" s="30">
        <f t="shared" si="6"/>
        <v>1</v>
      </c>
      <c r="L54" s="30">
        <f t="shared" si="4"/>
        <v>1</v>
      </c>
      <c r="M54" s="50"/>
      <c r="T54" s="22">
        <f>D54</f>
        <v>0.818511962890625</v>
      </c>
      <c r="U54" s="23" t="s">
        <v>37</v>
      </c>
      <c r="V54" s="21"/>
      <c r="W54" s="21"/>
      <c r="X54" s="21"/>
      <c r="Y54" s="21"/>
    </row>
    <row r="55" spans="1:27" x14ac:dyDescent="0.25">
      <c r="A55">
        <v>3046</v>
      </c>
      <c r="C55" s="19">
        <v>45</v>
      </c>
      <c r="D55" s="25">
        <f t="shared" si="5"/>
        <v>9.295654296875E-2</v>
      </c>
      <c r="E55" s="25">
        <v>0.96807861328125</v>
      </c>
      <c r="F55" s="19">
        <f t="shared" si="2"/>
        <v>0.9</v>
      </c>
      <c r="G55" s="26">
        <f t="shared" si="3"/>
        <v>6.8078613281249978E-2</v>
      </c>
      <c r="H55" s="19"/>
      <c r="I55" s="19"/>
      <c r="K55" s="30">
        <f t="shared" si="6"/>
        <v>0</v>
      </c>
      <c r="L55" s="30">
        <f t="shared" si="4"/>
        <v>0</v>
      </c>
      <c r="M55" s="50"/>
      <c r="T55" s="22">
        <f>D55</f>
        <v>9.295654296875E-2</v>
      </c>
      <c r="U55" s="23" t="s">
        <v>24</v>
      </c>
      <c r="V55" s="21"/>
      <c r="W55" s="21"/>
      <c r="X55" s="21"/>
      <c r="Y55" s="21"/>
    </row>
    <row r="56" spans="1:27" x14ac:dyDescent="0.25">
      <c r="A56">
        <v>15243</v>
      </c>
      <c r="C56" s="19">
        <v>46</v>
      </c>
      <c r="D56" s="25">
        <f t="shared" si="5"/>
        <v>0.465179443359375</v>
      </c>
      <c r="E56" s="25">
        <v>0.970184326171875</v>
      </c>
      <c r="F56" s="19">
        <f t="shared" si="2"/>
        <v>0.92</v>
      </c>
      <c r="G56" s="26">
        <f t="shared" si="3"/>
        <v>5.018432617187496E-2</v>
      </c>
      <c r="H56" s="19"/>
      <c r="I56" s="19"/>
      <c r="K56" s="30">
        <f t="shared" si="6"/>
        <v>0</v>
      </c>
      <c r="L56" s="30">
        <f t="shared" si="4"/>
        <v>0</v>
      </c>
      <c r="M56" s="50"/>
      <c r="T56" s="22">
        <f>D56</f>
        <v>0.465179443359375</v>
      </c>
      <c r="U56" s="23" t="s">
        <v>26</v>
      </c>
      <c r="V56" s="21"/>
      <c r="W56" s="21"/>
      <c r="X56" s="21"/>
      <c r="Y56" s="21"/>
    </row>
    <row r="57" spans="1:27" x14ac:dyDescent="0.25">
      <c r="A57">
        <v>10692</v>
      </c>
      <c r="C57" s="19">
        <v>47</v>
      </c>
      <c r="D57" s="25">
        <f t="shared" si="5"/>
        <v>0.3262939453125</v>
      </c>
      <c r="E57" s="25">
        <v>0.97705078125</v>
      </c>
      <c r="F57" s="19">
        <f t="shared" si="2"/>
        <v>0.94</v>
      </c>
      <c r="G57" s="26">
        <f t="shared" si="3"/>
        <v>3.7050781250000053E-2</v>
      </c>
      <c r="H57" s="19"/>
      <c r="I57" s="19"/>
      <c r="K57" s="30">
        <f t="shared" si="6"/>
        <v>0</v>
      </c>
      <c r="L57" s="30">
        <f t="shared" si="4"/>
        <v>1</v>
      </c>
      <c r="M57" s="50"/>
      <c r="T57" s="22">
        <f>D57</f>
        <v>0.3262939453125</v>
      </c>
      <c r="U57" s="23" t="s">
        <v>24</v>
      </c>
      <c r="V57" s="21"/>
      <c r="W57" s="21"/>
      <c r="X57" s="21"/>
      <c r="Y57" s="21"/>
    </row>
    <row r="58" spans="1:27" x14ac:dyDescent="0.25">
      <c r="A58">
        <v>20705</v>
      </c>
      <c r="C58" s="19">
        <v>48</v>
      </c>
      <c r="D58" s="25">
        <f t="shared" si="5"/>
        <v>0.631866455078125</v>
      </c>
      <c r="E58" s="25">
        <v>0.992645263671875</v>
      </c>
      <c r="F58" s="19">
        <f t="shared" si="2"/>
        <v>0.96</v>
      </c>
      <c r="G58" s="26">
        <f t="shared" si="3"/>
        <v>3.2645263671875036E-2</v>
      </c>
      <c r="H58" s="19"/>
      <c r="I58" s="19"/>
      <c r="K58" s="30">
        <f t="shared" si="6"/>
        <v>1</v>
      </c>
      <c r="L58" s="30">
        <f t="shared" si="4"/>
        <v>1</v>
      </c>
      <c r="M58" s="50"/>
      <c r="T58" s="22">
        <f>D58</f>
        <v>0.631866455078125</v>
      </c>
      <c r="U58" s="23" t="s">
        <v>26</v>
      </c>
      <c r="V58" s="21"/>
      <c r="W58" s="21"/>
      <c r="X58" s="21"/>
      <c r="Y58" s="21"/>
    </row>
    <row r="59" spans="1:27" x14ac:dyDescent="0.25">
      <c r="A59">
        <v>5234</v>
      </c>
      <c r="C59" s="19">
        <v>49</v>
      </c>
      <c r="D59" s="25">
        <f>A59/32768</f>
        <v>0.15972900390625</v>
      </c>
      <c r="E59" s="25">
        <v>0.99395751953125</v>
      </c>
      <c r="F59" s="19">
        <f t="shared" si="2"/>
        <v>0.98</v>
      </c>
      <c r="G59" s="26">
        <f t="shared" si="3"/>
        <v>1.3957519531250018E-2</v>
      </c>
      <c r="H59" s="19"/>
      <c r="I59" s="19"/>
      <c r="K59" s="30">
        <f t="shared" si="6"/>
        <v>0</v>
      </c>
      <c r="L59" s="30">
        <f t="shared" si="4"/>
        <v>1</v>
      </c>
      <c r="M59" s="50"/>
      <c r="T59" s="22">
        <f>D59</f>
        <v>0.15972900390625</v>
      </c>
      <c r="U59" s="23" t="s">
        <v>26</v>
      </c>
      <c r="V59" s="21"/>
      <c r="W59" s="21"/>
      <c r="X59" s="21"/>
      <c r="Y59" s="21"/>
    </row>
    <row r="60" spans="1:27" x14ac:dyDescent="0.25">
      <c r="A60">
        <v>26183</v>
      </c>
      <c r="C60" s="19">
        <v>50</v>
      </c>
      <c r="D60" s="25">
        <f t="shared" si="5"/>
        <v>0.799041748046875</v>
      </c>
      <c r="E60" s="25">
        <v>0.995330810546875</v>
      </c>
      <c r="F60" s="19">
        <f>C60/50</f>
        <v>1</v>
      </c>
      <c r="G60" s="26">
        <f t="shared" si="3"/>
        <v>4.669189453125E-3</v>
      </c>
      <c r="H60" s="19"/>
      <c r="I60" s="19"/>
      <c r="K60" s="30">
        <f t="shared" si="6"/>
        <v>1</v>
      </c>
      <c r="L60" s="30">
        <f>IF(Q19&lt;&gt;K60,1,0)</f>
        <v>1</v>
      </c>
      <c r="M60" s="50"/>
      <c r="V60" s="22">
        <f t="shared" ref="V43:V60" si="7">D60</f>
        <v>0.799041748046875</v>
      </c>
      <c r="W60" s="23" t="s">
        <v>24</v>
      </c>
      <c r="X60" s="21"/>
      <c r="Y60" s="21"/>
      <c r="Z60" s="21"/>
      <c r="AA60" s="21"/>
    </row>
  </sheetData>
  <sortState ref="E11:E60">
    <sortCondition ref="E11"/>
  </sortState>
  <pageMargins left="0.7" right="0.7" top="0.75" bottom="0.75" header="0.3" footer="0.3"/>
  <pageSetup paperSize="9" scale="59" orientation="portrait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60"/>
  <sheetViews>
    <sheetView view="pageBreakPreview" zoomScale="60" zoomScaleNormal="112" workbookViewId="0">
      <selection activeCell="AA7" sqref="AA7"/>
    </sheetView>
  </sheetViews>
  <sheetFormatPr baseColWidth="10" defaultColWidth="9.140625" defaultRowHeight="15" x14ac:dyDescent="0.25"/>
  <cols>
    <col min="1" max="1" width="10.5703125" customWidth="1"/>
    <col min="3" max="3" width="18.85546875" bestFit="1" customWidth="1"/>
    <col min="4" max="4" width="10.42578125" customWidth="1"/>
    <col min="5" max="5" width="15" customWidth="1"/>
    <col min="6" max="6" width="13.7109375" customWidth="1"/>
    <col min="7" max="7" width="10.85546875" customWidth="1"/>
    <col min="8" max="8" width="11.7109375" customWidth="1"/>
    <col min="9" max="9" width="14" customWidth="1"/>
    <col min="10" max="10" width="10.85546875" bestFit="1" customWidth="1"/>
    <col min="13" max="13" width="18.85546875" bestFit="1" customWidth="1"/>
    <col min="17" max="17" width="13.85546875" customWidth="1"/>
    <col min="18" max="18" width="14.140625" customWidth="1"/>
    <col min="19" max="19" width="17.140625" customWidth="1"/>
    <col min="20" max="20" width="11.140625" customWidth="1"/>
    <col min="21" max="21" width="20.5703125" customWidth="1"/>
    <col min="22" max="22" width="19.85546875" customWidth="1"/>
    <col min="23" max="23" width="23.7109375" bestFit="1" customWidth="1"/>
    <col min="24" max="24" width="11.28515625" bestFit="1" customWidth="1"/>
    <col min="25" max="25" width="22.5703125" bestFit="1" customWidth="1"/>
    <col min="26" max="26" width="20.42578125" bestFit="1" customWidth="1"/>
    <col min="27" max="27" width="17.85546875" bestFit="1" customWidth="1"/>
    <col min="29" max="29" width="19.7109375" bestFit="1" customWidth="1"/>
    <col min="30" max="30" width="18.28515625" bestFit="1" customWidth="1"/>
  </cols>
  <sheetData>
    <row r="3" spans="1:26" x14ac:dyDescent="0.25">
      <c r="Q3" s="15"/>
      <c r="R3" s="15"/>
      <c r="T3" s="15"/>
      <c r="U3" s="15"/>
      <c r="V3" s="15"/>
    </row>
    <row r="4" spans="1:26" x14ac:dyDescent="0.25">
      <c r="L4" t="s">
        <v>0</v>
      </c>
      <c r="Q4" s="15"/>
      <c r="R4" s="15"/>
      <c r="T4" s="15"/>
      <c r="U4" s="15"/>
      <c r="V4" s="15"/>
    </row>
    <row r="5" spans="1:26" x14ac:dyDescent="0.25">
      <c r="E5" s="4" t="s">
        <v>1</v>
      </c>
      <c r="K5" s="30"/>
      <c r="L5" s="44" t="str">
        <f>IF(AND(L7&gt;=K7,L7&lt;=M7),"No se rechaza Ho","Se Rechaza Ho")</f>
        <v>No se rechaza Ho</v>
      </c>
      <c r="M5" s="44"/>
      <c r="U5" s="15"/>
      <c r="V5" s="15"/>
      <c r="W5" s="4" t="s">
        <v>2</v>
      </c>
      <c r="X5" s="15"/>
      <c r="Y5" s="15"/>
      <c r="Z5" s="15"/>
    </row>
    <row r="6" spans="1:26" x14ac:dyDescent="0.25">
      <c r="E6" s="4" t="s">
        <v>3</v>
      </c>
      <c r="K6" s="43" t="s">
        <v>4</v>
      </c>
      <c r="L6" s="43" t="s">
        <v>5</v>
      </c>
      <c r="M6" s="43" t="s">
        <v>6</v>
      </c>
      <c r="U6" s="15"/>
      <c r="V6" s="15"/>
      <c r="W6" s="4" t="s">
        <v>7</v>
      </c>
      <c r="X6" s="15"/>
      <c r="Y6" s="15"/>
      <c r="Z6" s="15"/>
    </row>
    <row r="7" spans="1:26" x14ac:dyDescent="0.25">
      <c r="D7" s="11" t="s">
        <v>56</v>
      </c>
      <c r="E7" s="11" t="s">
        <v>57</v>
      </c>
      <c r="F7" s="11" t="s">
        <v>58</v>
      </c>
      <c r="K7" s="30">
        <f>N15*-1</f>
        <v>-1.96</v>
      </c>
      <c r="L7" s="30">
        <f>S17</f>
        <v>-0.91071732876614153</v>
      </c>
      <c r="M7" s="30">
        <f>K7*-1</f>
        <v>1.96</v>
      </c>
      <c r="V7" s="11" t="s">
        <v>56</v>
      </c>
      <c r="W7" s="11" t="s">
        <v>57</v>
      </c>
      <c r="X7" s="11" t="s">
        <v>58</v>
      </c>
      <c r="Y7" s="15"/>
      <c r="Z7" s="15"/>
    </row>
    <row r="8" spans="1:26" x14ac:dyDescent="0.25">
      <c r="U8" s="15"/>
      <c r="V8" s="15"/>
      <c r="W8" s="15"/>
      <c r="X8" s="15"/>
      <c r="Y8" s="15"/>
      <c r="Z8" s="15"/>
    </row>
    <row r="9" spans="1:26" x14ac:dyDescent="0.25">
      <c r="M9" s="53"/>
      <c r="N9" s="53"/>
      <c r="U9" s="15"/>
      <c r="V9" s="15"/>
      <c r="W9" s="15"/>
      <c r="X9" s="15"/>
      <c r="Y9" s="15"/>
      <c r="Z9" s="15"/>
    </row>
    <row r="10" spans="1:26" ht="45" x14ac:dyDescent="0.25">
      <c r="A10" s="27" t="s">
        <v>11</v>
      </c>
      <c r="C10" s="34"/>
      <c r="D10" s="34" t="s">
        <v>59</v>
      </c>
      <c r="E10" s="35" t="s">
        <v>60</v>
      </c>
      <c r="F10" s="35" t="s">
        <v>61</v>
      </c>
      <c r="G10" s="35" t="s">
        <v>15</v>
      </c>
      <c r="H10" s="35" t="s">
        <v>16</v>
      </c>
      <c r="I10" s="35" t="s">
        <v>17</v>
      </c>
      <c r="K10" s="52" t="s">
        <v>80</v>
      </c>
      <c r="L10" s="31" t="s">
        <v>18</v>
      </c>
      <c r="M10" s="49"/>
      <c r="N10" s="49"/>
      <c r="U10" s="15" t="s">
        <v>19</v>
      </c>
      <c r="V10" s="15" t="s">
        <v>20</v>
      </c>
      <c r="W10" s="15" t="s">
        <v>21</v>
      </c>
      <c r="X10" s="15"/>
      <c r="Y10" s="15" t="s">
        <v>22</v>
      </c>
      <c r="Z10" s="15" t="s">
        <v>23</v>
      </c>
    </row>
    <row r="11" spans="1:26" x14ac:dyDescent="0.25">
      <c r="A11">
        <v>67</v>
      </c>
      <c r="C11" s="34">
        <v>1</v>
      </c>
      <c r="D11" s="36">
        <f>A11/32768</f>
        <v>2.044677734375E-3</v>
      </c>
      <c r="E11" s="36">
        <v>2.044677734375E-3</v>
      </c>
      <c r="F11" s="34">
        <f>C11/50</f>
        <v>0.02</v>
      </c>
      <c r="G11" s="37">
        <f>ABS(E11-F11)</f>
        <v>1.7955322265625E-2</v>
      </c>
      <c r="H11" s="37">
        <f>MAX(G11:G60)</f>
        <v>0.10028320312500005</v>
      </c>
      <c r="I11" s="34">
        <v>0.188</v>
      </c>
      <c r="K11" s="30">
        <f t="shared" ref="K11:K42" si="0">IF(D11&gt;$N$11,1,0)</f>
        <v>0</v>
      </c>
      <c r="L11" s="30">
        <f>K11</f>
        <v>0</v>
      </c>
      <c r="M11" t="s">
        <v>38</v>
      </c>
      <c r="N11" s="13">
        <f>AVERAGE(D11:D60)</f>
        <v>0.48165710449218752</v>
      </c>
      <c r="R11" t="s">
        <v>39</v>
      </c>
      <c r="S11" s="32">
        <f>SUM(L11:L60)</f>
        <v>22</v>
      </c>
      <c r="U11" s="17">
        <v>2.044677734375E-3</v>
      </c>
      <c r="V11" s="15" t="s">
        <v>35</v>
      </c>
      <c r="W11" s="15">
        <v>12</v>
      </c>
      <c r="X11" s="38" t="s">
        <v>25</v>
      </c>
      <c r="Y11" s="38">
        <v>15.120000000000001</v>
      </c>
      <c r="Z11" s="40">
        <f>ABS((12-15.12)^2/15.12)</f>
        <v>0.6438095238095235</v>
      </c>
    </row>
    <row r="12" spans="1:26" x14ac:dyDescent="0.25">
      <c r="A12">
        <v>1952</v>
      </c>
      <c r="C12" s="34">
        <v>2</v>
      </c>
      <c r="D12" s="36">
        <f t="shared" ref="D12:D60" si="1">A12/32768</f>
        <v>5.95703125E-2</v>
      </c>
      <c r="E12" s="36">
        <v>5.95703125E-2</v>
      </c>
      <c r="F12" s="34">
        <f t="shared" ref="F12:F60" si="2">C12/50</f>
        <v>0.04</v>
      </c>
      <c r="G12" s="37">
        <f t="shared" ref="G12:G60" si="3">ABS(E12-F12)</f>
        <v>1.9570312499999999E-2</v>
      </c>
      <c r="H12" s="34"/>
      <c r="I12" s="34"/>
      <c r="K12" s="30">
        <f t="shared" si="0"/>
        <v>0</v>
      </c>
      <c r="L12" s="30">
        <f>IF(K13&lt;&gt;K12,1,0)</f>
        <v>1</v>
      </c>
      <c r="M12" t="s">
        <v>40</v>
      </c>
      <c r="N12">
        <f>_xlfn.STDEV.S(D11:D60)</f>
        <v>0.28929230494495806</v>
      </c>
      <c r="P12" t="s">
        <v>41</v>
      </c>
      <c r="Q12" t="s">
        <v>42</v>
      </c>
      <c r="U12" s="17">
        <v>5.95703125E-2</v>
      </c>
      <c r="V12" s="15" t="s">
        <v>24</v>
      </c>
      <c r="W12" s="15">
        <v>30</v>
      </c>
      <c r="X12" s="38" t="s">
        <v>27</v>
      </c>
      <c r="Y12" s="38">
        <v>25.2</v>
      </c>
      <c r="Z12" s="40">
        <f>ABS((30-25.2)^2/25.2)</f>
        <v>0.91428571428571459</v>
      </c>
    </row>
    <row r="13" spans="1:26" x14ac:dyDescent="0.25">
      <c r="A13">
        <v>23849</v>
      </c>
      <c r="C13" s="34">
        <v>3</v>
      </c>
      <c r="D13" s="36">
        <f t="shared" si="1"/>
        <v>0.727813720703125</v>
      </c>
      <c r="E13" s="36">
        <v>8.1390380859375E-2</v>
      </c>
      <c r="F13" s="34">
        <f t="shared" si="2"/>
        <v>0.06</v>
      </c>
      <c r="G13" s="37">
        <f t="shared" si="3"/>
        <v>2.1390380859375002E-2</v>
      </c>
      <c r="H13" s="34"/>
      <c r="I13" s="34"/>
      <c r="K13" s="30">
        <f t="shared" si="0"/>
        <v>1</v>
      </c>
      <c r="L13" s="30">
        <f t="shared" ref="L13:L59" si="4">IF(K14&lt;&gt;K13,1,0)</f>
        <v>1</v>
      </c>
      <c r="M13" s="27" t="s">
        <v>43</v>
      </c>
      <c r="N13">
        <v>0.05</v>
      </c>
      <c r="P13">
        <f>COUNTIF(K11:K60,1)</f>
        <v>22</v>
      </c>
      <c r="Q13">
        <f>COUNTIF(K11:K60,0)</f>
        <v>28</v>
      </c>
      <c r="U13" s="17">
        <v>0.727813720703125</v>
      </c>
      <c r="V13" s="15" t="s">
        <v>24</v>
      </c>
      <c r="W13" s="15">
        <v>4</v>
      </c>
      <c r="X13" s="38" t="s">
        <v>28</v>
      </c>
      <c r="Y13" s="38">
        <v>5.4</v>
      </c>
      <c r="Z13" s="40">
        <f>ABS((4-5.4)^2/5.4)</f>
        <v>0.36296296296296315</v>
      </c>
    </row>
    <row r="14" spans="1:26" x14ac:dyDescent="0.25">
      <c r="A14">
        <v>3502</v>
      </c>
      <c r="C14" s="34">
        <v>4</v>
      </c>
      <c r="D14" s="36">
        <f t="shared" si="1"/>
        <v>0.10687255859375</v>
      </c>
      <c r="E14" s="36">
        <v>8.4808349609375E-2</v>
      </c>
      <c r="F14" s="34">
        <f t="shared" si="2"/>
        <v>0.08</v>
      </c>
      <c r="G14" s="37">
        <f t="shared" si="3"/>
        <v>4.8083496093749983E-3</v>
      </c>
      <c r="H14" s="34"/>
      <c r="I14" s="34"/>
      <c r="K14" s="30">
        <f t="shared" si="0"/>
        <v>0</v>
      </c>
      <c r="L14" s="30">
        <f t="shared" si="4"/>
        <v>0</v>
      </c>
      <c r="M14" s="27" t="s">
        <v>44</v>
      </c>
      <c r="N14">
        <f>N13/2</f>
        <v>2.5000000000000001E-2</v>
      </c>
      <c r="U14" s="17">
        <v>0.10687255859375</v>
      </c>
      <c r="V14" s="15" t="s">
        <v>26</v>
      </c>
      <c r="W14" s="15">
        <v>4</v>
      </c>
      <c r="X14" s="38" t="s">
        <v>29</v>
      </c>
      <c r="Y14" s="38">
        <v>3.5999999999999996</v>
      </c>
      <c r="Z14" s="40">
        <f>ABS((4-3.6)^2/3.6)</f>
        <v>4.4444444444444418E-2</v>
      </c>
    </row>
    <row r="15" spans="1:26" x14ac:dyDescent="0.25">
      <c r="A15">
        <v>3263</v>
      </c>
      <c r="C15" s="34">
        <v>5</v>
      </c>
      <c r="D15" s="36">
        <f t="shared" si="1"/>
        <v>9.9578857421875E-2</v>
      </c>
      <c r="E15" s="36">
        <v>8.6700439453125E-2</v>
      </c>
      <c r="F15" s="34">
        <f t="shared" si="2"/>
        <v>0.1</v>
      </c>
      <c r="G15" s="37">
        <f t="shared" si="3"/>
        <v>1.3299560546875006E-2</v>
      </c>
      <c r="H15" s="34"/>
      <c r="I15" s="34"/>
      <c r="K15" s="30">
        <f t="shared" si="0"/>
        <v>0</v>
      </c>
      <c r="L15" s="30">
        <f t="shared" si="4"/>
        <v>1</v>
      </c>
      <c r="M15" t="s">
        <v>6</v>
      </c>
      <c r="N15">
        <f>1.96</f>
        <v>1.96</v>
      </c>
      <c r="R15" t="s">
        <v>45</v>
      </c>
      <c r="S15" s="33">
        <f>((2*P13*Q13))/(P13+Q13)+(1/2)</f>
        <v>25.14</v>
      </c>
      <c r="U15" s="17">
        <v>9.9578857421875E-2</v>
      </c>
      <c r="V15" s="15" t="s">
        <v>24</v>
      </c>
      <c r="W15" s="15">
        <v>0</v>
      </c>
      <c r="X15" s="38" t="s">
        <v>30</v>
      </c>
      <c r="Y15" s="38">
        <v>0.22499999999999998</v>
      </c>
      <c r="Z15" s="40">
        <f>ABS((0-0.225)^2/0.225)</f>
        <v>0.22500000000000001</v>
      </c>
    </row>
    <row r="16" spans="1:26" x14ac:dyDescent="0.25">
      <c r="A16">
        <v>29100</v>
      </c>
      <c r="C16" s="34">
        <v>6</v>
      </c>
      <c r="D16" s="36">
        <f t="shared" si="1"/>
        <v>0.8880615234375</v>
      </c>
      <c r="E16" s="36">
        <v>9.9578857421875E-2</v>
      </c>
      <c r="F16" s="34">
        <f t="shared" si="2"/>
        <v>0.12</v>
      </c>
      <c r="G16" s="37">
        <f t="shared" si="3"/>
        <v>2.0421142578124996E-2</v>
      </c>
      <c r="H16" s="34"/>
      <c r="I16" s="34"/>
      <c r="K16" s="30">
        <f t="shared" si="0"/>
        <v>1</v>
      </c>
      <c r="L16" s="30">
        <f t="shared" si="4"/>
        <v>0</v>
      </c>
      <c r="R16" t="s">
        <v>46</v>
      </c>
      <c r="S16">
        <f>(2*P13*Q13*(2*P13*Q13 -C60))/(C60*C60*(C60-1))</f>
        <v>11.887542857142858</v>
      </c>
      <c r="U16" s="17">
        <v>0.8880615234375</v>
      </c>
      <c r="V16" s="15" t="s">
        <v>35</v>
      </c>
      <c r="W16" s="15">
        <v>0</v>
      </c>
      <c r="X16" s="38" t="s">
        <v>31</v>
      </c>
      <c r="Y16" s="38">
        <v>0.44999999999999996</v>
      </c>
      <c r="Z16" s="40">
        <f>ABS((0-0.45)^2/0.45)</f>
        <v>0.45</v>
      </c>
    </row>
    <row r="17" spans="1:26" x14ac:dyDescent="0.25">
      <c r="A17">
        <v>24709</v>
      </c>
      <c r="C17" s="34">
        <v>7</v>
      </c>
      <c r="D17" s="36">
        <f t="shared" si="1"/>
        <v>0.754058837890625</v>
      </c>
      <c r="E17" s="36">
        <v>0.10687255859375</v>
      </c>
      <c r="F17" s="34">
        <f t="shared" si="2"/>
        <v>0.14000000000000001</v>
      </c>
      <c r="G17" s="37">
        <f t="shared" si="3"/>
        <v>3.3127441406250013E-2</v>
      </c>
      <c r="H17" s="34"/>
      <c r="I17" s="34"/>
      <c r="K17" s="30">
        <f t="shared" si="0"/>
        <v>1</v>
      </c>
      <c r="L17" s="30">
        <f t="shared" si="4"/>
        <v>0</v>
      </c>
      <c r="R17" t="s">
        <v>5</v>
      </c>
      <c r="S17">
        <f>(S11-S15)/SQRT(S16)</f>
        <v>-0.91071732876614153</v>
      </c>
      <c r="U17" s="17">
        <v>0.754058837890625</v>
      </c>
      <c r="V17" s="15" t="s">
        <v>26</v>
      </c>
      <c r="W17" s="15">
        <v>0</v>
      </c>
      <c r="X17" s="38" t="s">
        <v>32</v>
      </c>
      <c r="Y17" s="38">
        <v>5.0000000000000001E-3</v>
      </c>
      <c r="Z17" s="40">
        <f>ABS((0-0.005)^2/0.005)</f>
        <v>5.0000000000000001E-3</v>
      </c>
    </row>
    <row r="18" spans="1:26" x14ac:dyDescent="0.25">
      <c r="A18">
        <v>28442</v>
      </c>
      <c r="C18" s="34">
        <v>8</v>
      </c>
      <c r="D18" s="36">
        <f t="shared" si="1"/>
        <v>0.86798095703125</v>
      </c>
      <c r="E18" s="36">
        <v>0.121673583984375</v>
      </c>
      <c r="F18" s="34">
        <f t="shared" si="2"/>
        <v>0.16</v>
      </c>
      <c r="G18" s="37">
        <f t="shared" si="3"/>
        <v>3.8326416015625003E-2</v>
      </c>
      <c r="H18" s="34"/>
      <c r="I18" s="34"/>
      <c r="K18" s="30">
        <f t="shared" si="0"/>
        <v>1</v>
      </c>
      <c r="L18" s="30">
        <f t="shared" si="4"/>
        <v>1</v>
      </c>
      <c r="M18" s="54"/>
      <c r="N18" s="54"/>
      <c r="U18" s="17">
        <v>0.86798095703125</v>
      </c>
      <c r="V18" s="15" t="s">
        <v>24</v>
      </c>
      <c r="W18" s="15"/>
      <c r="X18" s="38"/>
      <c r="Y18" s="38"/>
      <c r="Z18" s="40"/>
    </row>
    <row r="19" spans="1:26" x14ac:dyDescent="0.25">
      <c r="A19">
        <v>5627</v>
      </c>
      <c r="C19" s="34">
        <v>9</v>
      </c>
      <c r="D19" s="36">
        <f t="shared" si="1"/>
        <v>0.171722412109375</v>
      </c>
      <c r="E19" s="36">
        <v>0.171722412109375</v>
      </c>
      <c r="F19" s="34">
        <f t="shared" si="2"/>
        <v>0.18</v>
      </c>
      <c r="G19" s="37">
        <f t="shared" si="3"/>
        <v>8.2775878906249933E-3</v>
      </c>
      <c r="H19" s="34"/>
      <c r="I19" s="34"/>
      <c r="K19" s="30">
        <f t="shared" si="0"/>
        <v>0</v>
      </c>
      <c r="L19" s="30">
        <f t="shared" si="4"/>
        <v>1</v>
      </c>
      <c r="M19" s="54"/>
      <c r="N19" s="54"/>
      <c r="U19" s="17">
        <v>0.171722412109375</v>
      </c>
      <c r="V19" s="15" t="s">
        <v>37</v>
      </c>
      <c r="W19" s="15"/>
      <c r="X19" s="38"/>
      <c r="Y19" s="38" t="s">
        <v>33</v>
      </c>
      <c r="Z19" s="40">
        <f>SUM(Z11:Z17)</f>
        <v>2.6455026455026456</v>
      </c>
    </row>
    <row r="20" spans="1:26" x14ac:dyDescent="0.25">
      <c r="A20">
        <v>32120</v>
      </c>
      <c r="C20" s="34">
        <v>10</v>
      </c>
      <c r="D20" s="36">
        <f t="shared" si="1"/>
        <v>0.980224609375</v>
      </c>
      <c r="E20" s="36">
        <v>0.1798095703125</v>
      </c>
      <c r="F20" s="34">
        <f t="shared" si="2"/>
        <v>0.2</v>
      </c>
      <c r="G20" s="37">
        <f t="shared" si="3"/>
        <v>2.0190429687500011E-2</v>
      </c>
      <c r="H20" s="34"/>
      <c r="I20" s="34"/>
      <c r="K20" s="30">
        <f t="shared" si="0"/>
        <v>1</v>
      </c>
      <c r="L20" s="30">
        <f t="shared" si="4"/>
        <v>1</v>
      </c>
      <c r="M20" s="54"/>
      <c r="N20" s="54"/>
      <c r="U20" s="17">
        <v>0.980224609375</v>
      </c>
      <c r="V20" s="15" t="s">
        <v>24</v>
      </c>
      <c r="W20" s="15"/>
      <c r="X20" s="38"/>
      <c r="Y20" s="38" t="s">
        <v>62</v>
      </c>
      <c r="Z20" s="40">
        <v>12.59</v>
      </c>
    </row>
    <row r="21" spans="1:26" x14ac:dyDescent="0.25">
      <c r="A21">
        <v>13985</v>
      </c>
      <c r="C21" s="34">
        <v>11</v>
      </c>
      <c r="D21" s="36">
        <f t="shared" si="1"/>
        <v>0.426788330078125</v>
      </c>
      <c r="E21" s="36">
        <v>0.214752197265625</v>
      </c>
      <c r="F21" s="34">
        <f t="shared" si="2"/>
        <v>0.22</v>
      </c>
      <c r="G21" s="37">
        <f t="shared" si="3"/>
        <v>5.2478027343750011E-3</v>
      </c>
      <c r="H21" s="34"/>
      <c r="I21" s="34"/>
      <c r="K21" s="30">
        <f t="shared" si="0"/>
        <v>0</v>
      </c>
      <c r="L21" s="30">
        <f t="shared" si="4"/>
        <v>0</v>
      </c>
      <c r="M21" s="54"/>
      <c r="N21" s="54"/>
      <c r="U21" s="17">
        <v>0.426788330078125</v>
      </c>
      <c r="V21" s="15" t="s">
        <v>26</v>
      </c>
      <c r="W21" s="15"/>
      <c r="X21" s="15"/>
      <c r="Y21" s="15"/>
      <c r="Z21" s="15"/>
    </row>
    <row r="22" spans="1:26" x14ac:dyDescent="0.25">
      <c r="A22">
        <v>12358</v>
      </c>
      <c r="C22" s="34">
        <v>12</v>
      </c>
      <c r="D22" s="36">
        <f t="shared" si="1"/>
        <v>0.37713623046875</v>
      </c>
      <c r="E22" s="36">
        <v>0.22808837890625</v>
      </c>
      <c r="F22" s="34">
        <f t="shared" si="2"/>
        <v>0.24</v>
      </c>
      <c r="G22" s="37">
        <f t="shared" si="3"/>
        <v>1.1911621093749991E-2</v>
      </c>
      <c r="H22" s="34"/>
      <c r="I22" s="34"/>
      <c r="K22" s="30">
        <f t="shared" si="0"/>
        <v>0</v>
      </c>
      <c r="L22" s="30">
        <f t="shared" si="4"/>
        <v>1</v>
      </c>
      <c r="M22" s="54"/>
      <c r="N22" s="54"/>
      <c r="U22" s="17">
        <v>0.37713623046875</v>
      </c>
      <c r="V22" s="15" t="s">
        <v>24</v>
      </c>
      <c r="W22" s="15"/>
      <c r="X22" s="15"/>
      <c r="Y22" s="15"/>
      <c r="Z22" s="15"/>
    </row>
    <row r="23" spans="1:26" x14ac:dyDescent="0.25">
      <c r="A23">
        <v>30711</v>
      </c>
      <c r="C23" s="34">
        <v>13</v>
      </c>
      <c r="D23" s="36">
        <f t="shared" si="1"/>
        <v>0.937225341796875</v>
      </c>
      <c r="E23" s="36">
        <v>0.26922607421875</v>
      </c>
      <c r="F23" s="34">
        <f t="shared" si="2"/>
        <v>0.26</v>
      </c>
      <c r="G23" s="37">
        <f t="shared" si="3"/>
        <v>9.2260742187499911E-3</v>
      </c>
      <c r="H23" s="34"/>
      <c r="I23" s="34"/>
      <c r="K23" s="30">
        <f t="shared" si="0"/>
        <v>1</v>
      </c>
      <c r="L23" s="30">
        <f t="shared" si="4"/>
        <v>1</v>
      </c>
      <c r="M23" s="54"/>
      <c r="N23" s="54"/>
      <c r="U23" s="17">
        <v>0.937225341796875</v>
      </c>
      <c r="V23" s="15" t="s">
        <v>24</v>
      </c>
      <c r="W23" s="15"/>
      <c r="X23" s="15"/>
      <c r="Y23" s="15"/>
      <c r="Z23" s="15"/>
    </row>
    <row r="24" spans="1:26" x14ac:dyDescent="0.25">
      <c r="A24">
        <v>5892</v>
      </c>
      <c r="C24" s="34">
        <v>14</v>
      </c>
      <c r="D24" s="36">
        <f t="shared" si="1"/>
        <v>0.1798095703125</v>
      </c>
      <c r="E24" s="36">
        <v>0.272186279296875</v>
      </c>
      <c r="F24" s="34">
        <f t="shared" si="2"/>
        <v>0.28000000000000003</v>
      </c>
      <c r="G24" s="37">
        <f t="shared" si="3"/>
        <v>7.8137207031250266E-3</v>
      </c>
      <c r="H24" s="34"/>
      <c r="I24" s="34"/>
      <c r="K24" s="30">
        <f t="shared" si="0"/>
        <v>0</v>
      </c>
      <c r="L24" s="30">
        <f t="shared" si="4"/>
        <v>0</v>
      </c>
      <c r="M24" s="54"/>
      <c r="N24" s="54"/>
      <c r="U24" s="17">
        <v>0.1798095703125</v>
      </c>
      <c r="V24" s="15" t="s">
        <v>26</v>
      </c>
      <c r="W24" s="15"/>
      <c r="X24" s="15"/>
      <c r="Y24" s="15"/>
      <c r="Z24" s="15"/>
    </row>
    <row r="25" spans="1:26" x14ac:dyDescent="0.25">
      <c r="A25">
        <v>7037</v>
      </c>
      <c r="C25" s="34">
        <v>15</v>
      </c>
      <c r="D25" s="36">
        <f t="shared" si="1"/>
        <v>0.214752197265625</v>
      </c>
      <c r="E25" s="36">
        <v>0.289337158203125</v>
      </c>
      <c r="F25" s="34">
        <f t="shared" si="2"/>
        <v>0.3</v>
      </c>
      <c r="G25" s="37">
        <f t="shared" si="3"/>
        <v>1.0662841796874989E-2</v>
      </c>
      <c r="H25" s="34"/>
      <c r="I25" s="34"/>
      <c r="K25" s="30">
        <f t="shared" si="0"/>
        <v>0</v>
      </c>
      <c r="L25" s="30">
        <f t="shared" si="4"/>
        <v>0</v>
      </c>
      <c r="M25" s="54"/>
      <c r="N25" s="54"/>
      <c r="U25" s="17">
        <v>0.214752197265625</v>
      </c>
      <c r="V25" s="15" t="s">
        <v>26</v>
      </c>
      <c r="W25" s="15"/>
      <c r="X25" s="15"/>
      <c r="Y25" s="15"/>
      <c r="Z25" s="15"/>
    </row>
    <row r="26" spans="1:26" x14ac:dyDescent="0.25">
      <c r="A26">
        <v>7474</v>
      </c>
      <c r="C26" s="34">
        <v>16</v>
      </c>
      <c r="D26" s="36">
        <f t="shared" si="1"/>
        <v>0.22808837890625</v>
      </c>
      <c r="E26" s="36">
        <v>0.3203125</v>
      </c>
      <c r="F26" s="34">
        <f t="shared" si="2"/>
        <v>0.32</v>
      </c>
      <c r="G26" s="37">
        <f t="shared" si="3"/>
        <v>3.1249999999999334E-4</v>
      </c>
      <c r="H26" s="34"/>
      <c r="I26" s="34"/>
      <c r="K26" s="30">
        <f t="shared" si="0"/>
        <v>0</v>
      </c>
      <c r="L26" s="30">
        <f t="shared" si="4"/>
        <v>1</v>
      </c>
      <c r="M26" s="54"/>
      <c r="N26" s="54"/>
      <c r="U26" s="17">
        <v>0.22808837890625</v>
      </c>
      <c r="V26" s="15" t="s">
        <v>24</v>
      </c>
      <c r="W26" s="15"/>
      <c r="X26" s="15"/>
      <c r="Y26" s="15"/>
      <c r="Z26" s="15"/>
    </row>
    <row r="27" spans="1:26" x14ac:dyDescent="0.25">
      <c r="A27">
        <v>20147</v>
      </c>
      <c r="C27" s="34">
        <v>17</v>
      </c>
      <c r="D27" s="36">
        <f t="shared" si="1"/>
        <v>0.614837646484375</v>
      </c>
      <c r="E27" s="36">
        <v>0.321380615234375</v>
      </c>
      <c r="F27" s="34">
        <f t="shared" si="2"/>
        <v>0.34</v>
      </c>
      <c r="G27" s="37">
        <f t="shared" si="3"/>
        <v>1.8619384765625024E-2</v>
      </c>
      <c r="H27" s="34"/>
      <c r="I27" s="34"/>
      <c r="K27" s="30">
        <f t="shared" si="0"/>
        <v>1</v>
      </c>
      <c r="L27" s="30">
        <f t="shared" si="4"/>
        <v>0</v>
      </c>
      <c r="M27" s="54"/>
      <c r="N27" s="54"/>
      <c r="U27" s="17">
        <v>0.614837646484375</v>
      </c>
      <c r="V27" s="15" t="s">
        <v>24</v>
      </c>
      <c r="W27" s="15"/>
      <c r="X27" s="15"/>
      <c r="Y27" s="15"/>
      <c r="Z27" s="15"/>
    </row>
    <row r="28" spans="1:26" x14ac:dyDescent="0.25">
      <c r="A28">
        <v>27216</v>
      </c>
      <c r="C28" s="34">
        <v>18</v>
      </c>
      <c r="D28" s="36">
        <f t="shared" si="1"/>
        <v>0.83056640625</v>
      </c>
      <c r="E28" s="36">
        <v>0.332061767578125</v>
      </c>
      <c r="F28" s="34">
        <f t="shared" si="2"/>
        <v>0.36</v>
      </c>
      <c r="G28" s="37">
        <f t="shared" si="3"/>
        <v>2.7938232421874987E-2</v>
      </c>
      <c r="H28" s="34"/>
      <c r="I28" s="34"/>
      <c r="K28" s="30">
        <f t="shared" si="0"/>
        <v>1</v>
      </c>
      <c r="L28" s="30">
        <f t="shared" si="4"/>
        <v>1</v>
      </c>
      <c r="M28" s="54"/>
      <c r="N28" s="54"/>
      <c r="U28" s="17">
        <v>0.83056640625</v>
      </c>
      <c r="V28" s="15" t="s">
        <v>26</v>
      </c>
      <c r="W28" s="15"/>
      <c r="X28" s="15"/>
      <c r="Y28" s="15"/>
      <c r="Z28" s="15"/>
    </row>
    <row r="29" spans="1:26" x14ac:dyDescent="0.25">
      <c r="A29">
        <v>2841</v>
      </c>
      <c r="C29" s="34">
        <v>19</v>
      </c>
      <c r="D29" s="36">
        <f t="shared" si="1"/>
        <v>8.6700439453125E-2</v>
      </c>
      <c r="E29" s="36">
        <v>0.340789794921875</v>
      </c>
      <c r="F29" s="34">
        <f t="shared" si="2"/>
        <v>0.38</v>
      </c>
      <c r="G29" s="37">
        <f t="shared" si="3"/>
        <v>3.9210205078125004E-2</v>
      </c>
      <c r="H29" s="34"/>
      <c r="I29" s="34"/>
      <c r="K29" s="30">
        <f t="shared" si="0"/>
        <v>0</v>
      </c>
      <c r="L29" s="30">
        <f t="shared" si="4"/>
        <v>1</v>
      </c>
      <c r="M29" s="54"/>
      <c r="N29" s="54"/>
      <c r="U29" s="17">
        <v>8.6700439453125E-2</v>
      </c>
      <c r="V29" s="15" t="s">
        <v>24</v>
      </c>
      <c r="W29" s="15"/>
      <c r="X29" s="15"/>
      <c r="Y29" s="15"/>
      <c r="Z29" s="15"/>
    </row>
    <row r="30" spans="1:26" x14ac:dyDescent="0.25">
      <c r="A30">
        <v>16862</v>
      </c>
      <c r="C30" s="34">
        <v>20</v>
      </c>
      <c r="D30" s="36">
        <f t="shared" si="1"/>
        <v>0.51458740234375</v>
      </c>
      <c r="E30" s="36">
        <v>0.360595703125</v>
      </c>
      <c r="F30" s="34">
        <f t="shared" si="2"/>
        <v>0.4</v>
      </c>
      <c r="G30" s="37">
        <f t="shared" si="3"/>
        <v>3.9404296875000022E-2</v>
      </c>
      <c r="H30" s="34"/>
      <c r="I30" s="34"/>
      <c r="K30" s="30">
        <f t="shared" si="0"/>
        <v>1</v>
      </c>
      <c r="L30" s="30">
        <f t="shared" si="4"/>
        <v>0</v>
      </c>
      <c r="M30" s="54"/>
      <c r="N30" s="54"/>
      <c r="U30" s="17">
        <v>0.51458740234375</v>
      </c>
      <c r="V30" s="15" t="s">
        <v>24</v>
      </c>
      <c r="W30" s="15"/>
      <c r="X30" s="15"/>
      <c r="Y30" s="15"/>
      <c r="Z30" s="15"/>
    </row>
    <row r="31" spans="1:26" x14ac:dyDescent="0.25">
      <c r="A31">
        <v>30255</v>
      </c>
      <c r="C31" s="34">
        <v>21</v>
      </c>
      <c r="D31" s="36">
        <f t="shared" si="1"/>
        <v>0.923309326171875</v>
      </c>
      <c r="E31" s="36">
        <v>0.37713623046875</v>
      </c>
      <c r="F31" s="34">
        <f t="shared" si="2"/>
        <v>0.42</v>
      </c>
      <c r="G31" s="37">
        <f t="shared" si="3"/>
        <v>4.2863769531249984E-2</v>
      </c>
      <c r="H31" s="34"/>
      <c r="I31" s="34"/>
      <c r="K31" s="30">
        <f t="shared" si="0"/>
        <v>1</v>
      </c>
      <c r="L31" s="30">
        <f t="shared" si="4"/>
        <v>0</v>
      </c>
      <c r="M31" s="54"/>
      <c r="N31" s="54"/>
      <c r="U31" s="17">
        <v>0.923309326171875</v>
      </c>
      <c r="V31" s="15" t="s">
        <v>24</v>
      </c>
      <c r="W31" s="15"/>
      <c r="X31" s="15"/>
      <c r="Y31" s="15"/>
      <c r="Z31" s="15"/>
    </row>
    <row r="32" spans="1:26" x14ac:dyDescent="0.25">
      <c r="A32">
        <v>25436</v>
      </c>
      <c r="C32" s="34">
        <v>22</v>
      </c>
      <c r="D32" s="36">
        <f t="shared" si="1"/>
        <v>0.7762451171875</v>
      </c>
      <c r="E32" s="36">
        <v>0.39105224609375</v>
      </c>
      <c r="F32" s="34">
        <f t="shared" si="2"/>
        <v>0.44</v>
      </c>
      <c r="G32" s="37">
        <f t="shared" si="3"/>
        <v>4.8947753906250002E-2</v>
      </c>
      <c r="H32" s="34"/>
      <c r="I32" s="34"/>
      <c r="K32" s="30">
        <f t="shared" si="0"/>
        <v>1</v>
      </c>
      <c r="L32" s="30">
        <f t="shared" si="4"/>
        <v>0</v>
      </c>
      <c r="M32" s="54"/>
      <c r="N32" s="54"/>
      <c r="U32" s="17">
        <v>0.7762451171875</v>
      </c>
      <c r="V32" s="15" t="s">
        <v>24</v>
      </c>
      <c r="W32" s="15"/>
      <c r="X32" s="15"/>
      <c r="Y32" s="15"/>
      <c r="Z32" s="15"/>
    </row>
    <row r="33" spans="1:26" x14ac:dyDescent="0.25">
      <c r="A33">
        <v>16757</v>
      </c>
      <c r="C33" s="34">
        <v>23</v>
      </c>
      <c r="D33" s="36">
        <f t="shared" si="1"/>
        <v>0.511383056640625</v>
      </c>
      <c r="E33" s="36">
        <v>0.393951416015625</v>
      </c>
      <c r="F33" s="34">
        <f t="shared" si="2"/>
        <v>0.46</v>
      </c>
      <c r="G33" s="37">
        <f t="shared" si="3"/>
        <v>6.604858398437502E-2</v>
      </c>
      <c r="H33" s="34"/>
      <c r="I33" s="34"/>
      <c r="K33" s="30">
        <f t="shared" si="0"/>
        <v>1</v>
      </c>
      <c r="L33" s="30">
        <f t="shared" si="4"/>
        <v>0</v>
      </c>
      <c r="M33" s="54"/>
      <c r="N33" s="54"/>
      <c r="U33" s="17">
        <v>0.511383056640625</v>
      </c>
      <c r="V33" s="15" t="s">
        <v>24</v>
      </c>
      <c r="W33" s="15"/>
      <c r="X33" s="15"/>
      <c r="Y33" s="15"/>
      <c r="Z33" s="15"/>
    </row>
    <row r="34" spans="1:26" x14ac:dyDescent="0.25">
      <c r="A34">
        <v>27210</v>
      </c>
      <c r="C34" s="34">
        <v>24</v>
      </c>
      <c r="D34" s="36">
        <f t="shared" si="1"/>
        <v>0.83038330078125</v>
      </c>
      <c r="E34" s="36">
        <v>0.42486572265625</v>
      </c>
      <c r="F34" s="34">
        <f t="shared" si="2"/>
        <v>0.48</v>
      </c>
      <c r="G34" s="37">
        <f t="shared" si="3"/>
        <v>5.5134277343749982E-2</v>
      </c>
      <c r="H34" s="34"/>
      <c r="I34" s="34"/>
      <c r="K34" s="30">
        <f t="shared" si="0"/>
        <v>1</v>
      </c>
      <c r="L34" s="30">
        <f t="shared" si="4"/>
        <v>1</v>
      </c>
      <c r="M34" s="54"/>
      <c r="N34" s="54"/>
      <c r="U34" s="17">
        <v>0.83038330078125</v>
      </c>
      <c r="V34" s="15" t="s">
        <v>37</v>
      </c>
      <c r="W34" s="15"/>
      <c r="X34" s="15"/>
      <c r="Y34" s="15"/>
      <c r="Z34" s="15"/>
    </row>
    <row r="35" spans="1:26" x14ac:dyDescent="0.25">
      <c r="A35">
        <v>2667</v>
      </c>
      <c r="C35" s="34">
        <v>25</v>
      </c>
      <c r="D35" s="36">
        <f t="shared" si="1"/>
        <v>8.1390380859375E-2</v>
      </c>
      <c r="E35" s="36">
        <v>0.426788330078125</v>
      </c>
      <c r="F35" s="34">
        <f t="shared" si="2"/>
        <v>0.5</v>
      </c>
      <c r="G35" s="37">
        <f t="shared" si="3"/>
        <v>7.3211669921875E-2</v>
      </c>
      <c r="H35" s="34"/>
      <c r="I35" s="34"/>
      <c r="K35" s="30">
        <f t="shared" si="0"/>
        <v>0</v>
      </c>
      <c r="L35" s="30">
        <f t="shared" si="4"/>
        <v>0</v>
      </c>
      <c r="M35" s="54"/>
      <c r="N35" s="54"/>
      <c r="U35" s="17">
        <v>8.1390380859375E-2</v>
      </c>
      <c r="V35" s="15" t="s">
        <v>26</v>
      </c>
      <c r="W35" s="15"/>
      <c r="X35" s="15"/>
      <c r="Y35" s="15"/>
      <c r="Z35" s="15"/>
    </row>
    <row r="36" spans="1:26" x14ac:dyDescent="0.25">
      <c r="A36">
        <v>11816</v>
      </c>
      <c r="C36" s="34">
        <v>26</v>
      </c>
      <c r="D36" s="36">
        <f t="shared" si="1"/>
        <v>0.360595703125</v>
      </c>
      <c r="E36" s="36">
        <v>0.4273681640625</v>
      </c>
      <c r="F36" s="34">
        <f t="shared" si="2"/>
        <v>0.52</v>
      </c>
      <c r="G36" s="37">
        <f t="shared" si="3"/>
        <v>9.2631835937500018E-2</v>
      </c>
      <c r="H36" s="34"/>
      <c r="I36" s="34"/>
      <c r="K36" s="30">
        <f t="shared" si="0"/>
        <v>0</v>
      </c>
      <c r="L36" s="30">
        <f t="shared" si="4"/>
        <v>0</v>
      </c>
      <c r="M36" s="54"/>
      <c r="N36" s="54"/>
      <c r="U36" s="17">
        <v>0.360595703125</v>
      </c>
      <c r="V36" s="15" t="s">
        <v>37</v>
      </c>
      <c r="W36" s="15"/>
      <c r="X36" s="15"/>
      <c r="Y36" s="15"/>
      <c r="Z36" s="15"/>
    </row>
    <row r="37" spans="1:26" x14ac:dyDescent="0.25">
      <c r="A37">
        <v>14993</v>
      </c>
      <c r="C37" s="34">
        <v>27</v>
      </c>
      <c r="D37" s="36">
        <f t="shared" si="1"/>
        <v>0.457550048828125</v>
      </c>
      <c r="E37" s="36">
        <v>0.457550048828125</v>
      </c>
      <c r="F37" s="34">
        <f t="shared" si="2"/>
        <v>0.54</v>
      </c>
      <c r="G37" s="37">
        <f t="shared" si="3"/>
        <v>8.2449951171875036E-2</v>
      </c>
      <c r="H37" s="34"/>
      <c r="I37" s="34"/>
      <c r="K37" s="30">
        <f t="shared" si="0"/>
        <v>0</v>
      </c>
      <c r="L37" s="30">
        <f t="shared" si="4"/>
        <v>0</v>
      </c>
      <c r="M37" s="54"/>
      <c r="N37" s="54"/>
      <c r="U37" s="17">
        <v>0.457550048828125</v>
      </c>
      <c r="V37" s="15" t="s">
        <v>35</v>
      </c>
      <c r="W37" s="15"/>
      <c r="X37" s="15"/>
      <c r="Y37" s="15"/>
      <c r="Z37" s="15"/>
    </row>
    <row r="38" spans="1:26" x14ac:dyDescent="0.25">
      <c r="A38">
        <v>8822</v>
      </c>
      <c r="C38" s="34">
        <v>28</v>
      </c>
      <c r="D38" s="36">
        <f t="shared" si="1"/>
        <v>0.26922607421875</v>
      </c>
      <c r="E38" s="36">
        <v>0.459716796875</v>
      </c>
      <c r="F38" s="34">
        <f t="shared" si="2"/>
        <v>0.56000000000000005</v>
      </c>
      <c r="G38" s="37">
        <f t="shared" si="3"/>
        <v>0.10028320312500005</v>
      </c>
      <c r="H38" s="34"/>
      <c r="I38" s="34"/>
      <c r="K38" s="30">
        <f t="shared" si="0"/>
        <v>0</v>
      </c>
      <c r="L38" s="30">
        <f t="shared" si="4"/>
        <v>1</v>
      </c>
      <c r="M38" s="54"/>
      <c r="N38" s="54"/>
      <c r="U38" s="17">
        <v>0.26922607421875</v>
      </c>
      <c r="V38" s="15" t="s">
        <v>24</v>
      </c>
      <c r="W38" s="15"/>
      <c r="X38" s="15"/>
      <c r="Y38" s="15"/>
      <c r="Z38" s="15"/>
    </row>
    <row r="39" spans="1:26" x14ac:dyDescent="0.25">
      <c r="A39">
        <v>26471</v>
      </c>
      <c r="C39" s="34">
        <v>29</v>
      </c>
      <c r="D39" s="36">
        <f t="shared" si="1"/>
        <v>0.807830810546875</v>
      </c>
      <c r="E39" s="36">
        <v>0.511383056640625</v>
      </c>
      <c r="F39" s="34">
        <f t="shared" si="2"/>
        <v>0.57999999999999996</v>
      </c>
      <c r="G39" s="37">
        <f t="shared" si="3"/>
        <v>6.861694335937496E-2</v>
      </c>
      <c r="H39" s="34"/>
      <c r="I39" s="34"/>
      <c r="K39" s="30">
        <f t="shared" si="0"/>
        <v>1</v>
      </c>
      <c r="L39" s="30">
        <f t="shared" si="4"/>
        <v>1</v>
      </c>
      <c r="M39" s="54"/>
      <c r="N39" s="54"/>
      <c r="U39" s="17">
        <v>0.807830810546875</v>
      </c>
      <c r="V39" s="15" t="s">
        <v>24</v>
      </c>
      <c r="W39" s="15"/>
      <c r="X39" s="15"/>
      <c r="Y39" s="15"/>
      <c r="Z39" s="15"/>
    </row>
    <row r="40" spans="1:26" x14ac:dyDescent="0.25">
      <c r="A40">
        <v>14004</v>
      </c>
      <c r="C40" s="34">
        <v>30</v>
      </c>
      <c r="D40" s="36">
        <f t="shared" si="1"/>
        <v>0.4273681640625</v>
      </c>
      <c r="E40" s="36">
        <v>0.51458740234375</v>
      </c>
      <c r="F40" s="34">
        <f t="shared" si="2"/>
        <v>0.6</v>
      </c>
      <c r="G40" s="37">
        <f t="shared" si="3"/>
        <v>8.5412597656249978E-2</v>
      </c>
      <c r="H40" s="34"/>
      <c r="I40" s="34"/>
      <c r="K40" s="30">
        <f t="shared" si="0"/>
        <v>0</v>
      </c>
      <c r="L40" s="30">
        <f t="shared" si="4"/>
        <v>0</v>
      </c>
      <c r="M40" s="54"/>
      <c r="N40" s="54"/>
      <c r="U40" s="17">
        <v>0.4273681640625</v>
      </c>
      <c r="V40" s="15" t="s">
        <v>24</v>
      </c>
      <c r="W40" s="15"/>
      <c r="X40" s="15"/>
      <c r="Y40" s="15"/>
      <c r="Z40" s="15"/>
    </row>
    <row r="41" spans="1:26" x14ac:dyDescent="0.25">
      <c r="A41">
        <v>12909</v>
      </c>
      <c r="C41" s="34">
        <v>31</v>
      </c>
      <c r="D41" s="36">
        <f t="shared" si="1"/>
        <v>0.393951416015625</v>
      </c>
      <c r="E41" s="36">
        <v>0.52880859375</v>
      </c>
      <c r="F41" s="34">
        <f t="shared" si="2"/>
        <v>0.62</v>
      </c>
      <c r="G41" s="37">
        <f t="shared" si="3"/>
        <v>9.1191406249999996E-2</v>
      </c>
      <c r="H41" s="34"/>
      <c r="I41" s="34"/>
      <c r="K41" s="30">
        <f t="shared" si="0"/>
        <v>0</v>
      </c>
      <c r="L41" s="30">
        <f t="shared" si="4"/>
        <v>0</v>
      </c>
      <c r="M41" s="54"/>
      <c r="N41" s="54"/>
      <c r="U41" s="17">
        <v>0.393951416015625</v>
      </c>
      <c r="V41" s="15" t="s">
        <v>37</v>
      </c>
      <c r="W41" s="15"/>
      <c r="X41" s="15"/>
      <c r="Y41" s="15"/>
      <c r="Z41" s="15"/>
    </row>
    <row r="42" spans="1:26" x14ac:dyDescent="0.25">
      <c r="A42">
        <v>13922</v>
      </c>
      <c r="C42" s="34">
        <v>32</v>
      </c>
      <c r="D42" s="36">
        <f t="shared" si="1"/>
        <v>0.42486572265625</v>
      </c>
      <c r="E42" s="36">
        <v>0.59039306640625</v>
      </c>
      <c r="F42" s="34">
        <f t="shared" si="2"/>
        <v>0.64</v>
      </c>
      <c r="G42" s="37">
        <f t="shared" si="3"/>
        <v>4.9606933593750013E-2</v>
      </c>
      <c r="H42" s="34"/>
      <c r="I42" s="34"/>
      <c r="K42" s="30">
        <f t="shared" si="0"/>
        <v>0</v>
      </c>
      <c r="L42" s="30">
        <f t="shared" si="4"/>
        <v>0</v>
      </c>
      <c r="M42" s="54"/>
      <c r="N42" s="54"/>
      <c r="U42" s="17">
        <v>0.42486572265625</v>
      </c>
      <c r="V42" s="15" t="s">
        <v>24</v>
      </c>
      <c r="W42" s="15"/>
      <c r="X42" s="15"/>
      <c r="Y42" s="15"/>
      <c r="Z42" s="15"/>
    </row>
    <row r="43" spans="1:26" x14ac:dyDescent="0.25">
      <c r="A43">
        <v>10531</v>
      </c>
      <c r="C43" s="34">
        <v>33</v>
      </c>
      <c r="D43" s="36">
        <f t="shared" si="1"/>
        <v>0.321380615234375</v>
      </c>
      <c r="E43" s="36">
        <v>0.612457275390625</v>
      </c>
      <c r="F43" s="34">
        <f t="shared" si="2"/>
        <v>0.66</v>
      </c>
      <c r="G43" s="37">
        <f t="shared" si="3"/>
        <v>4.7542724609375031E-2</v>
      </c>
      <c r="H43" s="34"/>
      <c r="I43" s="34"/>
      <c r="K43" s="30">
        <f t="shared" ref="K43:K60" si="5">IF(D43&gt;$N$11,1,0)</f>
        <v>0</v>
      </c>
      <c r="L43" s="30">
        <f t="shared" si="4"/>
        <v>0</v>
      </c>
      <c r="M43" s="54"/>
      <c r="N43" s="54"/>
      <c r="U43" s="17">
        <v>0.321380615234375</v>
      </c>
      <c r="V43" s="15" t="s">
        <v>24</v>
      </c>
      <c r="W43" s="15"/>
      <c r="X43" s="15"/>
      <c r="Y43" s="15"/>
      <c r="Z43" s="15"/>
    </row>
    <row r="44" spans="1:26" x14ac:dyDescent="0.25">
      <c r="A44">
        <v>10496</v>
      </c>
      <c r="C44" s="34">
        <v>34</v>
      </c>
      <c r="D44" s="36">
        <f t="shared" si="1"/>
        <v>0.3203125</v>
      </c>
      <c r="E44" s="36">
        <v>0.614837646484375</v>
      </c>
      <c r="F44" s="34">
        <f t="shared" si="2"/>
        <v>0.68</v>
      </c>
      <c r="G44" s="37">
        <f t="shared" si="3"/>
        <v>6.5162353515625049E-2</v>
      </c>
      <c r="H44" s="34"/>
      <c r="I44" s="34"/>
      <c r="K44" s="30">
        <f t="shared" si="5"/>
        <v>0</v>
      </c>
      <c r="L44" s="30">
        <f t="shared" si="4"/>
        <v>0</v>
      </c>
      <c r="M44" s="54"/>
      <c r="N44" s="54"/>
      <c r="U44" s="17">
        <v>0.3203125</v>
      </c>
      <c r="V44" s="15" t="s">
        <v>24</v>
      </c>
      <c r="W44" s="15"/>
      <c r="X44" s="15"/>
      <c r="Y44" s="15"/>
      <c r="Z44" s="15"/>
    </row>
    <row r="45" spans="1:26" x14ac:dyDescent="0.25">
      <c r="A45">
        <v>9481</v>
      </c>
      <c r="C45" s="34">
        <v>35</v>
      </c>
      <c r="D45" s="36">
        <f t="shared" si="1"/>
        <v>0.289337158203125</v>
      </c>
      <c r="E45" s="36">
        <v>0.63006591796875</v>
      </c>
      <c r="F45" s="34">
        <f t="shared" si="2"/>
        <v>0.7</v>
      </c>
      <c r="G45" s="37">
        <f t="shared" si="3"/>
        <v>6.9934082031249956E-2</v>
      </c>
      <c r="H45" s="34"/>
      <c r="I45" s="34"/>
      <c r="K45" s="30">
        <f t="shared" si="5"/>
        <v>0</v>
      </c>
      <c r="L45" s="30">
        <f t="shared" si="4"/>
        <v>0</v>
      </c>
      <c r="M45" s="54"/>
      <c r="N45" s="54"/>
      <c r="U45" s="17">
        <v>0.289337158203125</v>
      </c>
      <c r="V45" s="15" t="s">
        <v>26</v>
      </c>
      <c r="W45" s="15"/>
      <c r="X45" s="15"/>
      <c r="Y45" s="15"/>
      <c r="Z45" s="15"/>
    </row>
    <row r="46" spans="1:26" x14ac:dyDescent="0.25">
      <c r="A46">
        <v>12814</v>
      </c>
      <c r="C46" s="34">
        <v>36</v>
      </c>
      <c r="D46" s="36">
        <f t="shared" si="1"/>
        <v>0.39105224609375</v>
      </c>
      <c r="E46" s="36">
        <v>0.727813720703125</v>
      </c>
      <c r="F46" s="34">
        <f t="shared" si="2"/>
        <v>0.72</v>
      </c>
      <c r="G46" s="37">
        <f t="shared" si="3"/>
        <v>7.8137207031250266E-3</v>
      </c>
      <c r="H46" s="34"/>
      <c r="I46" s="34"/>
      <c r="K46" s="30">
        <f t="shared" si="5"/>
        <v>0</v>
      </c>
      <c r="L46" s="30">
        <f t="shared" si="4"/>
        <v>0</v>
      </c>
      <c r="M46" s="54"/>
      <c r="N46" s="54"/>
      <c r="U46" s="17">
        <v>0.39105224609375</v>
      </c>
      <c r="V46" s="15" t="s">
        <v>26</v>
      </c>
      <c r="W46" s="15"/>
      <c r="X46" s="15"/>
      <c r="Y46" s="15"/>
      <c r="Z46" s="15"/>
    </row>
    <row r="47" spans="1:26" x14ac:dyDescent="0.25">
      <c r="A47">
        <v>11167</v>
      </c>
      <c r="C47" s="34">
        <v>37</v>
      </c>
      <c r="D47" s="36">
        <f t="shared" si="1"/>
        <v>0.340789794921875</v>
      </c>
      <c r="E47" s="36">
        <v>0.754058837890625</v>
      </c>
      <c r="F47" s="34">
        <f t="shared" si="2"/>
        <v>0.74</v>
      </c>
      <c r="G47" s="37">
        <f t="shared" si="3"/>
        <v>1.4058837890625009E-2</v>
      </c>
      <c r="H47" s="34"/>
      <c r="I47" s="34"/>
      <c r="K47" s="30">
        <f t="shared" si="5"/>
        <v>0</v>
      </c>
      <c r="L47" s="30">
        <f t="shared" si="4"/>
        <v>1</v>
      </c>
      <c r="M47" s="54"/>
      <c r="N47" s="54"/>
      <c r="U47" s="17">
        <v>0.340789794921875</v>
      </c>
      <c r="V47" s="15" t="s">
        <v>26</v>
      </c>
      <c r="W47" s="15"/>
      <c r="X47" s="15"/>
      <c r="Y47" s="15"/>
      <c r="Z47" s="15"/>
    </row>
    <row r="48" spans="1:26" x14ac:dyDescent="0.25">
      <c r="A48">
        <v>28940</v>
      </c>
      <c r="C48" s="34">
        <v>38</v>
      </c>
      <c r="D48" s="36">
        <f t="shared" si="1"/>
        <v>0.8831787109375</v>
      </c>
      <c r="E48" s="36">
        <v>0.76153564453125</v>
      </c>
      <c r="F48" s="34">
        <f t="shared" si="2"/>
        <v>0.76</v>
      </c>
      <c r="G48" s="37">
        <f t="shared" si="3"/>
        <v>1.5356445312499911E-3</v>
      </c>
      <c r="H48" s="34"/>
      <c r="I48" s="34"/>
      <c r="K48" s="30">
        <f t="shared" si="5"/>
        <v>1</v>
      </c>
      <c r="L48" s="30">
        <f t="shared" si="4"/>
        <v>0</v>
      </c>
      <c r="M48" s="54"/>
      <c r="N48" s="54"/>
      <c r="U48" s="17">
        <v>0.8831787109375</v>
      </c>
      <c r="V48" s="15" t="s">
        <v>35</v>
      </c>
      <c r="W48" s="15"/>
      <c r="X48" s="15"/>
      <c r="Y48" s="15"/>
      <c r="Z48" s="15"/>
    </row>
    <row r="49" spans="1:26" x14ac:dyDescent="0.25">
      <c r="A49">
        <v>20069</v>
      </c>
      <c r="C49" s="34">
        <v>39</v>
      </c>
      <c r="D49" s="36">
        <f t="shared" si="1"/>
        <v>0.612457275390625</v>
      </c>
      <c r="E49" s="36">
        <v>0.7762451171875</v>
      </c>
      <c r="F49" s="34">
        <f t="shared" si="2"/>
        <v>0.78</v>
      </c>
      <c r="G49" s="37">
        <f t="shared" si="3"/>
        <v>3.7548828125000266E-3</v>
      </c>
      <c r="H49" s="34"/>
      <c r="I49" s="34"/>
      <c r="K49" s="30">
        <f t="shared" si="5"/>
        <v>1</v>
      </c>
      <c r="L49" s="30">
        <f t="shared" si="4"/>
        <v>0</v>
      </c>
      <c r="M49" s="54"/>
      <c r="N49" s="54"/>
      <c r="U49" s="17">
        <v>0.612457275390625</v>
      </c>
      <c r="V49" s="15" t="s">
        <v>24</v>
      </c>
      <c r="W49" s="15"/>
      <c r="X49" s="15"/>
      <c r="Y49" s="15"/>
      <c r="Z49" s="15"/>
    </row>
    <row r="50" spans="1:26" x14ac:dyDescent="0.25">
      <c r="A50">
        <v>24954</v>
      </c>
      <c r="C50" s="34">
        <v>40</v>
      </c>
      <c r="D50" s="36">
        <f t="shared" si="1"/>
        <v>0.76153564453125</v>
      </c>
      <c r="E50" s="36">
        <v>0.807830810546875</v>
      </c>
      <c r="F50" s="34">
        <f t="shared" si="2"/>
        <v>0.8</v>
      </c>
      <c r="G50" s="37">
        <f t="shared" si="3"/>
        <v>7.8308105468749556E-3</v>
      </c>
      <c r="H50" s="34"/>
      <c r="I50" s="34"/>
      <c r="K50" s="30">
        <f t="shared" si="5"/>
        <v>1</v>
      </c>
      <c r="L50" s="30">
        <f t="shared" si="4"/>
        <v>1</v>
      </c>
      <c r="M50" s="54"/>
      <c r="N50" s="54"/>
      <c r="U50" s="17">
        <v>0.76153564453125</v>
      </c>
      <c r="V50" s="15" t="s">
        <v>26</v>
      </c>
      <c r="W50" s="15"/>
      <c r="X50" s="15"/>
      <c r="Y50" s="15"/>
      <c r="Z50" s="15"/>
    </row>
    <row r="51" spans="1:26" x14ac:dyDescent="0.25">
      <c r="A51">
        <v>2779</v>
      </c>
      <c r="C51" s="34">
        <v>41</v>
      </c>
      <c r="D51" s="36">
        <f t="shared" si="1"/>
        <v>8.4808349609375E-2</v>
      </c>
      <c r="E51" s="36">
        <v>0.83038330078125</v>
      </c>
      <c r="F51" s="34">
        <f t="shared" si="2"/>
        <v>0.82</v>
      </c>
      <c r="G51" s="37">
        <f t="shared" si="3"/>
        <v>1.0383300781250049E-2</v>
      </c>
      <c r="H51" s="34"/>
      <c r="I51" s="34"/>
      <c r="K51" s="30">
        <f t="shared" si="5"/>
        <v>0</v>
      </c>
      <c r="L51" s="30">
        <f t="shared" si="4"/>
        <v>0</v>
      </c>
      <c r="M51" s="54"/>
      <c r="N51" s="54"/>
      <c r="U51" s="17">
        <v>8.4808349609375E-2</v>
      </c>
      <c r="V51" s="15" t="s">
        <v>24</v>
      </c>
      <c r="W51" s="15"/>
      <c r="X51" s="15"/>
      <c r="Y51" s="15"/>
      <c r="Z51" s="15"/>
    </row>
    <row r="52" spans="1:26" x14ac:dyDescent="0.25">
      <c r="A52">
        <v>15064</v>
      </c>
      <c r="C52" s="34">
        <v>42</v>
      </c>
      <c r="D52" s="36">
        <f t="shared" si="1"/>
        <v>0.459716796875</v>
      </c>
      <c r="E52" s="36">
        <v>0.83056640625</v>
      </c>
      <c r="F52" s="34">
        <f t="shared" si="2"/>
        <v>0.84</v>
      </c>
      <c r="G52" s="37">
        <f t="shared" si="3"/>
        <v>9.4335937499999689E-3</v>
      </c>
      <c r="H52" s="34"/>
      <c r="I52" s="34"/>
      <c r="K52" s="30">
        <f t="shared" si="5"/>
        <v>0</v>
      </c>
      <c r="L52" s="30">
        <f t="shared" si="4"/>
        <v>0</v>
      </c>
      <c r="M52" s="54"/>
      <c r="N52" s="54"/>
      <c r="U52" s="17">
        <v>0.459716796875</v>
      </c>
      <c r="V52" s="15" t="s">
        <v>26</v>
      </c>
      <c r="W52" s="15"/>
      <c r="X52" s="15"/>
      <c r="Y52" s="15"/>
      <c r="Z52" s="15"/>
    </row>
    <row r="53" spans="1:26" x14ac:dyDescent="0.25">
      <c r="A53">
        <v>10881</v>
      </c>
      <c r="C53" s="34">
        <v>43</v>
      </c>
      <c r="D53" s="36">
        <f t="shared" si="1"/>
        <v>0.332061767578125</v>
      </c>
      <c r="E53" s="36">
        <v>0.86798095703125</v>
      </c>
      <c r="F53" s="34">
        <f t="shared" si="2"/>
        <v>0.86</v>
      </c>
      <c r="G53" s="37">
        <f t="shared" si="3"/>
        <v>7.9809570312500133E-3</v>
      </c>
      <c r="H53" s="34"/>
      <c r="I53" s="34"/>
      <c r="K53" s="30">
        <f t="shared" si="5"/>
        <v>0</v>
      </c>
      <c r="L53" s="30">
        <f t="shared" si="4"/>
        <v>1</v>
      </c>
      <c r="M53" s="54"/>
      <c r="N53" s="54"/>
      <c r="U53" s="17">
        <v>0.332061767578125</v>
      </c>
      <c r="V53" s="15" t="s">
        <v>24</v>
      </c>
      <c r="W53" s="15"/>
      <c r="X53" s="15"/>
      <c r="Y53" s="15"/>
      <c r="Z53" s="15"/>
    </row>
    <row r="54" spans="1:26" x14ac:dyDescent="0.25">
      <c r="A54">
        <v>20646</v>
      </c>
      <c r="C54" s="34">
        <v>44</v>
      </c>
      <c r="D54" s="36">
        <f t="shared" si="1"/>
        <v>0.63006591796875</v>
      </c>
      <c r="E54" s="36">
        <v>0.8831787109375</v>
      </c>
      <c r="F54" s="34">
        <f t="shared" si="2"/>
        <v>0.88</v>
      </c>
      <c r="G54" s="37">
        <f t="shared" si="3"/>
        <v>3.1787109374999956E-3</v>
      </c>
      <c r="H54" s="34"/>
      <c r="I54" s="34"/>
      <c r="K54" s="30">
        <f t="shared" si="5"/>
        <v>1</v>
      </c>
      <c r="L54" s="30">
        <f t="shared" si="4"/>
        <v>1</v>
      </c>
      <c r="M54" s="54"/>
      <c r="N54" s="54"/>
      <c r="U54" s="17">
        <v>0.63006591796875</v>
      </c>
      <c r="V54" s="15" t="s">
        <v>24</v>
      </c>
      <c r="W54" s="15"/>
      <c r="X54" s="15"/>
      <c r="Y54" s="15"/>
      <c r="Z54" s="15"/>
    </row>
    <row r="55" spans="1:26" x14ac:dyDescent="0.25">
      <c r="A55">
        <v>8919</v>
      </c>
      <c r="C55" s="34">
        <v>45</v>
      </c>
      <c r="D55" s="36">
        <f t="shared" si="1"/>
        <v>0.272186279296875</v>
      </c>
      <c r="E55" s="36">
        <v>0.8880615234375</v>
      </c>
      <c r="F55" s="34">
        <f t="shared" si="2"/>
        <v>0.9</v>
      </c>
      <c r="G55" s="37">
        <f t="shared" si="3"/>
        <v>1.1938476562500022E-2</v>
      </c>
      <c r="H55" s="34"/>
      <c r="I55" s="34"/>
      <c r="K55" s="30">
        <f t="shared" si="5"/>
        <v>0</v>
      </c>
      <c r="L55" s="30">
        <f t="shared" si="4"/>
        <v>1</v>
      </c>
      <c r="M55" s="54"/>
      <c r="N55" s="54"/>
      <c r="U55" s="17">
        <v>0.272186279296875</v>
      </c>
      <c r="V55" s="15" t="s">
        <v>24</v>
      </c>
      <c r="W55" s="15"/>
      <c r="X55" s="15"/>
      <c r="Y55" s="15"/>
      <c r="Z55" s="15"/>
    </row>
    <row r="56" spans="1:26" x14ac:dyDescent="0.25">
      <c r="A56">
        <v>29284</v>
      </c>
      <c r="C56" s="34">
        <v>46</v>
      </c>
      <c r="D56" s="36">
        <f t="shared" si="1"/>
        <v>0.8936767578125</v>
      </c>
      <c r="E56" s="36">
        <v>0.8936767578125</v>
      </c>
      <c r="F56" s="34">
        <f t="shared" si="2"/>
        <v>0.92</v>
      </c>
      <c r="G56" s="37">
        <f t="shared" si="3"/>
        <v>2.632324218750004E-2</v>
      </c>
      <c r="H56" s="34"/>
      <c r="I56" s="34"/>
      <c r="K56" s="30">
        <f t="shared" si="5"/>
        <v>1</v>
      </c>
      <c r="L56" s="30">
        <f t="shared" si="4"/>
        <v>0</v>
      </c>
      <c r="M56" s="54"/>
      <c r="N56" s="54"/>
      <c r="U56" s="17">
        <v>0.8936767578125</v>
      </c>
      <c r="V56" s="15" t="s">
        <v>24</v>
      </c>
      <c r="W56" s="15"/>
      <c r="X56" s="15"/>
      <c r="Y56" s="15"/>
      <c r="Z56" s="15"/>
    </row>
    <row r="57" spans="1:26" x14ac:dyDescent="0.25">
      <c r="A57">
        <v>30045</v>
      </c>
      <c r="C57" s="34">
        <v>47</v>
      </c>
      <c r="D57" s="36">
        <f t="shared" si="1"/>
        <v>0.916900634765625</v>
      </c>
      <c r="E57" s="36">
        <v>0.916900634765625</v>
      </c>
      <c r="F57" s="34">
        <f t="shared" si="2"/>
        <v>0.94</v>
      </c>
      <c r="G57" s="37">
        <f t="shared" si="3"/>
        <v>2.3099365234374947E-2</v>
      </c>
      <c r="H57" s="34"/>
      <c r="I57" s="34"/>
      <c r="K57" s="30">
        <f t="shared" si="5"/>
        <v>1</v>
      </c>
      <c r="L57" s="30">
        <f t="shared" si="4"/>
        <v>0</v>
      </c>
      <c r="M57" s="54"/>
      <c r="N57" s="54"/>
      <c r="U57" s="17">
        <v>0.916900634765625</v>
      </c>
      <c r="V57" s="15" t="s">
        <v>24</v>
      </c>
      <c r="W57" s="15"/>
      <c r="X57" s="15"/>
      <c r="Y57" s="15"/>
      <c r="Z57" s="15"/>
    </row>
    <row r="58" spans="1:26" x14ac:dyDescent="0.25">
      <c r="A58">
        <v>19346</v>
      </c>
      <c r="C58" s="34">
        <v>48</v>
      </c>
      <c r="D58" s="36">
        <f t="shared" si="1"/>
        <v>0.59039306640625</v>
      </c>
      <c r="E58" s="36">
        <v>0.923309326171875</v>
      </c>
      <c r="F58" s="34">
        <f t="shared" si="2"/>
        <v>0.96</v>
      </c>
      <c r="G58" s="37">
        <f t="shared" si="3"/>
        <v>3.6690673828124964E-2</v>
      </c>
      <c r="H58" s="34"/>
      <c r="I58" s="34"/>
      <c r="K58" s="30">
        <f t="shared" si="5"/>
        <v>1</v>
      </c>
      <c r="L58" s="30">
        <f t="shared" si="4"/>
        <v>1</v>
      </c>
      <c r="M58" s="54"/>
      <c r="N58" s="54"/>
      <c r="U58" s="17">
        <v>0.59039306640625</v>
      </c>
      <c r="V58" s="15" t="s">
        <v>24</v>
      </c>
      <c r="W58" s="15"/>
      <c r="X58" s="15"/>
      <c r="Y58" s="15"/>
      <c r="Z58" s="15"/>
    </row>
    <row r="59" spans="1:26" x14ac:dyDescent="0.25">
      <c r="A59">
        <v>3987</v>
      </c>
      <c r="C59" s="34">
        <v>49</v>
      </c>
      <c r="D59" s="36">
        <f t="shared" si="1"/>
        <v>0.121673583984375</v>
      </c>
      <c r="E59" s="36">
        <v>0.937225341796875</v>
      </c>
      <c r="F59" s="34">
        <f t="shared" si="2"/>
        <v>0.98</v>
      </c>
      <c r="G59" s="37">
        <f t="shared" si="3"/>
        <v>4.2774658203124982E-2</v>
      </c>
      <c r="H59" s="34"/>
      <c r="I59" s="34"/>
      <c r="K59" s="30">
        <f t="shared" si="5"/>
        <v>0</v>
      </c>
      <c r="L59" s="30">
        <f t="shared" si="4"/>
        <v>1</v>
      </c>
      <c r="M59" s="54"/>
      <c r="N59" s="54"/>
      <c r="U59" s="17">
        <v>0.121673583984375</v>
      </c>
      <c r="V59" s="15" t="s">
        <v>24</v>
      </c>
      <c r="W59" s="15"/>
      <c r="X59" s="15"/>
      <c r="Y59" s="15"/>
      <c r="Z59" s="15"/>
    </row>
    <row r="60" spans="1:26" x14ac:dyDescent="0.25">
      <c r="A60">
        <v>17328</v>
      </c>
      <c r="C60" s="34">
        <v>50</v>
      </c>
      <c r="D60" s="36">
        <f t="shared" si="1"/>
        <v>0.52880859375</v>
      </c>
      <c r="E60" s="36">
        <v>0.980224609375</v>
      </c>
      <c r="F60" s="34">
        <f t="shared" si="2"/>
        <v>1</v>
      </c>
      <c r="G60" s="37">
        <f t="shared" si="3"/>
        <v>1.9775390625E-2</v>
      </c>
      <c r="H60" s="34"/>
      <c r="I60" s="34"/>
      <c r="K60" s="30">
        <f t="shared" si="5"/>
        <v>1</v>
      </c>
      <c r="L60" s="30">
        <f>IF(R11&lt;&gt;K60,1,0)</f>
        <v>1</v>
      </c>
      <c r="M60" s="54"/>
      <c r="N60" s="54"/>
      <c r="U60" s="17">
        <v>0.52880859375</v>
      </c>
      <c r="V60" s="15" t="s">
        <v>24</v>
      </c>
      <c r="W60" s="15"/>
      <c r="X60" s="15"/>
      <c r="Y60" s="15"/>
      <c r="Z60" s="15"/>
    </row>
  </sheetData>
  <sortState ref="E11:E60">
    <sortCondition ref="E11:E60"/>
  </sortState>
  <pageMargins left="0.7" right="0.7" top="0.75" bottom="0.75" header="0.3" footer="0.3"/>
  <pageSetup paperSize="9" scale="57" orientation="portrait" r:id="rId1"/>
  <colBreaks count="2" manualBreakCount="2">
    <brk id="9" max="1048575" man="1"/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0"/>
  <sheetViews>
    <sheetView view="pageBreakPreview" zoomScale="60" zoomScaleNormal="100" workbookViewId="0">
      <selection activeCell="AC11" sqref="AC11"/>
    </sheetView>
  </sheetViews>
  <sheetFormatPr baseColWidth="10" defaultColWidth="9.140625" defaultRowHeight="15" x14ac:dyDescent="0.25"/>
  <cols>
    <col min="1" max="1" width="11.7109375" customWidth="1"/>
    <col min="4" max="4" width="11.5703125" customWidth="1"/>
    <col min="5" max="5" width="15.140625" customWidth="1"/>
    <col min="6" max="6" width="12.28515625" customWidth="1"/>
    <col min="7" max="7" width="12.140625" customWidth="1"/>
    <col min="8" max="8" width="12.28515625" customWidth="1"/>
    <col min="9" max="9" width="11.42578125" customWidth="1"/>
    <col min="11" max="11" width="15" customWidth="1"/>
    <col min="12" max="12" width="24" bestFit="1" customWidth="1"/>
    <col min="13" max="13" width="18.85546875" bestFit="1" customWidth="1"/>
    <col min="17" max="17" width="13.140625" customWidth="1"/>
    <col min="18" max="18" width="15.5703125" customWidth="1"/>
    <col min="20" max="20" width="11.5703125" customWidth="1"/>
    <col min="21" max="21" width="19.140625" customWidth="1"/>
    <col min="22" max="22" width="23.7109375" bestFit="1" customWidth="1"/>
    <col min="23" max="23" width="12.5703125" bestFit="1" customWidth="1"/>
    <col min="24" max="24" width="11.28515625" bestFit="1" customWidth="1"/>
    <col min="25" max="25" width="22.5703125" bestFit="1" customWidth="1"/>
    <col min="26" max="26" width="20.42578125" bestFit="1" customWidth="1"/>
    <col min="28" max="28" width="9.42578125" bestFit="1" customWidth="1"/>
    <col min="29" max="29" width="19.7109375" bestFit="1" customWidth="1"/>
    <col min="30" max="30" width="18.28515625" bestFit="1" customWidth="1"/>
  </cols>
  <sheetData>
    <row r="4" spans="1:26" x14ac:dyDescent="0.25">
      <c r="L4" s="38" t="s">
        <v>0</v>
      </c>
    </row>
    <row r="5" spans="1:26" x14ac:dyDescent="0.25">
      <c r="E5" s="4" t="s">
        <v>1</v>
      </c>
      <c r="K5" s="30"/>
      <c r="L5" s="44" t="str">
        <f>IF(AND(L7&gt;=K7,L7&lt;=M7),"No se rechaza Ho","Se Rechaza Ho")</f>
        <v>No se rechaza Ho</v>
      </c>
      <c r="M5" s="44"/>
      <c r="V5" s="2" t="s">
        <v>2</v>
      </c>
    </row>
    <row r="6" spans="1:26" x14ac:dyDescent="0.25">
      <c r="E6" s="4" t="s">
        <v>3</v>
      </c>
      <c r="K6" s="43" t="s">
        <v>4</v>
      </c>
      <c r="L6" s="43" t="s">
        <v>5</v>
      </c>
      <c r="M6" s="43" t="s">
        <v>6</v>
      </c>
      <c r="V6" s="2" t="s">
        <v>7</v>
      </c>
    </row>
    <row r="7" spans="1:26" x14ac:dyDescent="0.25">
      <c r="D7" s="11" t="s">
        <v>50</v>
      </c>
      <c r="E7" s="11" t="s">
        <v>63</v>
      </c>
      <c r="F7" s="11" t="s">
        <v>64</v>
      </c>
      <c r="K7" s="30">
        <f>N24*-1</f>
        <v>-1.96</v>
      </c>
      <c r="L7" s="30">
        <f>R26</f>
        <v>0.3345244228953434</v>
      </c>
      <c r="M7" s="30">
        <f>K7*-1</f>
        <v>1.96</v>
      </c>
      <c r="U7" s="11" t="s">
        <v>50</v>
      </c>
      <c r="V7" s="11" t="s">
        <v>63</v>
      </c>
      <c r="W7" s="11" t="s">
        <v>64</v>
      </c>
    </row>
    <row r="10" spans="1:26" ht="45" x14ac:dyDescent="0.25">
      <c r="A10" s="12" t="s">
        <v>11</v>
      </c>
      <c r="C10" s="15"/>
      <c r="D10" s="15" t="s">
        <v>59</v>
      </c>
      <c r="E10" s="16" t="s">
        <v>60</v>
      </c>
      <c r="F10" s="16" t="s">
        <v>61</v>
      </c>
      <c r="G10" s="16" t="s">
        <v>15</v>
      </c>
      <c r="H10" s="16" t="s">
        <v>16</v>
      </c>
      <c r="I10" s="16" t="s">
        <v>17</v>
      </c>
      <c r="K10" s="52" t="s">
        <v>80</v>
      </c>
      <c r="L10" s="15" t="s">
        <v>65</v>
      </c>
      <c r="M10" s="15"/>
      <c r="U10" s="15" t="s">
        <v>19</v>
      </c>
      <c r="V10" s="15" t="s">
        <v>20</v>
      </c>
      <c r="W10" s="15" t="s">
        <v>21</v>
      </c>
      <c r="X10" s="15"/>
      <c r="Y10" s="15" t="s">
        <v>22</v>
      </c>
      <c r="Z10" s="15" t="s">
        <v>23</v>
      </c>
    </row>
    <row r="11" spans="1:26" x14ac:dyDescent="0.25">
      <c r="A11">
        <v>362</v>
      </c>
      <c r="C11" s="15">
        <v>1</v>
      </c>
      <c r="D11" s="17">
        <f>A11/32768</f>
        <v>1.104736328125E-2</v>
      </c>
      <c r="E11" s="17">
        <v>1.104736328125E-2</v>
      </c>
      <c r="F11" s="15">
        <f>C11/50</f>
        <v>0.02</v>
      </c>
      <c r="G11" s="18">
        <f>ABS(E11-F11)</f>
        <v>8.9526367187500004E-3</v>
      </c>
      <c r="H11" s="18">
        <f>MAX(G11:G60)</f>
        <v>0.18590454101562504</v>
      </c>
      <c r="I11" s="15">
        <v>0.188</v>
      </c>
      <c r="K11" s="15">
        <f t="shared" ref="K11:K42" si="0">IF(D11&gt;$N$20,1,0)</f>
        <v>0</v>
      </c>
      <c r="L11" s="15">
        <f>K11</f>
        <v>0</v>
      </c>
      <c r="M11" s="15"/>
      <c r="U11" s="13">
        <v>1.104736328125E-2</v>
      </c>
      <c r="V11" s="15" t="s">
        <v>37</v>
      </c>
      <c r="W11" s="15">
        <v>17</v>
      </c>
      <c r="X11" s="15" t="s">
        <v>25</v>
      </c>
      <c r="Y11" s="15">
        <v>15.120000000000001</v>
      </c>
      <c r="Z11" s="40">
        <f>ABS((W11-15.12)^2/15.12)</f>
        <v>0.23375661375661397</v>
      </c>
    </row>
    <row r="12" spans="1:26" x14ac:dyDescent="0.25">
      <c r="A12">
        <v>7607</v>
      </c>
      <c r="C12" s="15">
        <v>2</v>
      </c>
      <c r="D12" s="17">
        <f t="shared" ref="D12:D60" si="1">A12/32768</f>
        <v>0.232147216796875</v>
      </c>
      <c r="E12" s="17">
        <v>1.519775390625E-2</v>
      </c>
      <c r="F12" s="15">
        <f t="shared" ref="F12:F60" si="2">C12/50</f>
        <v>0.04</v>
      </c>
      <c r="G12" s="18">
        <f t="shared" ref="G12:G60" si="3">ABS(E12-F12)</f>
        <v>2.4802246093750001E-2</v>
      </c>
      <c r="H12" s="15"/>
      <c r="I12" s="15"/>
      <c r="K12" s="15">
        <f t="shared" si="0"/>
        <v>0</v>
      </c>
      <c r="L12" s="15">
        <f>IF(K13&lt;&gt;K12,1,0)</f>
        <v>1</v>
      </c>
      <c r="M12" s="15"/>
      <c r="U12" s="13">
        <v>0.232147216796875</v>
      </c>
      <c r="V12" s="15" t="s">
        <v>24</v>
      </c>
      <c r="W12" s="15">
        <v>23</v>
      </c>
      <c r="X12" s="15" t="s">
        <v>27</v>
      </c>
      <c r="Y12" s="15">
        <v>25.2</v>
      </c>
      <c r="Z12" s="40">
        <f>ABS((W12-25.2)^2/25.2)</f>
        <v>0.19206349206349196</v>
      </c>
    </row>
    <row r="13" spans="1:26" x14ac:dyDescent="0.25">
      <c r="A13">
        <v>28680</v>
      </c>
      <c r="C13" s="15">
        <v>3</v>
      </c>
      <c r="D13" s="17">
        <f t="shared" si="1"/>
        <v>0.875244140625</v>
      </c>
      <c r="E13" s="17">
        <v>5.1116943359375E-2</v>
      </c>
      <c r="F13" s="15">
        <f t="shared" si="2"/>
        <v>0.06</v>
      </c>
      <c r="G13" s="18">
        <f t="shared" si="3"/>
        <v>8.8830566406249978E-3</v>
      </c>
      <c r="H13" s="15"/>
      <c r="I13" s="15"/>
      <c r="K13" s="15">
        <f t="shared" si="0"/>
        <v>1</v>
      </c>
      <c r="L13" s="15">
        <f t="shared" ref="L13:L59" si="4">IF(K14&lt;&gt;K13,1,0)</f>
        <v>1</v>
      </c>
      <c r="M13" s="15"/>
      <c r="U13" s="13">
        <v>0.875244140625</v>
      </c>
      <c r="V13" s="15" t="s">
        <v>26</v>
      </c>
      <c r="W13" s="15">
        <v>4</v>
      </c>
      <c r="X13" s="15" t="s">
        <v>28</v>
      </c>
      <c r="Y13" s="15">
        <v>5.4</v>
      </c>
      <c r="Z13" s="40">
        <f>ABS((W13-5.4)^2/5.4)</f>
        <v>0.36296296296296315</v>
      </c>
    </row>
    <row r="14" spans="1:26" x14ac:dyDescent="0.25">
      <c r="A14">
        <v>12461</v>
      </c>
      <c r="C14" s="15">
        <v>4</v>
      </c>
      <c r="D14" s="17">
        <f t="shared" si="1"/>
        <v>0.380279541015625</v>
      </c>
      <c r="E14" s="17">
        <v>7.36083984375E-2</v>
      </c>
      <c r="F14" s="15">
        <f t="shared" si="2"/>
        <v>0.08</v>
      </c>
      <c r="G14" s="18">
        <f t="shared" si="3"/>
        <v>6.3916015625000017E-3</v>
      </c>
      <c r="H14" s="15"/>
      <c r="I14" s="15"/>
      <c r="K14" s="15">
        <f t="shared" si="0"/>
        <v>0</v>
      </c>
      <c r="L14" s="15">
        <f t="shared" si="4"/>
        <v>1</v>
      </c>
      <c r="M14" s="15"/>
      <c r="U14" s="13">
        <v>0.380279541015625</v>
      </c>
      <c r="V14" s="15" t="s">
        <v>24</v>
      </c>
      <c r="W14" s="15">
        <v>5</v>
      </c>
      <c r="X14" s="15" t="s">
        <v>29</v>
      </c>
      <c r="Y14" s="15">
        <v>3.5999999999999996</v>
      </c>
      <c r="Z14" s="40">
        <f>ABS((W14-3.6)^2/3.6)</f>
        <v>0.5444444444444444</v>
      </c>
    </row>
    <row r="15" spans="1:26" x14ac:dyDescent="0.25">
      <c r="A15">
        <v>32310</v>
      </c>
      <c r="C15" s="15">
        <v>5</v>
      </c>
      <c r="D15" s="17">
        <f t="shared" si="1"/>
        <v>0.98602294921875</v>
      </c>
      <c r="E15" s="17">
        <v>8.2427978515625E-2</v>
      </c>
      <c r="F15" s="15">
        <f t="shared" si="2"/>
        <v>0.1</v>
      </c>
      <c r="G15" s="18">
        <f t="shared" si="3"/>
        <v>1.7572021484375006E-2</v>
      </c>
      <c r="H15" s="15"/>
      <c r="I15" s="15"/>
      <c r="K15" s="15">
        <f t="shared" si="0"/>
        <v>1</v>
      </c>
      <c r="L15" s="15">
        <f t="shared" si="4"/>
        <v>0</v>
      </c>
      <c r="M15" s="15"/>
      <c r="U15" s="13">
        <v>0.98602294921875</v>
      </c>
      <c r="V15" s="15" t="s">
        <v>26</v>
      </c>
      <c r="W15" s="15">
        <v>0</v>
      </c>
      <c r="X15" s="15" t="s">
        <v>30</v>
      </c>
      <c r="Y15" s="15">
        <v>0.22499999999999998</v>
      </c>
      <c r="Z15" s="40">
        <f>ABS((W15-0.225)^2/0.225)</f>
        <v>0.22500000000000001</v>
      </c>
    </row>
    <row r="16" spans="1:26" x14ac:dyDescent="0.25">
      <c r="A16">
        <v>23155</v>
      </c>
      <c r="C16" s="15">
        <v>6</v>
      </c>
      <c r="D16" s="17">
        <f t="shared" si="1"/>
        <v>0.706634521484375</v>
      </c>
      <c r="E16" s="17">
        <v>0.109405517578125</v>
      </c>
      <c r="F16" s="15">
        <f t="shared" si="2"/>
        <v>0.12</v>
      </c>
      <c r="G16" s="18">
        <f t="shared" si="3"/>
        <v>1.0594482421874996E-2</v>
      </c>
      <c r="H16" s="15"/>
      <c r="I16" s="15"/>
      <c r="K16" s="15">
        <f t="shared" si="0"/>
        <v>1</v>
      </c>
      <c r="L16" s="15">
        <f t="shared" si="4"/>
        <v>0</v>
      </c>
      <c r="M16" s="15"/>
      <c r="U16" s="13">
        <v>0.706634521484375</v>
      </c>
      <c r="V16" s="15" t="s">
        <v>24</v>
      </c>
      <c r="W16" s="15">
        <v>1</v>
      </c>
      <c r="X16" s="15" t="s">
        <v>31</v>
      </c>
      <c r="Y16" s="15">
        <v>0.44999999999999996</v>
      </c>
      <c r="Z16" s="40">
        <f>ABS((W16-0.45)^2/0.45)</f>
        <v>0.67222222222222228</v>
      </c>
    </row>
    <row r="17" spans="1:26" x14ac:dyDescent="0.25">
      <c r="A17">
        <v>27508</v>
      </c>
      <c r="C17" s="15">
        <v>7</v>
      </c>
      <c r="D17" s="17">
        <f t="shared" si="1"/>
        <v>0.8394775390625</v>
      </c>
      <c r="E17" s="17">
        <v>0.11553955078125</v>
      </c>
      <c r="F17" s="15">
        <f t="shared" si="2"/>
        <v>0.14000000000000001</v>
      </c>
      <c r="G17" s="18">
        <f t="shared" si="3"/>
        <v>2.4460449218750013E-2</v>
      </c>
      <c r="H17" s="15"/>
      <c r="I17" s="15"/>
      <c r="K17" s="15">
        <f t="shared" si="0"/>
        <v>1</v>
      </c>
      <c r="L17" s="15">
        <f t="shared" si="4"/>
        <v>0</v>
      </c>
      <c r="M17" s="15"/>
      <c r="U17" s="13">
        <v>0.8394775390625</v>
      </c>
      <c r="V17" s="15" t="s">
        <v>26</v>
      </c>
      <c r="W17" s="15">
        <v>0</v>
      </c>
      <c r="X17" s="15" t="s">
        <v>32</v>
      </c>
      <c r="Y17" s="15">
        <v>5.0000000000000001E-3</v>
      </c>
      <c r="Z17" s="40">
        <f>ABS((W17-0.005)^2/0.005)</f>
        <v>5.0000000000000001E-3</v>
      </c>
    </row>
    <row r="18" spans="1:26" x14ac:dyDescent="0.25">
      <c r="A18">
        <v>20617</v>
      </c>
      <c r="C18" s="15">
        <v>8</v>
      </c>
      <c r="D18" s="17">
        <f t="shared" si="1"/>
        <v>0.629180908203125</v>
      </c>
      <c r="E18" s="17">
        <v>0.15814208984375</v>
      </c>
      <c r="F18" s="15">
        <f t="shared" si="2"/>
        <v>0.16</v>
      </c>
      <c r="G18" s="18">
        <f t="shared" si="3"/>
        <v>1.8579101562500033E-3</v>
      </c>
      <c r="H18" s="15"/>
      <c r="I18" s="15"/>
      <c r="K18" s="15">
        <f t="shared" si="0"/>
        <v>1</v>
      </c>
      <c r="L18" s="15">
        <f t="shared" si="4"/>
        <v>1</v>
      </c>
      <c r="M18" s="15"/>
      <c r="U18" s="13">
        <v>0.629180908203125</v>
      </c>
      <c r="V18" s="15" t="s">
        <v>26</v>
      </c>
      <c r="X18" s="15"/>
      <c r="Y18" s="15"/>
      <c r="Z18" s="40"/>
    </row>
    <row r="19" spans="1:26" x14ac:dyDescent="0.25">
      <c r="A19">
        <v>6978</v>
      </c>
      <c r="C19" s="15">
        <v>9</v>
      </c>
      <c r="D19" s="17">
        <f t="shared" si="1"/>
        <v>0.21295166015625</v>
      </c>
      <c r="E19" s="17">
        <v>0.159454345703125</v>
      </c>
      <c r="F19" s="15">
        <f t="shared" si="2"/>
        <v>0.18</v>
      </c>
      <c r="G19" s="18">
        <f t="shared" si="3"/>
        <v>2.0545654296874993E-2</v>
      </c>
      <c r="H19" s="15"/>
      <c r="I19" s="15"/>
      <c r="K19" s="15">
        <f t="shared" si="0"/>
        <v>0</v>
      </c>
      <c r="L19" s="15">
        <f t="shared" si="4"/>
        <v>1</v>
      </c>
      <c r="M19" s="15"/>
      <c r="U19" s="13">
        <v>0.21295166015625</v>
      </c>
      <c r="V19" s="15" t="s">
        <v>24</v>
      </c>
      <c r="X19" s="15"/>
      <c r="Y19" s="15" t="s">
        <v>33</v>
      </c>
      <c r="Z19" s="40">
        <f>SUM(Z11:Z17)</f>
        <v>2.2354497354497358</v>
      </c>
    </row>
    <row r="20" spans="1:26" x14ac:dyDescent="0.25">
      <c r="A20">
        <v>15471</v>
      </c>
      <c r="C20" s="15">
        <v>10</v>
      </c>
      <c r="D20" s="17">
        <f t="shared" si="1"/>
        <v>0.472137451171875</v>
      </c>
      <c r="E20" s="17">
        <v>0.191192626953125</v>
      </c>
      <c r="F20" s="15">
        <f t="shared" si="2"/>
        <v>0.2</v>
      </c>
      <c r="G20" s="18">
        <f t="shared" si="3"/>
        <v>8.8073730468750111E-3</v>
      </c>
      <c r="H20" s="15"/>
      <c r="I20" s="15"/>
      <c r="K20" s="15">
        <f t="shared" si="0"/>
        <v>1</v>
      </c>
      <c r="L20" s="15">
        <f t="shared" si="4"/>
        <v>0</v>
      </c>
      <c r="M20" t="s">
        <v>38</v>
      </c>
      <c r="N20" s="13">
        <f>AVERAGE(D11:D60)</f>
        <v>0.4319000244140625</v>
      </c>
      <c r="Q20" t="s">
        <v>39</v>
      </c>
      <c r="R20" s="32">
        <f>SUM(L11:L60)</f>
        <v>26</v>
      </c>
      <c r="U20" s="13">
        <v>0.472137451171875</v>
      </c>
      <c r="V20" s="15" t="s">
        <v>26</v>
      </c>
      <c r="X20" s="15"/>
      <c r="Y20" s="15" t="s">
        <v>62</v>
      </c>
      <c r="Z20" s="40">
        <v>12.59</v>
      </c>
    </row>
    <row r="21" spans="1:26" x14ac:dyDescent="0.25">
      <c r="A21">
        <v>29984</v>
      </c>
      <c r="C21" s="15">
        <v>11</v>
      </c>
      <c r="D21" s="17">
        <f t="shared" si="1"/>
        <v>0.9150390625</v>
      </c>
      <c r="E21" s="17">
        <v>0.1956787109375</v>
      </c>
      <c r="F21" s="15">
        <f t="shared" si="2"/>
        <v>0.22</v>
      </c>
      <c r="G21" s="18">
        <f t="shared" si="3"/>
        <v>2.4321289062500001E-2</v>
      </c>
      <c r="H21" s="15"/>
      <c r="I21" s="15"/>
      <c r="K21" s="15">
        <f t="shared" si="0"/>
        <v>1</v>
      </c>
      <c r="L21" s="15">
        <f t="shared" si="4"/>
        <v>1</v>
      </c>
      <c r="M21" s="55" t="s">
        <v>40</v>
      </c>
      <c r="N21">
        <f>_xlfn.STDEV.S(D11:D60)</f>
        <v>0.28111494157832001</v>
      </c>
      <c r="O21" t="s">
        <v>41</v>
      </c>
      <c r="P21" t="s">
        <v>42</v>
      </c>
      <c r="U21" s="13">
        <v>0.9150390625</v>
      </c>
      <c r="V21" s="15" t="s">
        <v>26</v>
      </c>
    </row>
    <row r="22" spans="1:26" x14ac:dyDescent="0.25">
      <c r="A22">
        <v>7077</v>
      </c>
      <c r="C22" s="15">
        <v>12</v>
      </c>
      <c r="D22" s="17">
        <f t="shared" si="1"/>
        <v>0.215972900390625</v>
      </c>
      <c r="E22" s="17">
        <v>0.202239990234375</v>
      </c>
      <c r="F22" s="15">
        <f t="shared" si="2"/>
        <v>0.24</v>
      </c>
      <c r="G22" s="18">
        <f t="shared" si="3"/>
        <v>3.7760009765624991E-2</v>
      </c>
      <c r="H22" s="15"/>
      <c r="I22" s="15"/>
      <c r="K22" s="15">
        <f t="shared" si="0"/>
        <v>0</v>
      </c>
      <c r="L22" s="15">
        <f t="shared" si="4"/>
        <v>1</v>
      </c>
      <c r="M22" s="27" t="s">
        <v>43</v>
      </c>
      <c r="N22">
        <v>0.05</v>
      </c>
      <c r="O22">
        <f>COUNTIF(K11:K60,1)</f>
        <v>21</v>
      </c>
      <c r="P22">
        <f>COUNTIF(K11:K60,0)</f>
        <v>29</v>
      </c>
      <c r="U22" s="13">
        <v>0.215972900390625</v>
      </c>
      <c r="V22" s="15" t="s">
        <v>26</v>
      </c>
    </row>
    <row r="23" spans="1:26" x14ac:dyDescent="0.25">
      <c r="A23">
        <v>17550</v>
      </c>
      <c r="C23" s="15">
        <v>13</v>
      </c>
      <c r="D23" s="17">
        <f t="shared" si="1"/>
        <v>0.53558349609375</v>
      </c>
      <c r="E23" s="17">
        <v>0.21295166015625</v>
      </c>
      <c r="F23" s="15">
        <f t="shared" si="2"/>
        <v>0.26</v>
      </c>
      <c r="G23" s="18">
        <f t="shared" si="3"/>
        <v>4.7048339843750009E-2</v>
      </c>
      <c r="H23" s="15"/>
      <c r="I23" s="15"/>
      <c r="K23" s="15">
        <f t="shared" si="0"/>
        <v>1</v>
      </c>
      <c r="L23" s="15">
        <f t="shared" si="4"/>
        <v>1</v>
      </c>
      <c r="M23" s="27" t="s">
        <v>44</v>
      </c>
      <c r="N23">
        <f>N22/2</f>
        <v>2.5000000000000001E-2</v>
      </c>
      <c r="U23" s="13">
        <v>0.53558349609375</v>
      </c>
      <c r="V23" s="15" t="s">
        <v>35</v>
      </c>
    </row>
    <row r="24" spans="1:26" x14ac:dyDescent="0.25">
      <c r="A24">
        <v>8107</v>
      </c>
      <c r="C24" s="15">
        <v>14</v>
      </c>
      <c r="D24" s="17">
        <f t="shared" si="1"/>
        <v>0.247406005859375</v>
      </c>
      <c r="E24" s="17">
        <v>0.215972900390625</v>
      </c>
      <c r="F24" s="15">
        <f t="shared" si="2"/>
        <v>0.28000000000000003</v>
      </c>
      <c r="G24" s="18">
        <f t="shared" si="3"/>
        <v>6.4027099609375027E-2</v>
      </c>
      <c r="H24" s="15"/>
      <c r="I24" s="15"/>
      <c r="K24" s="15">
        <f t="shared" si="0"/>
        <v>0</v>
      </c>
      <c r="L24" s="15">
        <f t="shared" si="4"/>
        <v>0</v>
      </c>
      <c r="M24" t="s">
        <v>6</v>
      </c>
      <c r="N24">
        <f>1.96</f>
        <v>1.96</v>
      </c>
      <c r="Q24" t="s">
        <v>45</v>
      </c>
      <c r="R24" s="33">
        <f>((2*O22*P22))/(O22+P22)+(1/2)</f>
        <v>24.86</v>
      </c>
      <c r="U24" s="13">
        <v>0.247406005859375</v>
      </c>
      <c r="V24" s="15" t="s">
        <v>24</v>
      </c>
    </row>
    <row r="25" spans="1:26" x14ac:dyDescent="0.25">
      <c r="A25">
        <v>6412</v>
      </c>
      <c r="C25" s="15">
        <v>15</v>
      </c>
      <c r="D25" s="17">
        <f t="shared" si="1"/>
        <v>0.1956787109375</v>
      </c>
      <c r="E25" s="17">
        <v>0.232147216796875</v>
      </c>
      <c r="F25" s="15">
        <f t="shared" si="2"/>
        <v>0.3</v>
      </c>
      <c r="G25" s="18">
        <f t="shared" si="3"/>
        <v>6.7852783203124989E-2</v>
      </c>
      <c r="H25" s="15"/>
      <c r="I25" s="15"/>
      <c r="K25" s="15">
        <f t="shared" si="0"/>
        <v>0</v>
      </c>
      <c r="L25" s="15">
        <f t="shared" si="4"/>
        <v>0</v>
      </c>
      <c r="Q25" t="s">
        <v>46</v>
      </c>
      <c r="R25">
        <f>(2*O22*P22*(2*O22*P22 -C60))/(C60*C60*(C60-1))</f>
        <v>11.613257142857142</v>
      </c>
      <c r="U25" s="13">
        <v>0.1956787109375</v>
      </c>
      <c r="V25" s="15" t="s">
        <v>26</v>
      </c>
    </row>
    <row r="26" spans="1:26" x14ac:dyDescent="0.25">
      <c r="A26">
        <v>3585</v>
      </c>
      <c r="C26" s="15">
        <v>16</v>
      </c>
      <c r="D26" s="17">
        <f t="shared" si="1"/>
        <v>0.109405517578125</v>
      </c>
      <c r="E26" s="17">
        <v>0.2471923828125</v>
      </c>
      <c r="F26" s="15">
        <f t="shared" si="2"/>
        <v>0.32</v>
      </c>
      <c r="G26" s="18">
        <f t="shared" si="3"/>
        <v>7.2807617187500007E-2</v>
      </c>
      <c r="H26" s="15"/>
      <c r="I26" s="15"/>
      <c r="K26" s="15">
        <f t="shared" si="0"/>
        <v>0</v>
      </c>
      <c r="L26" s="15">
        <f t="shared" si="4"/>
        <v>0</v>
      </c>
      <c r="Q26" t="s">
        <v>5</v>
      </c>
      <c r="R26">
        <f>(R20-R24)/SQRT(R25)</f>
        <v>0.3345244228953434</v>
      </c>
      <c r="U26" s="13">
        <v>0.109405517578125</v>
      </c>
      <c r="V26" s="15" t="s">
        <v>24</v>
      </c>
    </row>
    <row r="27" spans="1:26" x14ac:dyDescent="0.25">
      <c r="A27">
        <v>9754</v>
      </c>
      <c r="C27" s="15">
        <v>17</v>
      </c>
      <c r="D27" s="17">
        <f t="shared" si="1"/>
        <v>0.29766845703125</v>
      </c>
      <c r="E27" s="17">
        <v>0.247406005859375</v>
      </c>
      <c r="F27" s="15">
        <f t="shared" si="2"/>
        <v>0.34</v>
      </c>
      <c r="G27" s="18">
        <f t="shared" si="3"/>
        <v>9.2593994140625024E-2</v>
      </c>
      <c r="H27" s="15"/>
      <c r="I27" s="15"/>
      <c r="K27" s="15">
        <f t="shared" si="0"/>
        <v>0</v>
      </c>
      <c r="L27" s="15">
        <f t="shared" si="4"/>
        <v>0</v>
      </c>
      <c r="M27" s="15"/>
      <c r="U27" s="13">
        <v>0.29766845703125</v>
      </c>
      <c r="V27" s="15" t="s">
        <v>24</v>
      </c>
    </row>
    <row r="28" spans="1:26" x14ac:dyDescent="0.25">
      <c r="A28">
        <v>8231</v>
      </c>
      <c r="C28" s="15">
        <v>18</v>
      </c>
      <c r="D28" s="17">
        <f t="shared" si="1"/>
        <v>0.251190185546875</v>
      </c>
      <c r="E28" s="17">
        <v>0.251190185546875</v>
      </c>
      <c r="F28" s="15">
        <f t="shared" si="2"/>
        <v>0.36</v>
      </c>
      <c r="G28" s="18">
        <f t="shared" si="3"/>
        <v>0.10880981445312499</v>
      </c>
      <c r="H28" s="15"/>
      <c r="I28" s="15"/>
      <c r="K28" s="15">
        <f t="shared" si="0"/>
        <v>0</v>
      </c>
      <c r="L28" s="15">
        <f t="shared" si="4"/>
        <v>0</v>
      </c>
      <c r="M28" s="15"/>
      <c r="U28" s="13">
        <v>0.251190185546875</v>
      </c>
      <c r="V28" s="15" t="s">
        <v>24</v>
      </c>
    </row>
    <row r="29" spans="1:26" x14ac:dyDescent="0.25">
      <c r="A29">
        <v>9016</v>
      </c>
      <c r="C29" s="15">
        <v>19</v>
      </c>
      <c r="D29" s="17">
        <f t="shared" si="1"/>
        <v>0.275146484375</v>
      </c>
      <c r="E29" s="17">
        <v>0.275146484375</v>
      </c>
      <c r="F29" s="15">
        <f t="shared" si="2"/>
        <v>0.38</v>
      </c>
      <c r="G29" s="18">
        <f t="shared" si="3"/>
        <v>0.104853515625</v>
      </c>
      <c r="H29" s="15"/>
      <c r="I29" s="15"/>
      <c r="K29" s="15">
        <f t="shared" si="0"/>
        <v>0</v>
      </c>
      <c r="L29" s="15">
        <f t="shared" si="4"/>
        <v>1</v>
      </c>
      <c r="M29" s="15"/>
      <c r="U29" s="13">
        <v>0.275146484375</v>
      </c>
      <c r="V29" s="15" t="s">
        <v>24</v>
      </c>
    </row>
    <row r="30" spans="1:26" x14ac:dyDescent="0.25">
      <c r="A30">
        <v>25501</v>
      </c>
      <c r="C30" s="15">
        <v>20</v>
      </c>
      <c r="D30" s="17">
        <f t="shared" si="1"/>
        <v>0.778228759765625</v>
      </c>
      <c r="E30" s="17">
        <v>0.29766845703125</v>
      </c>
      <c r="F30" s="15">
        <f t="shared" si="2"/>
        <v>0.4</v>
      </c>
      <c r="G30" s="18">
        <f t="shared" si="3"/>
        <v>0.10233154296875002</v>
      </c>
      <c r="H30" s="15"/>
      <c r="I30" s="15"/>
      <c r="K30" s="15">
        <f t="shared" si="0"/>
        <v>1</v>
      </c>
      <c r="L30" s="15">
        <f t="shared" si="4"/>
        <v>1</v>
      </c>
      <c r="M30" s="15"/>
      <c r="U30" s="13">
        <v>0.778228759765625</v>
      </c>
      <c r="V30" s="15" t="s">
        <v>24</v>
      </c>
    </row>
    <row r="31" spans="1:26" x14ac:dyDescent="0.25">
      <c r="A31">
        <v>11238</v>
      </c>
      <c r="C31" s="15">
        <v>21</v>
      </c>
      <c r="D31" s="17">
        <f t="shared" si="1"/>
        <v>0.34295654296875</v>
      </c>
      <c r="E31" s="17">
        <v>0.319305419921875</v>
      </c>
      <c r="F31" s="15">
        <f t="shared" si="2"/>
        <v>0.42</v>
      </c>
      <c r="G31" s="18">
        <f t="shared" si="3"/>
        <v>0.10069458007812498</v>
      </c>
      <c r="H31" s="15"/>
      <c r="I31" s="15"/>
      <c r="K31" s="15">
        <f t="shared" si="0"/>
        <v>0</v>
      </c>
      <c r="L31" s="15">
        <f t="shared" si="4"/>
        <v>0</v>
      </c>
      <c r="M31" s="15"/>
      <c r="U31" s="13">
        <v>0.34295654296875</v>
      </c>
      <c r="V31" s="15" t="s">
        <v>26</v>
      </c>
    </row>
    <row r="32" spans="1:26" x14ac:dyDescent="0.25">
      <c r="A32">
        <v>6627</v>
      </c>
      <c r="C32" s="15">
        <v>22</v>
      </c>
      <c r="D32" s="17">
        <f t="shared" si="1"/>
        <v>0.202239990234375</v>
      </c>
      <c r="E32" s="17">
        <v>0.321136474609375</v>
      </c>
      <c r="F32" s="15">
        <f t="shared" si="2"/>
        <v>0.44</v>
      </c>
      <c r="G32" s="18">
        <f t="shared" si="3"/>
        <v>0.118863525390625</v>
      </c>
      <c r="H32" s="15"/>
      <c r="I32" s="15"/>
      <c r="K32" s="15">
        <f t="shared" si="0"/>
        <v>0</v>
      </c>
      <c r="L32" s="15">
        <f t="shared" si="4"/>
        <v>0</v>
      </c>
      <c r="M32" s="15"/>
      <c r="U32" s="13">
        <v>0.202239990234375</v>
      </c>
      <c r="V32" s="15" t="s">
        <v>35</v>
      </c>
    </row>
    <row r="33" spans="1:22" x14ac:dyDescent="0.25">
      <c r="A33">
        <v>8100</v>
      </c>
      <c r="C33" s="15">
        <v>23</v>
      </c>
      <c r="D33" s="17">
        <f t="shared" si="1"/>
        <v>0.2471923828125</v>
      </c>
      <c r="E33" s="17">
        <v>0.322723388671875</v>
      </c>
      <c r="F33" s="15">
        <f t="shared" si="2"/>
        <v>0.46</v>
      </c>
      <c r="G33" s="18">
        <f t="shared" si="3"/>
        <v>0.13727661132812502</v>
      </c>
      <c r="H33" s="15"/>
      <c r="I33" s="15"/>
      <c r="K33" s="15">
        <f t="shared" si="0"/>
        <v>0</v>
      </c>
      <c r="L33" s="15">
        <f t="shared" si="4"/>
        <v>0</v>
      </c>
      <c r="M33" s="15"/>
      <c r="U33" s="13">
        <v>0.2471923828125</v>
      </c>
      <c r="V33" s="15" t="s">
        <v>26</v>
      </c>
    </row>
    <row r="34" spans="1:22" x14ac:dyDescent="0.25">
      <c r="A34">
        <v>6265</v>
      </c>
      <c r="C34" s="15">
        <v>24</v>
      </c>
      <c r="D34" s="17">
        <f t="shared" si="1"/>
        <v>0.191192626953125</v>
      </c>
      <c r="E34" s="17">
        <v>0.324371337890625</v>
      </c>
      <c r="F34" s="15">
        <f t="shared" si="2"/>
        <v>0.48</v>
      </c>
      <c r="G34" s="18">
        <f t="shared" si="3"/>
        <v>0.15562866210937498</v>
      </c>
      <c r="H34" s="15"/>
      <c r="I34" s="15"/>
      <c r="K34" s="15">
        <f t="shared" si="0"/>
        <v>0</v>
      </c>
      <c r="L34" s="15">
        <f t="shared" si="4"/>
        <v>0</v>
      </c>
      <c r="M34" s="15"/>
      <c r="U34" s="13">
        <v>0.191192626953125</v>
      </c>
      <c r="V34" s="15" t="s">
        <v>66</v>
      </c>
    </row>
    <row r="35" spans="1:22" x14ac:dyDescent="0.25">
      <c r="A35">
        <v>498</v>
      </c>
      <c r="C35" s="15">
        <v>25</v>
      </c>
      <c r="D35" s="17">
        <f t="shared" si="1"/>
        <v>1.519775390625E-2</v>
      </c>
      <c r="E35" s="17">
        <v>0.34295654296875</v>
      </c>
      <c r="F35" s="15">
        <f t="shared" si="2"/>
        <v>0.5</v>
      </c>
      <c r="G35" s="18">
        <f t="shared" si="3"/>
        <v>0.15704345703125</v>
      </c>
      <c r="H35" s="15"/>
      <c r="I35" s="15"/>
      <c r="K35" s="15">
        <f t="shared" si="0"/>
        <v>0</v>
      </c>
      <c r="L35" s="15">
        <f t="shared" si="4"/>
        <v>0</v>
      </c>
      <c r="U35" s="13">
        <v>1.519775390625E-2</v>
      </c>
      <c r="V35" s="15" t="s">
        <v>24</v>
      </c>
    </row>
    <row r="36" spans="1:22" x14ac:dyDescent="0.25">
      <c r="A36">
        <v>10463</v>
      </c>
      <c r="C36" s="15">
        <v>26</v>
      </c>
      <c r="D36" s="17">
        <f t="shared" si="1"/>
        <v>0.319305419921875</v>
      </c>
      <c r="E36" s="17">
        <v>0.34869384765625</v>
      </c>
      <c r="F36" s="15">
        <f t="shared" si="2"/>
        <v>0.52</v>
      </c>
      <c r="G36" s="18">
        <f t="shared" si="3"/>
        <v>0.17130615234375002</v>
      </c>
      <c r="H36" s="15"/>
      <c r="I36" s="15"/>
      <c r="K36" s="15">
        <f t="shared" si="0"/>
        <v>0</v>
      </c>
      <c r="L36" s="15">
        <f t="shared" si="4"/>
        <v>1</v>
      </c>
      <c r="U36" s="13">
        <v>0.319305419921875</v>
      </c>
      <c r="V36" s="15" t="s">
        <v>37</v>
      </c>
    </row>
    <row r="37" spans="1:22" x14ac:dyDescent="0.25">
      <c r="A37">
        <v>23120</v>
      </c>
      <c r="C37" s="15">
        <v>27</v>
      </c>
      <c r="D37" s="17">
        <f t="shared" si="1"/>
        <v>0.70556640625</v>
      </c>
      <c r="E37" s="17">
        <v>0.354095458984375</v>
      </c>
      <c r="F37" s="15">
        <f t="shared" si="2"/>
        <v>0.54</v>
      </c>
      <c r="G37" s="18">
        <f t="shared" si="3"/>
        <v>0.18590454101562504</v>
      </c>
      <c r="H37" s="15"/>
      <c r="I37" s="15"/>
      <c r="K37" s="15">
        <f t="shared" si="0"/>
        <v>1</v>
      </c>
      <c r="L37" s="15">
        <f t="shared" si="4"/>
        <v>0</v>
      </c>
      <c r="U37" s="13">
        <v>0.70556640625</v>
      </c>
      <c r="V37" s="15" t="s">
        <v>37</v>
      </c>
    </row>
    <row r="38" spans="1:22" x14ac:dyDescent="0.25">
      <c r="A38">
        <v>26773</v>
      </c>
      <c r="C38" s="15">
        <v>28</v>
      </c>
      <c r="D38" s="17">
        <f t="shared" si="1"/>
        <v>0.817047119140625</v>
      </c>
      <c r="E38" s="17">
        <v>0.380279541015625</v>
      </c>
      <c r="F38" s="15">
        <f t="shared" si="2"/>
        <v>0.56000000000000005</v>
      </c>
      <c r="G38" s="18">
        <f t="shared" si="3"/>
        <v>0.17972045898437505</v>
      </c>
      <c r="H38" s="15"/>
      <c r="I38" s="15"/>
      <c r="K38" s="15">
        <f t="shared" si="0"/>
        <v>1</v>
      </c>
      <c r="L38" s="15">
        <f t="shared" si="4"/>
        <v>1</v>
      </c>
      <c r="U38" s="13">
        <v>0.817047119140625</v>
      </c>
      <c r="V38" s="15" t="s">
        <v>26</v>
      </c>
    </row>
    <row r="39" spans="1:22" x14ac:dyDescent="0.25">
      <c r="A39">
        <v>5182</v>
      </c>
      <c r="C39" s="15">
        <v>29</v>
      </c>
      <c r="D39" s="17">
        <f t="shared" si="1"/>
        <v>0.15814208984375</v>
      </c>
      <c r="E39" s="17">
        <v>0.426483154296875</v>
      </c>
      <c r="F39" s="15">
        <f t="shared" si="2"/>
        <v>0.57999999999999996</v>
      </c>
      <c r="G39" s="18">
        <f t="shared" si="3"/>
        <v>0.15351684570312496</v>
      </c>
      <c r="H39" s="15"/>
      <c r="I39" s="15"/>
      <c r="K39" s="15">
        <f t="shared" si="0"/>
        <v>0</v>
      </c>
      <c r="L39" s="15">
        <f t="shared" si="4"/>
        <v>0</v>
      </c>
      <c r="U39" s="13">
        <v>0.15814208984375</v>
      </c>
      <c r="V39" s="15" t="s">
        <v>24</v>
      </c>
    </row>
    <row r="40" spans="1:22" x14ac:dyDescent="0.25">
      <c r="A40">
        <v>10523</v>
      </c>
      <c r="C40" s="15">
        <v>30</v>
      </c>
      <c r="D40" s="17">
        <f t="shared" si="1"/>
        <v>0.321136474609375</v>
      </c>
      <c r="E40" s="17">
        <v>0.4361572265625</v>
      </c>
      <c r="F40" s="15">
        <f t="shared" si="2"/>
        <v>0.6</v>
      </c>
      <c r="G40" s="18">
        <f t="shared" si="3"/>
        <v>0.16384277343749998</v>
      </c>
      <c r="H40" s="15"/>
      <c r="I40" s="15"/>
      <c r="K40" s="15">
        <f t="shared" si="0"/>
        <v>0</v>
      </c>
      <c r="L40" s="15">
        <f t="shared" si="4"/>
        <v>1</v>
      </c>
      <c r="U40" s="13">
        <v>0.321136474609375</v>
      </c>
      <c r="V40" s="15" t="s">
        <v>24</v>
      </c>
    </row>
    <row r="41" spans="1:22" x14ac:dyDescent="0.25">
      <c r="A41">
        <v>24380</v>
      </c>
      <c r="C41" s="15">
        <v>31</v>
      </c>
      <c r="D41" s="17">
        <f t="shared" si="1"/>
        <v>0.7440185546875</v>
      </c>
      <c r="E41" s="17">
        <v>0.46466064453125</v>
      </c>
      <c r="F41" s="15">
        <f t="shared" si="2"/>
        <v>0.62</v>
      </c>
      <c r="G41" s="18">
        <f t="shared" si="3"/>
        <v>0.15533935546875</v>
      </c>
      <c r="H41" s="15"/>
      <c r="I41" s="15"/>
      <c r="K41" s="15">
        <f t="shared" si="0"/>
        <v>1</v>
      </c>
      <c r="L41" s="15">
        <f t="shared" si="4"/>
        <v>0</v>
      </c>
      <c r="U41" s="13">
        <v>0.7440185546875</v>
      </c>
      <c r="V41" s="15" t="s">
        <v>24</v>
      </c>
    </row>
    <row r="42" spans="1:22" x14ac:dyDescent="0.25">
      <c r="A42">
        <v>20465</v>
      </c>
      <c r="C42" s="15">
        <v>32</v>
      </c>
      <c r="D42" s="17">
        <f t="shared" si="1"/>
        <v>0.624542236328125</v>
      </c>
      <c r="E42" s="17">
        <v>0.472137451171875</v>
      </c>
      <c r="F42" s="15">
        <f t="shared" si="2"/>
        <v>0.64</v>
      </c>
      <c r="G42" s="18">
        <f t="shared" si="3"/>
        <v>0.16786254882812501</v>
      </c>
      <c r="H42" s="15"/>
      <c r="I42" s="15"/>
      <c r="K42" s="15">
        <f t="shared" si="0"/>
        <v>1</v>
      </c>
      <c r="L42" s="15">
        <f t="shared" si="4"/>
        <v>1</v>
      </c>
      <c r="M42" s="15"/>
      <c r="U42" s="13">
        <v>0.624542236328125</v>
      </c>
      <c r="V42" s="15" t="s">
        <v>24</v>
      </c>
    </row>
    <row r="43" spans="1:22" x14ac:dyDescent="0.25">
      <c r="A43">
        <v>3786</v>
      </c>
      <c r="C43" s="15">
        <v>33</v>
      </c>
      <c r="D43" s="17">
        <f t="shared" si="1"/>
        <v>0.11553955078125</v>
      </c>
      <c r="E43" s="17">
        <v>0.53558349609375</v>
      </c>
      <c r="F43" s="15">
        <f t="shared" si="2"/>
        <v>0.66</v>
      </c>
      <c r="G43" s="18">
        <f t="shared" si="3"/>
        <v>0.12441650390625003</v>
      </c>
      <c r="H43" s="15"/>
      <c r="I43" s="15"/>
      <c r="K43" s="15">
        <f t="shared" ref="K43:K60" si="5">IF(D43&gt;$N$20,1,0)</f>
        <v>0</v>
      </c>
      <c r="L43" s="15">
        <f t="shared" si="4"/>
        <v>0</v>
      </c>
      <c r="M43" s="15"/>
      <c r="U43" s="13">
        <v>0.11553955078125</v>
      </c>
      <c r="V43" s="15" t="s">
        <v>37</v>
      </c>
    </row>
    <row r="44" spans="1:22" x14ac:dyDescent="0.25">
      <c r="A44">
        <v>13975</v>
      </c>
      <c r="C44" s="15">
        <v>34</v>
      </c>
      <c r="D44" s="17">
        <f t="shared" si="1"/>
        <v>0.426483154296875</v>
      </c>
      <c r="E44" s="17">
        <v>0.545928955078125</v>
      </c>
      <c r="F44" s="15">
        <f t="shared" si="2"/>
        <v>0.68</v>
      </c>
      <c r="G44" s="18">
        <f t="shared" si="3"/>
        <v>0.13407104492187505</v>
      </c>
      <c r="H44" s="15"/>
      <c r="I44" s="15"/>
      <c r="K44" s="15">
        <f t="shared" si="5"/>
        <v>0</v>
      </c>
      <c r="L44" s="15">
        <f t="shared" si="4"/>
        <v>1</v>
      </c>
      <c r="M44" s="15"/>
      <c r="U44" s="13">
        <v>0.426483154296875</v>
      </c>
      <c r="V44" s="15" t="s">
        <v>24</v>
      </c>
    </row>
    <row r="45" spans="1:22" x14ac:dyDescent="0.25">
      <c r="A45">
        <v>31336</v>
      </c>
      <c r="C45" s="15">
        <v>35</v>
      </c>
      <c r="D45" s="17">
        <f t="shared" si="1"/>
        <v>0.956298828125</v>
      </c>
      <c r="E45" s="17">
        <v>0.624542236328125</v>
      </c>
      <c r="F45" s="15">
        <f t="shared" si="2"/>
        <v>0.7</v>
      </c>
      <c r="G45" s="18">
        <f t="shared" si="3"/>
        <v>7.5457763671874956E-2</v>
      </c>
      <c r="H45" s="15"/>
      <c r="I45" s="15"/>
      <c r="K45" s="15">
        <f t="shared" si="5"/>
        <v>1</v>
      </c>
      <c r="L45" s="15">
        <f t="shared" si="4"/>
        <v>1</v>
      </c>
      <c r="M45" s="15"/>
      <c r="U45" s="13">
        <v>0.956298828125</v>
      </c>
      <c r="V45" s="15" t="s">
        <v>26</v>
      </c>
    </row>
    <row r="46" spans="1:22" x14ac:dyDescent="0.25">
      <c r="A46">
        <v>2701</v>
      </c>
      <c r="C46" s="15">
        <v>36</v>
      </c>
      <c r="D46" s="17">
        <f t="shared" si="1"/>
        <v>8.2427978515625E-2</v>
      </c>
      <c r="E46" s="17">
        <v>0.629180908203125</v>
      </c>
      <c r="F46" s="15">
        <f t="shared" si="2"/>
        <v>0.72</v>
      </c>
      <c r="G46" s="18">
        <f t="shared" si="3"/>
        <v>9.0819091796874973E-2</v>
      </c>
      <c r="H46" s="15"/>
      <c r="I46" s="15"/>
      <c r="K46" s="15">
        <f t="shared" si="5"/>
        <v>0</v>
      </c>
      <c r="L46" s="15">
        <f t="shared" si="4"/>
        <v>1</v>
      </c>
      <c r="M46" s="15"/>
      <c r="U46" s="13">
        <v>8.2427978515625E-2</v>
      </c>
      <c r="V46" s="15" t="s">
        <v>26</v>
      </c>
    </row>
    <row r="47" spans="1:22" x14ac:dyDescent="0.25">
      <c r="A47">
        <v>23958</v>
      </c>
      <c r="C47" s="15">
        <v>37</v>
      </c>
      <c r="D47" s="17">
        <f t="shared" si="1"/>
        <v>0.73114013671875</v>
      </c>
      <c r="E47" s="17">
        <v>0.70556640625</v>
      </c>
      <c r="F47" s="15">
        <f t="shared" si="2"/>
        <v>0.74</v>
      </c>
      <c r="G47" s="18">
        <f t="shared" si="3"/>
        <v>3.4433593749999991E-2</v>
      </c>
      <c r="H47" s="15"/>
      <c r="I47" s="15"/>
      <c r="K47" s="15">
        <f t="shared" si="5"/>
        <v>1</v>
      </c>
      <c r="L47" s="15">
        <f t="shared" si="4"/>
        <v>1</v>
      </c>
      <c r="M47" s="15"/>
      <c r="U47" s="13">
        <v>0.73114013671875</v>
      </c>
      <c r="V47" s="15" t="s">
        <v>24</v>
      </c>
    </row>
    <row r="48" spans="1:22" x14ac:dyDescent="0.25">
      <c r="A48">
        <v>11603</v>
      </c>
      <c r="C48" s="15">
        <v>38</v>
      </c>
      <c r="D48" s="17">
        <f t="shared" si="1"/>
        <v>0.354095458984375</v>
      </c>
      <c r="E48" s="17">
        <v>0.706634521484375</v>
      </c>
      <c r="F48" s="15">
        <f t="shared" si="2"/>
        <v>0.76</v>
      </c>
      <c r="G48" s="18">
        <f t="shared" si="3"/>
        <v>5.3365478515625009E-2</v>
      </c>
      <c r="H48" s="15"/>
      <c r="I48" s="15"/>
      <c r="K48" s="15">
        <f t="shared" si="5"/>
        <v>0</v>
      </c>
      <c r="L48" s="15">
        <f t="shared" si="4"/>
        <v>1</v>
      </c>
      <c r="M48" s="15"/>
      <c r="U48" s="13">
        <v>0.354095458984375</v>
      </c>
      <c r="V48" s="15" t="s">
        <v>26</v>
      </c>
    </row>
    <row r="49" spans="1:22" x14ac:dyDescent="0.25">
      <c r="A49">
        <v>14292</v>
      </c>
      <c r="C49" s="15">
        <v>39</v>
      </c>
      <c r="D49" s="17">
        <f t="shared" si="1"/>
        <v>0.4361572265625</v>
      </c>
      <c r="E49" s="17">
        <v>0.73114013671875</v>
      </c>
      <c r="F49" s="15">
        <f t="shared" si="2"/>
        <v>0.78</v>
      </c>
      <c r="G49" s="18">
        <f t="shared" si="3"/>
        <v>4.8859863281250027E-2</v>
      </c>
      <c r="H49" s="15"/>
      <c r="I49" s="15"/>
      <c r="K49" s="15">
        <f t="shared" si="5"/>
        <v>1</v>
      </c>
      <c r="L49" s="15">
        <f t="shared" si="4"/>
        <v>1</v>
      </c>
      <c r="M49" s="15"/>
      <c r="U49" s="13">
        <v>0.4361572265625</v>
      </c>
      <c r="V49" s="15" t="s">
        <v>24</v>
      </c>
    </row>
    <row r="50" spans="1:22" x14ac:dyDescent="0.25">
      <c r="A50">
        <v>5225</v>
      </c>
      <c r="C50" s="15">
        <v>40</v>
      </c>
      <c r="D50" s="17">
        <f t="shared" si="1"/>
        <v>0.159454345703125</v>
      </c>
      <c r="E50" s="17">
        <v>0.7440185546875</v>
      </c>
      <c r="F50" s="15">
        <f t="shared" si="2"/>
        <v>0.8</v>
      </c>
      <c r="G50" s="18">
        <f t="shared" si="3"/>
        <v>5.5981445312500044E-2</v>
      </c>
      <c r="H50" s="15"/>
      <c r="I50" s="15"/>
      <c r="K50" s="15">
        <f t="shared" si="5"/>
        <v>0</v>
      </c>
      <c r="L50" s="15">
        <f t="shared" si="4"/>
        <v>0</v>
      </c>
      <c r="M50" s="15"/>
      <c r="U50" s="13">
        <v>0.159454345703125</v>
      </c>
      <c r="V50" s="15" t="s">
        <v>24</v>
      </c>
    </row>
    <row r="51" spans="1:22" x14ac:dyDescent="0.25">
      <c r="A51">
        <v>11426</v>
      </c>
      <c r="C51" s="15">
        <v>41</v>
      </c>
      <c r="D51" s="17">
        <f t="shared" si="1"/>
        <v>0.34869384765625</v>
      </c>
      <c r="E51" s="17">
        <v>0.758026123046875</v>
      </c>
      <c r="F51" s="15">
        <f t="shared" si="2"/>
        <v>0.82</v>
      </c>
      <c r="G51" s="18">
        <f t="shared" si="3"/>
        <v>6.1973876953124951E-2</v>
      </c>
      <c r="H51" s="15"/>
      <c r="I51" s="15"/>
      <c r="K51" s="15">
        <f t="shared" si="5"/>
        <v>0</v>
      </c>
      <c r="L51" s="15">
        <f t="shared" si="4"/>
        <v>0</v>
      </c>
      <c r="M51" s="15"/>
      <c r="U51" s="13">
        <v>0.34869384765625</v>
      </c>
      <c r="V51" s="15" t="s">
        <v>26</v>
      </c>
    </row>
    <row r="52" spans="1:22" x14ac:dyDescent="0.25">
      <c r="A52">
        <v>10575</v>
      </c>
      <c r="C52" s="15">
        <v>42</v>
      </c>
      <c r="D52" s="17">
        <f t="shared" si="1"/>
        <v>0.322723388671875</v>
      </c>
      <c r="E52" s="17">
        <v>0.77734375</v>
      </c>
      <c r="F52" s="15">
        <f t="shared" si="2"/>
        <v>0.84</v>
      </c>
      <c r="G52" s="18">
        <f t="shared" si="3"/>
        <v>6.2656249999999969E-2</v>
      </c>
      <c r="H52" s="15"/>
      <c r="I52" s="15"/>
      <c r="K52" s="15">
        <f t="shared" si="5"/>
        <v>0</v>
      </c>
      <c r="L52" s="15">
        <f t="shared" si="4"/>
        <v>1</v>
      </c>
      <c r="M52" s="15"/>
      <c r="U52" s="13">
        <v>0.322723388671875</v>
      </c>
      <c r="V52" s="15" t="s">
        <v>35</v>
      </c>
    </row>
    <row r="53" spans="1:22" x14ac:dyDescent="0.25">
      <c r="A53">
        <v>25472</v>
      </c>
      <c r="C53" s="15">
        <v>43</v>
      </c>
      <c r="D53" s="17">
        <f t="shared" si="1"/>
        <v>0.77734375</v>
      </c>
      <c r="E53" s="17">
        <v>0.778228759765625</v>
      </c>
      <c r="F53" s="15">
        <f t="shared" si="2"/>
        <v>0.86</v>
      </c>
      <c r="G53" s="18">
        <f t="shared" si="3"/>
        <v>8.1771240234374987E-2</v>
      </c>
      <c r="H53" s="15"/>
      <c r="I53" s="15"/>
      <c r="K53" s="15">
        <f t="shared" si="5"/>
        <v>1</v>
      </c>
      <c r="L53" s="15">
        <f t="shared" si="4"/>
        <v>1</v>
      </c>
      <c r="M53" s="15"/>
      <c r="U53" s="13">
        <v>0.77734375</v>
      </c>
      <c r="V53" s="15" t="s">
        <v>35</v>
      </c>
    </row>
    <row r="54" spans="1:22" x14ac:dyDescent="0.25">
      <c r="A54">
        <v>10629</v>
      </c>
      <c r="C54" s="15">
        <v>44</v>
      </c>
      <c r="D54" s="17">
        <f t="shared" si="1"/>
        <v>0.324371337890625</v>
      </c>
      <c r="E54" s="17">
        <v>0.81195068359375</v>
      </c>
      <c r="F54" s="15">
        <f t="shared" si="2"/>
        <v>0.88</v>
      </c>
      <c r="G54" s="18">
        <f t="shared" si="3"/>
        <v>6.8049316406250004E-2</v>
      </c>
      <c r="H54" s="15"/>
      <c r="I54" s="15"/>
      <c r="K54" s="15">
        <f t="shared" si="5"/>
        <v>0</v>
      </c>
      <c r="L54" s="15">
        <f t="shared" si="4"/>
        <v>1</v>
      </c>
      <c r="M54" s="15"/>
      <c r="U54" s="13">
        <v>0.324371337890625</v>
      </c>
      <c r="V54" s="15" t="s">
        <v>24</v>
      </c>
    </row>
    <row r="55" spans="1:22" x14ac:dyDescent="0.25">
      <c r="A55">
        <v>26606</v>
      </c>
      <c r="C55" s="15">
        <v>45</v>
      </c>
      <c r="D55" s="17">
        <f t="shared" si="1"/>
        <v>0.81195068359375</v>
      </c>
      <c r="E55" s="17">
        <v>0.817047119140625</v>
      </c>
      <c r="F55" s="15">
        <f t="shared" si="2"/>
        <v>0.9</v>
      </c>
      <c r="G55" s="18">
        <f t="shared" si="3"/>
        <v>8.2952880859375022E-2</v>
      </c>
      <c r="H55" s="15"/>
      <c r="I55" s="15"/>
      <c r="K55" s="15">
        <f t="shared" si="5"/>
        <v>1</v>
      </c>
      <c r="L55" s="15">
        <f t="shared" si="4"/>
        <v>1</v>
      </c>
      <c r="M55" s="15"/>
      <c r="U55" s="13">
        <v>0.81195068359375</v>
      </c>
      <c r="V55" s="15" t="s">
        <v>24</v>
      </c>
    </row>
    <row r="56" spans="1:22" x14ac:dyDescent="0.25">
      <c r="A56">
        <v>1675</v>
      </c>
      <c r="C56" s="15">
        <v>46</v>
      </c>
      <c r="D56" s="17">
        <f t="shared" si="1"/>
        <v>5.1116943359375E-2</v>
      </c>
      <c r="E56" s="17">
        <v>0.8394775390625</v>
      </c>
      <c r="F56" s="15">
        <f t="shared" si="2"/>
        <v>0.92</v>
      </c>
      <c r="G56" s="18">
        <f t="shared" si="3"/>
        <v>8.052246093750004E-2</v>
      </c>
      <c r="H56" s="15"/>
      <c r="I56" s="15"/>
      <c r="K56" s="15">
        <f t="shared" si="5"/>
        <v>0</v>
      </c>
      <c r="L56" s="15">
        <f t="shared" si="4"/>
        <v>0</v>
      </c>
      <c r="M56" s="15"/>
      <c r="U56" s="13">
        <v>5.1116943359375E-2</v>
      </c>
      <c r="V56" s="15" t="s">
        <v>24</v>
      </c>
    </row>
    <row r="57" spans="1:22" x14ac:dyDescent="0.25">
      <c r="A57">
        <v>2412</v>
      </c>
      <c r="C57" s="15">
        <v>47</v>
      </c>
      <c r="D57" s="17">
        <f t="shared" si="1"/>
        <v>7.36083984375E-2</v>
      </c>
      <c r="E57" s="17">
        <v>0.875244140625</v>
      </c>
      <c r="F57" s="15">
        <f t="shared" si="2"/>
        <v>0.94</v>
      </c>
      <c r="G57" s="18">
        <f t="shared" si="3"/>
        <v>6.4755859374999947E-2</v>
      </c>
      <c r="H57" s="15"/>
      <c r="I57" s="15"/>
      <c r="K57" s="15">
        <f t="shared" si="5"/>
        <v>0</v>
      </c>
      <c r="L57" s="15">
        <f t="shared" si="4"/>
        <v>1</v>
      </c>
      <c r="M57" s="15"/>
      <c r="U57" s="13">
        <v>7.36083984375E-2</v>
      </c>
      <c r="V57" s="15" t="s">
        <v>26</v>
      </c>
    </row>
    <row r="58" spans="1:22" x14ac:dyDescent="0.25">
      <c r="A58">
        <v>17889</v>
      </c>
      <c r="C58" s="15">
        <v>48</v>
      </c>
      <c r="D58" s="17">
        <f t="shared" si="1"/>
        <v>0.545928955078125</v>
      </c>
      <c r="E58" s="17">
        <v>0.9150390625</v>
      </c>
      <c r="F58" s="15">
        <f t="shared" si="2"/>
        <v>0.96</v>
      </c>
      <c r="G58" s="18">
        <f t="shared" si="3"/>
        <v>4.4960937499999964E-2</v>
      </c>
      <c r="H58" s="15"/>
      <c r="I58" s="15"/>
      <c r="K58" s="15">
        <f t="shared" si="5"/>
        <v>1</v>
      </c>
      <c r="L58" s="15">
        <f t="shared" si="4"/>
        <v>0</v>
      </c>
      <c r="M58" s="15"/>
      <c r="U58" s="13">
        <v>0.545928955078125</v>
      </c>
      <c r="V58" s="15" t="s">
        <v>24</v>
      </c>
    </row>
    <row r="59" spans="1:22" x14ac:dyDescent="0.25">
      <c r="A59">
        <v>15226</v>
      </c>
      <c r="C59" s="15">
        <v>49</v>
      </c>
      <c r="D59" s="17">
        <f t="shared" si="1"/>
        <v>0.46466064453125</v>
      </c>
      <c r="E59" s="17">
        <v>0.956298828125</v>
      </c>
      <c r="F59" s="15">
        <f t="shared" si="2"/>
        <v>0.98</v>
      </c>
      <c r="G59" s="18">
        <f t="shared" si="3"/>
        <v>2.3701171874999982E-2</v>
      </c>
      <c r="H59" s="15"/>
      <c r="I59" s="15"/>
      <c r="K59" s="15">
        <f t="shared" si="5"/>
        <v>1</v>
      </c>
      <c r="L59" s="15">
        <f t="shared" si="4"/>
        <v>0</v>
      </c>
      <c r="M59" s="15"/>
      <c r="U59" s="13">
        <v>0.46466064453125</v>
      </c>
      <c r="V59" s="15" t="s">
        <v>35</v>
      </c>
    </row>
    <row r="60" spans="1:22" x14ac:dyDescent="0.25">
      <c r="A60">
        <v>24839</v>
      </c>
      <c r="C60" s="15">
        <v>50</v>
      </c>
      <c r="D60" s="17">
        <f t="shared" si="1"/>
        <v>0.758026123046875</v>
      </c>
      <c r="E60" s="17">
        <v>0.98602294921875</v>
      </c>
      <c r="F60" s="15">
        <f t="shared" si="2"/>
        <v>1</v>
      </c>
      <c r="G60" s="18">
        <f t="shared" si="3"/>
        <v>1.397705078125E-2</v>
      </c>
      <c r="H60" s="15"/>
      <c r="I60" s="15"/>
      <c r="K60" s="15">
        <f t="shared" si="5"/>
        <v>1</v>
      </c>
      <c r="L60" s="15">
        <f>IF(Q20&lt;&gt;K60,1,0)</f>
        <v>1</v>
      </c>
      <c r="M60" s="15"/>
      <c r="U60" s="13">
        <v>0.758026123046875</v>
      </c>
      <c r="V60" s="15" t="s">
        <v>26</v>
      </c>
    </row>
  </sheetData>
  <sortState ref="E11:E60">
    <sortCondition ref="E11:E60"/>
  </sortState>
  <pageMargins left="0.7" right="0.7" top="0.75" bottom="0.75" header="0.3" footer="0.3"/>
  <pageSetup paperSize="9" scale="64" orientation="portrait" r:id="rId1"/>
  <colBreaks count="2" manualBreakCount="2">
    <brk id="10" max="1048575" man="1"/>
    <brk id="2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60"/>
  <sheetViews>
    <sheetView view="pageBreakPreview" zoomScale="60" zoomScaleNormal="100" workbookViewId="0">
      <selection activeCell="O10" sqref="O10"/>
    </sheetView>
  </sheetViews>
  <sheetFormatPr baseColWidth="10" defaultColWidth="9.140625" defaultRowHeight="15" x14ac:dyDescent="0.25"/>
  <cols>
    <col min="4" max="4" width="11.5703125" customWidth="1"/>
    <col min="5" max="5" width="14.7109375" customWidth="1"/>
    <col min="6" max="6" width="12.85546875" customWidth="1"/>
    <col min="7" max="8" width="11.85546875" customWidth="1"/>
    <col min="9" max="9" width="12.5703125" customWidth="1"/>
    <col min="11" max="11" width="14.42578125" customWidth="1"/>
    <col min="12" max="12" width="24" bestFit="1" customWidth="1"/>
    <col min="13" max="13" width="5" bestFit="1" customWidth="1"/>
    <col min="14" max="14" width="18.85546875" bestFit="1" customWidth="1"/>
    <col min="16" max="16" width="12.42578125" customWidth="1"/>
    <col min="17" max="17" width="15.5703125" customWidth="1"/>
    <col min="18" max="18" width="11" customWidth="1"/>
    <col min="19" max="19" width="11.42578125" customWidth="1"/>
    <col min="20" max="20" width="13.28515625" customWidth="1"/>
    <col min="21" max="21" width="19.140625" customWidth="1"/>
    <col min="23" max="23" width="17.85546875" bestFit="1" customWidth="1"/>
    <col min="26" max="26" width="19.7109375" bestFit="1" customWidth="1"/>
    <col min="27" max="27" width="18.28515625" bestFit="1" customWidth="1"/>
  </cols>
  <sheetData>
    <row r="4" spans="1:27" x14ac:dyDescent="0.25">
      <c r="L4" t="s">
        <v>0</v>
      </c>
    </row>
    <row r="5" spans="1:27" x14ac:dyDescent="0.25">
      <c r="E5" s="4" t="s">
        <v>1</v>
      </c>
      <c r="K5" s="30"/>
      <c r="L5" s="44" t="str">
        <f>IF(AND(L7&gt;=K7,L7&lt;=M7),"No se rechaza Ho","Se Rechaza Ho")</f>
        <v>No se rechaza Ho</v>
      </c>
      <c r="M5" s="44"/>
      <c r="W5" s="2" t="s">
        <v>2</v>
      </c>
    </row>
    <row r="6" spans="1:27" x14ac:dyDescent="0.25">
      <c r="E6" s="4" t="s">
        <v>3</v>
      </c>
      <c r="K6" s="43" t="s">
        <v>4</v>
      </c>
      <c r="L6" s="43" t="s">
        <v>5</v>
      </c>
      <c r="M6" s="43" t="s">
        <v>6</v>
      </c>
      <c r="W6" s="2" t="s">
        <v>7</v>
      </c>
    </row>
    <row r="7" spans="1:27" x14ac:dyDescent="0.25">
      <c r="D7" s="11" t="s">
        <v>67</v>
      </c>
      <c r="E7" s="11" t="s">
        <v>68</v>
      </c>
      <c r="F7" s="11" t="s">
        <v>69</v>
      </c>
      <c r="K7" s="30">
        <f>O20*-1</f>
        <v>-1.96</v>
      </c>
      <c r="L7" s="30">
        <f>S22</f>
        <v>-1.8237209059818318</v>
      </c>
      <c r="M7" s="30">
        <f>K7*-1</f>
        <v>1.96</v>
      </c>
      <c r="V7" s="11" t="s">
        <v>67</v>
      </c>
      <c r="W7" s="11" t="s">
        <v>68</v>
      </c>
      <c r="X7" s="11" t="s">
        <v>69</v>
      </c>
    </row>
    <row r="10" spans="1:27" ht="60" x14ac:dyDescent="0.25">
      <c r="A10" s="12" t="s">
        <v>11</v>
      </c>
      <c r="C10" s="15"/>
      <c r="D10" s="15" t="s">
        <v>59</v>
      </c>
      <c r="E10" s="16" t="s">
        <v>60</v>
      </c>
      <c r="F10" s="16" t="s">
        <v>61</v>
      </c>
      <c r="G10" s="16" t="s">
        <v>15</v>
      </c>
      <c r="H10" s="16" t="s">
        <v>16</v>
      </c>
      <c r="I10" s="16" t="s">
        <v>17</v>
      </c>
      <c r="K10" s="52" t="s">
        <v>80</v>
      </c>
      <c r="L10" s="31" t="s">
        <v>18</v>
      </c>
      <c r="M10" s="49"/>
      <c r="N10" s="49"/>
      <c r="V10" s="15" t="s">
        <v>19</v>
      </c>
      <c r="W10" s="15" t="s">
        <v>20</v>
      </c>
      <c r="X10" s="39" t="s">
        <v>21</v>
      </c>
      <c r="Y10" s="15"/>
      <c r="Z10" s="15" t="s">
        <v>22</v>
      </c>
      <c r="AA10" s="39" t="s">
        <v>23</v>
      </c>
    </row>
    <row r="11" spans="1:27" x14ac:dyDescent="0.25">
      <c r="A11">
        <v>313</v>
      </c>
      <c r="C11" s="15">
        <v>1</v>
      </c>
      <c r="D11" s="17">
        <f>A11/32768</f>
        <v>9.552001953125E-3</v>
      </c>
      <c r="E11" s="17">
        <v>2.288818359375E-3</v>
      </c>
      <c r="F11" s="15">
        <f>C11/50</f>
        <v>0.02</v>
      </c>
      <c r="G11" s="18">
        <f>ABS(E11-F11)</f>
        <v>1.7711181640625E-2</v>
      </c>
      <c r="H11" s="18">
        <f>MAX(G11:G60)</f>
        <v>0.11857910156249996</v>
      </c>
      <c r="I11" s="15">
        <v>0.188</v>
      </c>
      <c r="K11" s="30">
        <f t="shared" ref="K11:K42" si="0">IF(D11&gt;$O$16,1,0)</f>
        <v>0</v>
      </c>
      <c r="L11" s="30">
        <f>K11</f>
        <v>0</v>
      </c>
      <c r="M11" s="50"/>
      <c r="N11" s="50"/>
      <c r="V11" s="13">
        <v>9.552001953125E-3</v>
      </c>
      <c r="W11" s="15" t="s">
        <v>37</v>
      </c>
      <c r="X11" s="15">
        <v>20</v>
      </c>
      <c r="Y11" s="38" t="s">
        <v>25</v>
      </c>
      <c r="Z11" s="38">
        <v>15.120000000000001</v>
      </c>
      <c r="AA11" s="40">
        <f>ABS((X11-15.12)^2/15.12)</f>
        <v>1.5750264550264554</v>
      </c>
    </row>
    <row r="12" spans="1:27" x14ac:dyDescent="0.25">
      <c r="A12">
        <v>4070</v>
      </c>
      <c r="C12" s="15">
        <v>2</v>
      </c>
      <c r="D12" s="17">
        <f t="shared" ref="D12:D60" si="1">A12/32768</f>
        <v>0.12420654296875</v>
      </c>
      <c r="E12" s="17">
        <v>9.063720703125E-3</v>
      </c>
      <c r="F12" s="15">
        <f t="shared" ref="F12:F60" si="2">C12/50</f>
        <v>0.04</v>
      </c>
      <c r="G12" s="18">
        <f t="shared" ref="G12:G60" si="3">ABS(E12-F12)</f>
        <v>3.0936279296875001E-2</v>
      </c>
      <c r="H12" s="15"/>
      <c r="I12" s="15"/>
      <c r="K12" s="30">
        <f t="shared" si="0"/>
        <v>0</v>
      </c>
      <c r="L12" s="30">
        <f>IF(K13&lt;&gt;K12,1,0)</f>
        <v>1</v>
      </c>
      <c r="M12" s="50"/>
      <c r="N12" s="50"/>
      <c r="V12" s="13">
        <v>0.12420654296875</v>
      </c>
      <c r="W12" s="15" t="s">
        <v>37</v>
      </c>
      <c r="X12" s="15">
        <v>21</v>
      </c>
      <c r="Y12" s="38" t="s">
        <v>27</v>
      </c>
      <c r="Z12" s="38">
        <v>25.2</v>
      </c>
      <c r="AA12" s="40">
        <f>ABS((X12-25.2)^2/25.2)</f>
        <v>0.69999999999999973</v>
      </c>
    </row>
    <row r="13" spans="1:27" x14ac:dyDescent="0.25">
      <c r="A13">
        <v>20143</v>
      </c>
      <c r="C13" s="15">
        <v>3</v>
      </c>
      <c r="D13" s="17">
        <f t="shared" si="1"/>
        <v>0.614715576171875</v>
      </c>
      <c r="E13" s="17">
        <v>9.552001953125E-3</v>
      </c>
      <c r="F13" s="15">
        <f t="shared" si="2"/>
        <v>0.06</v>
      </c>
      <c r="G13" s="18">
        <f t="shared" si="3"/>
        <v>5.0447998046874998E-2</v>
      </c>
      <c r="H13" s="15"/>
      <c r="I13" s="15"/>
      <c r="K13" s="30">
        <f t="shared" si="0"/>
        <v>1</v>
      </c>
      <c r="L13" s="30">
        <f t="shared" ref="L13:L59" si="4">IF(K14&lt;&gt;K13,1,0)</f>
        <v>0</v>
      </c>
      <c r="M13" s="50"/>
      <c r="N13" s="50"/>
      <c r="V13" s="13">
        <v>0.614715576171875</v>
      </c>
      <c r="W13" s="15" t="s">
        <v>26</v>
      </c>
      <c r="X13" s="15">
        <v>6</v>
      </c>
      <c r="Y13" s="38" t="s">
        <v>28</v>
      </c>
      <c r="Z13" s="38">
        <v>5.4</v>
      </c>
      <c r="AA13" s="40">
        <f>ABS((X13-5.4)^2/5.4)</f>
        <v>6.6666666666666582E-2</v>
      </c>
    </row>
    <row r="14" spans="1:27" x14ac:dyDescent="0.25">
      <c r="A14">
        <v>32484</v>
      </c>
      <c r="C14" s="15">
        <v>4</v>
      </c>
      <c r="D14" s="17">
        <f t="shared" si="1"/>
        <v>0.9913330078125</v>
      </c>
      <c r="E14" s="17">
        <v>2.978515625E-2</v>
      </c>
      <c r="F14" s="15">
        <f t="shared" si="2"/>
        <v>0.08</v>
      </c>
      <c r="G14" s="18">
        <f t="shared" si="3"/>
        <v>5.0214843750000002E-2</v>
      </c>
      <c r="H14" s="15"/>
      <c r="I14" s="15"/>
      <c r="K14" s="30">
        <f t="shared" si="0"/>
        <v>1</v>
      </c>
      <c r="L14" s="30">
        <f t="shared" si="4"/>
        <v>0</v>
      </c>
      <c r="M14" s="50"/>
      <c r="N14" s="50"/>
      <c r="V14" s="13">
        <v>0.9913330078125</v>
      </c>
      <c r="W14" s="15" t="s">
        <v>37</v>
      </c>
      <c r="X14" s="15">
        <v>3</v>
      </c>
      <c r="Y14" s="38" t="s">
        <v>29</v>
      </c>
      <c r="Z14" s="38">
        <v>3.5999999999999996</v>
      </c>
      <c r="AA14" s="40">
        <f>ABS((X14-3.6)^2/3.6)</f>
        <v>0.10000000000000002</v>
      </c>
    </row>
    <row r="15" spans="1:27" x14ac:dyDescent="0.25">
      <c r="A15">
        <v>29077</v>
      </c>
      <c r="C15" s="15">
        <v>5</v>
      </c>
      <c r="D15" s="17">
        <f t="shared" si="1"/>
        <v>0.887359619140625</v>
      </c>
      <c r="E15" s="17">
        <v>3.411865234375E-2</v>
      </c>
      <c r="F15" s="15">
        <f t="shared" si="2"/>
        <v>0.1</v>
      </c>
      <c r="G15" s="18">
        <f t="shared" si="3"/>
        <v>6.5881347656250006E-2</v>
      </c>
      <c r="H15" s="15"/>
      <c r="I15" s="15"/>
      <c r="K15" s="30">
        <f t="shared" si="0"/>
        <v>1</v>
      </c>
      <c r="L15" s="30">
        <f t="shared" si="4"/>
        <v>0</v>
      </c>
      <c r="M15" s="50"/>
      <c r="N15" s="50"/>
      <c r="V15" s="13">
        <v>0.887359619140625</v>
      </c>
      <c r="W15" s="15" t="s">
        <v>24</v>
      </c>
      <c r="X15" s="15">
        <v>0</v>
      </c>
      <c r="Y15" s="38" t="s">
        <v>30</v>
      </c>
      <c r="Z15" s="38">
        <v>0.22499999999999998</v>
      </c>
      <c r="AA15" s="40">
        <f>ABS((X15-0.225)^2/0.225)</f>
        <v>0.22500000000000001</v>
      </c>
    </row>
    <row r="16" spans="1:27" x14ac:dyDescent="0.25">
      <c r="A16">
        <v>17554</v>
      </c>
      <c r="C16" s="15">
        <v>6</v>
      </c>
      <c r="D16" s="17">
        <f t="shared" si="1"/>
        <v>0.53570556640625</v>
      </c>
      <c r="E16" s="17">
        <v>0.11785888671875</v>
      </c>
      <c r="F16" s="15">
        <f t="shared" si="2"/>
        <v>0.12</v>
      </c>
      <c r="G16" s="18">
        <f t="shared" si="3"/>
        <v>2.1411132812499956E-3</v>
      </c>
      <c r="H16" s="15"/>
      <c r="I16" s="15"/>
      <c r="K16" s="30">
        <f t="shared" si="0"/>
        <v>1</v>
      </c>
      <c r="L16" s="30">
        <f t="shared" si="4"/>
        <v>0</v>
      </c>
      <c r="M16" s="50"/>
      <c r="N16" t="s">
        <v>38</v>
      </c>
      <c r="O16" s="13">
        <f>AVERAGE(D11:D60)</f>
        <v>0.52835388183593746</v>
      </c>
      <c r="R16" t="s">
        <v>39</v>
      </c>
      <c r="S16" s="32">
        <f>SUM(L11:L60)</f>
        <v>19</v>
      </c>
      <c r="V16" s="13">
        <v>0.53570556640625</v>
      </c>
      <c r="W16" s="15" t="s">
        <v>24</v>
      </c>
      <c r="X16" s="15">
        <v>0</v>
      </c>
      <c r="Y16" s="38" t="s">
        <v>31</v>
      </c>
      <c r="Z16" s="38">
        <v>0.44999999999999996</v>
      </c>
      <c r="AA16" s="40">
        <f>ABS((X16-0.45)^2/0.45)</f>
        <v>0.45</v>
      </c>
    </row>
    <row r="17" spans="1:27" x14ac:dyDescent="0.25">
      <c r="A17">
        <v>31595</v>
      </c>
      <c r="C17" s="15">
        <v>7</v>
      </c>
      <c r="D17" s="17">
        <f t="shared" si="1"/>
        <v>0.964202880859375</v>
      </c>
      <c r="E17" s="17">
        <v>0.123870849609375</v>
      </c>
      <c r="F17" s="15">
        <f t="shared" si="2"/>
        <v>0.14000000000000001</v>
      </c>
      <c r="G17" s="18">
        <f t="shared" si="3"/>
        <v>1.6129150390625013E-2</v>
      </c>
      <c r="H17" s="15"/>
      <c r="I17" s="15"/>
      <c r="K17" s="30">
        <f t="shared" si="0"/>
        <v>1</v>
      </c>
      <c r="L17" s="30">
        <f t="shared" si="4"/>
        <v>0</v>
      </c>
      <c r="M17" s="50"/>
      <c r="N17" t="s">
        <v>40</v>
      </c>
      <c r="O17">
        <f>_xlfn.STDEV.S(D11:D60)</f>
        <v>0.31691635181523908</v>
      </c>
      <c r="P17" t="s">
        <v>41</v>
      </c>
      <c r="Q17" t="s">
        <v>42</v>
      </c>
      <c r="V17" s="13">
        <v>0.964202880859375</v>
      </c>
      <c r="W17" s="15" t="s">
        <v>26</v>
      </c>
      <c r="X17" s="15">
        <v>0</v>
      </c>
      <c r="Y17" s="38" t="s">
        <v>32</v>
      </c>
      <c r="Z17" s="38">
        <v>5.0000000000000001E-3</v>
      </c>
      <c r="AA17" s="40">
        <f>ABS((X17-0.005)^2/0.005)</f>
        <v>5.0000000000000001E-3</v>
      </c>
    </row>
    <row r="18" spans="1:27" x14ac:dyDescent="0.25">
      <c r="A18">
        <v>17520</v>
      </c>
      <c r="C18" s="15">
        <v>8</v>
      </c>
      <c r="D18" s="17">
        <f t="shared" si="1"/>
        <v>0.53466796875</v>
      </c>
      <c r="E18" s="17">
        <v>0.12420654296875</v>
      </c>
      <c r="F18" s="15">
        <f t="shared" si="2"/>
        <v>0.16</v>
      </c>
      <c r="G18" s="18">
        <f t="shared" si="3"/>
        <v>3.5793457031250003E-2</v>
      </c>
      <c r="H18" s="15"/>
      <c r="I18" s="15"/>
      <c r="K18" s="30">
        <f t="shared" si="0"/>
        <v>1</v>
      </c>
      <c r="L18" s="30">
        <f t="shared" si="4"/>
        <v>0</v>
      </c>
      <c r="M18" s="50"/>
      <c r="N18" s="27" t="s">
        <v>43</v>
      </c>
      <c r="O18">
        <v>0.05</v>
      </c>
      <c r="P18">
        <f>COUNTIF(K11:K60,1)</f>
        <v>27</v>
      </c>
      <c r="Q18">
        <f>COUNTIF(K11:K60,0)</f>
        <v>23</v>
      </c>
      <c r="V18" s="13">
        <v>0.53466796875</v>
      </c>
      <c r="W18" s="15" t="s">
        <v>26</v>
      </c>
      <c r="Y18" s="38"/>
      <c r="Z18" s="38"/>
      <c r="AA18" s="41"/>
    </row>
    <row r="19" spans="1:27" x14ac:dyDescent="0.25">
      <c r="A19">
        <v>31153</v>
      </c>
      <c r="C19" s="15">
        <v>9</v>
      </c>
      <c r="D19" s="17">
        <f t="shared" si="1"/>
        <v>0.950714111328125</v>
      </c>
      <c r="E19" s="17">
        <v>0.14984130859375</v>
      </c>
      <c r="F19" s="15">
        <f t="shared" si="2"/>
        <v>0.18</v>
      </c>
      <c r="G19" s="18">
        <f t="shared" si="3"/>
        <v>3.0158691406249993E-2</v>
      </c>
      <c r="H19" s="15"/>
      <c r="I19" s="15"/>
      <c r="K19" s="30">
        <f t="shared" si="0"/>
        <v>1</v>
      </c>
      <c r="L19" s="30">
        <f t="shared" si="4"/>
        <v>1</v>
      </c>
      <c r="M19" s="50"/>
      <c r="N19" s="27" t="s">
        <v>44</v>
      </c>
      <c r="O19">
        <f>O18/2</f>
        <v>2.5000000000000001E-2</v>
      </c>
      <c r="V19" s="13">
        <v>0.950714111328125</v>
      </c>
      <c r="W19" s="15" t="s">
        <v>26</v>
      </c>
      <c r="Y19" s="38"/>
      <c r="Z19" s="38" t="s">
        <v>33</v>
      </c>
      <c r="AA19" s="41">
        <f>SUM(AA11:AA17)</f>
        <v>3.1216931216931219</v>
      </c>
    </row>
    <row r="20" spans="1:27" x14ac:dyDescent="0.25">
      <c r="A20">
        <v>11774</v>
      </c>
      <c r="C20" s="15">
        <v>10</v>
      </c>
      <c r="D20" s="17">
        <f t="shared" si="1"/>
        <v>0.35931396484375</v>
      </c>
      <c r="E20" s="17">
        <v>0.154541015625</v>
      </c>
      <c r="F20" s="15">
        <f t="shared" si="2"/>
        <v>0.2</v>
      </c>
      <c r="G20" s="18">
        <f t="shared" si="3"/>
        <v>4.5458984375000011E-2</v>
      </c>
      <c r="H20" s="15"/>
      <c r="I20" s="15"/>
      <c r="K20" s="30">
        <f t="shared" si="0"/>
        <v>0</v>
      </c>
      <c r="L20" s="30">
        <f t="shared" si="4"/>
        <v>1</v>
      </c>
      <c r="M20" s="50"/>
      <c r="N20" t="s">
        <v>6</v>
      </c>
      <c r="O20">
        <f>1.96</f>
        <v>1.96</v>
      </c>
      <c r="R20" t="s">
        <v>45</v>
      </c>
      <c r="S20" s="33">
        <f>((2*P18*Q18))/(P18+Q18)+(1/2)</f>
        <v>25.34</v>
      </c>
      <c r="V20" s="13">
        <v>0.35931396484375</v>
      </c>
      <c r="W20" s="15" t="s">
        <v>24</v>
      </c>
      <c r="Y20" s="38"/>
      <c r="Z20" s="38" t="s">
        <v>62</v>
      </c>
      <c r="AA20" s="41">
        <v>12.59</v>
      </c>
    </row>
    <row r="21" spans="1:27" x14ac:dyDescent="0.25">
      <c r="A21">
        <v>21991</v>
      </c>
      <c r="C21" s="15">
        <v>11</v>
      </c>
      <c r="D21" s="17">
        <f t="shared" si="1"/>
        <v>0.671112060546875</v>
      </c>
      <c r="E21" s="17">
        <v>0.20526123046875</v>
      </c>
      <c r="F21" s="15">
        <f t="shared" si="2"/>
        <v>0.22</v>
      </c>
      <c r="G21" s="18">
        <f t="shared" si="3"/>
        <v>1.4738769531250001E-2</v>
      </c>
      <c r="H21" s="15"/>
      <c r="I21" s="15"/>
      <c r="K21" s="30">
        <f t="shared" si="0"/>
        <v>1</v>
      </c>
      <c r="L21" s="30">
        <f t="shared" si="4"/>
        <v>0</v>
      </c>
      <c r="M21" s="50"/>
      <c r="R21" t="s">
        <v>46</v>
      </c>
      <c r="S21">
        <f>(2*P18*Q18*(2*P18*Q18 -C60))/(C60*C60*(C60-1))</f>
        <v>12.085420408163266</v>
      </c>
      <c r="V21" s="13">
        <v>0.671112060546875</v>
      </c>
      <c r="W21" s="15" t="s">
        <v>35</v>
      </c>
    </row>
    <row r="22" spans="1:27" x14ac:dyDescent="0.25">
      <c r="A22">
        <v>23740</v>
      </c>
      <c r="C22" s="15">
        <v>12</v>
      </c>
      <c r="D22" s="17">
        <f t="shared" si="1"/>
        <v>0.7244873046875</v>
      </c>
      <c r="E22" s="17">
        <v>0.206939697265625</v>
      </c>
      <c r="F22" s="15">
        <f t="shared" si="2"/>
        <v>0.24</v>
      </c>
      <c r="G22" s="18">
        <f t="shared" si="3"/>
        <v>3.3060302734374991E-2</v>
      </c>
      <c r="H22" s="15"/>
      <c r="I22" s="15"/>
      <c r="K22" s="30">
        <f t="shared" si="0"/>
        <v>1</v>
      </c>
      <c r="L22" s="30">
        <f t="shared" si="4"/>
        <v>1</v>
      </c>
      <c r="M22" s="50"/>
      <c r="R22" t="s">
        <v>5</v>
      </c>
      <c r="S22">
        <f>(S16-S20)/SQRT(S21)</f>
        <v>-1.8237209059818318</v>
      </c>
      <c r="V22" s="13">
        <v>0.7244873046875</v>
      </c>
      <c r="W22" s="15" t="s">
        <v>24</v>
      </c>
    </row>
    <row r="23" spans="1:27" x14ac:dyDescent="0.25">
      <c r="A23">
        <v>13709</v>
      </c>
      <c r="C23" s="15">
        <v>13</v>
      </c>
      <c r="D23" s="17">
        <f t="shared" si="1"/>
        <v>0.418365478515625</v>
      </c>
      <c r="E23" s="17">
        <v>0.24029541015625</v>
      </c>
      <c r="F23" s="15">
        <f t="shared" si="2"/>
        <v>0.26</v>
      </c>
      <c r="G23" s="18">
        <f t="shared" si="3"/>
        <v>1.9704589843750009E-2</v>
      </c>
      <c r="H23" s="15"/>
      <c r="I23" s="15"/>
      <c r="K23" s="30">
        <f t="shared" si="0"/>
        <v>0</v>
      </c>
      <c r="L23" s="30">
        <f t="shared" si="4"/>
        <v>0</v>
      </c>
      <c r="M23" s="50"/>
      <c r="N23" s="50"/>
      <c r="V23" s="13">
        <v>0.418365478515625</v>
      </c>
      <c r="W23" s="15" t="s">
        <v>26</v>
      </c>
    </row>
    <row r="24" spans="1:27" x14ac:dyDescent="0.25">
      <c r="A24">
        <v>14378</v>
      </c>
      <c r="C24" s="15">
        <v>14</v>
      </c>
      <c r="D24" s="17">
        <f t="shared" si="1"/>
        <v>0.43878173828125</v>
      </c>
      <c r="E24" s="17">
        <v>0.3236083984375</v>
      </c>
      <c r="F24" s="15">
        <f t="shared" si="2"/>
        <v>0.28000000000000003</v>
      </c>
      <c r="G24" s="18">
        <f t="shared" si="3"/>
        <v>4.3608398437499973E-2</v>
      </c>
      <c r="H24" s="15"/>
      <c r="I24" s="15"/>
      <c r="K24" s="30">
        <f t="shared" si="0"/>
        <v>0</v>
      </c>
      <c r="L24" s="30">
        <f t="shared" si="4"/>
        <v>1</v>
      </c>
      <c r="M24" s="50"/>
      <c r="N24" s="50"/>
      <c r="V24" s="13">
        <v>0.43878173828125</v>
      </c>
      <c r="W24" s="15" t="s">
        <v>24</v>
      </c>
    </row>
    <row r="25" spans="1:27" x14ac:dyDescent="0.25">
      <c r="A25">
        <v>23075</v>
      </c>
      <c r="C25" s="15">
        <v>15</v>
      </c>
      <c r="D25" s="17">
        <f t="shared" si="1"/>
        <v>0.704193115234375</v>
      </c>
      <c r="E25" s="17">
        <v>0.35931396484375</v>
      </c>
      <c r="F25" s="15">
        <f t="shared" si="2"/>
        <v>0.3</v>
      </c>
      <c r="G25" s="18">
        <f t="shared" si="3"/>
        <v>5.9313964843750011E-2</v>
      </c>
      <c r="H25" s="15"/>
      <c r="I25" s="15"/>
      <c r="K25" s="30">
        <f t="shared" si="0"/>
        <v>1</v>
      </c>
      <c r="L25" s="30">
        <f t="shared" si="4"/>
        <v>1</v>
      </c>
      <c r="M25" s="50"/>
      <c r="N25" s="50"/>
      <c r="V25" s="13">
        <v>0.704193115234375</v>
      </c>
      <c r="W25" s="15" t="s">
        <v>26</v>
      </c>
    </row>
    <row r="26" spans="1:27" x14ac:dyDescent="0.25">
      <c r="A26">
        <v>5064</v>
      </c>
      <c r="C26" s="15">
        <v>16</v>
      </c>
      <c r="D26" s="17">
        <f t="shared" si="1"/>
        <v>0.154541015625</v>
      </c>
      <c r="E26" s="17">
        <v>0.38641357421875</v>
      </c>
      <c r="F26" s="15">
        <f t="shared" si="2"/>
        <v>0.32</v>
      </c>
      <c r="G26" s="18">
        <f t="shared" si="3"/>
        <v>6.6413574218749993E-2</v>
      </c>
      <c r="H26" s="15"/>
      <c r="I26" s="15"/>
      <c r="K26" s="30">
        <f t="shared" si="0"/>
        <v>0</v>
      </c>
      <c r="L26" s="30">
        <f t="shared" si="4"/>
        <v>0</v>
      </c>
      <c r="M26" s="50"/>
      <c r="N26" s="50"/>
      <c r="V26" s="13">
        <v>0.154541015625</v>
      </c>
      <c r="W26" s="15" t="s">
        <v>37</v>
      </c>
    </row>
    <row r="27" spans="1:27" x14ac:dyDescent="0.25">
      <c r="A27">
        <v>297</v>
      </c>
      <c r="C27" s="15">
        <v>17</v>
      </c>
      <c r="D27" s="17">
        <f t="shared" si="1"/>
        <v>9.063720703125E-3</v>
      </c>
      <c r="E27" s="17">
        <v>0.387237548828125</v>
      </c>
      <c r="F27" s="15">
        <f t="shared" si="2"/>
        <v>0.34</v>
      </c>
      <c r="G27" s="18">
        <f t="shared" si="3"/>
        <v>4.7237548828124976E-2</v>
      </c>
      <c r="H27" s="15"/>
      <c r="I27" s="15"/>
      <c r="K27" s="30">
        <f t="shared" si="0"/>
        <v>0</v>
      </c>
      <c r="L27" s="30">
        <f t="shared" si="4"/>
        <v>0</v>
      </c>
      <c r="M27" s="50"/>
      <c r="N27" s="50"/>
      <c r="V27" s="13">
        <v>9.063720703125E-3</v>
      </c>
      <c r="W27" s="15" t="s">
        <v>35</v>
      </c>
    </row>
    <row r="28" spans="1:27" x14ac:dyDescent="0.25">
      <c r="A28">
        <v>3862</v>
      </c>
      <c r="C28" s="15">
        <v>18</v>
      </c>
      <c r="D28" s="17">
        <f t="shared" si="1"/>
        <v>0.11785888671875</v>
      </c>
      <c r="E28" s="17">
        <v>0.414337158203125</v>
      </c>
      <c r="F28" s="15">
        <f t="shared" si="2"/>
        <v>0.36</v>
      </c>
      <c r="G28" s="18">
        <f t="shared" si="3"/>
        <v>5.4337158203125013E-2</v>
      </c>
      <c r="H28" s="15"/>
      <c r="I28" s="15"/>
      <c r="K28" s="30">
        <f t="shared" si="0"/>
        <v>0</v>
      </c>
      <c r="L28" s="30">
        <f t="shared" si="4"/>
        <v>1</v>
      </c>
      <c r="M28" s="50"/>
      <c r="N28" s="50"/>
      <c r="V28" s="13">
        <v>0.11785888671875</v>
      </c>
      <c r="W28" s="15" t="s">
        <v>24</v>
      </c>
    </row>
    <row r="29" spans="1:27" x14ac:dyDescent="0.25">
      <c r="A29">
        <v>17439</v>
      </c>
      <c r="C29" s="15">
        <v>19</v>
      </c>
      <c r="D29" s="17">
        <f t="shared" si="1"/>
        <v>0.532196044921875</v>
      </c>
      <c r="E29" s="17">
        <v>0.418365478515625</v>
      </c>
      <c r="F29" s="15">
        <f t="shared" si="2"/>
        <v>0.38</v>
      </c>
      <c r="G29" s="18">
        <f t="shared" si="3"/>
        <v>3.8365478515624996E-2</v>
      </c>
      <c r="H29" s="15"/>
      <c r="I29" s="15"/>
      <c r="K29" s="30">
        <f t="shared" si="0"/>
        <v>1</v>
      </c>
      <c r="L29" s="30">
        <f t="shared" si="4"/>
        <v>0</v>
      </c>
      <c r="M29" s="50"/>
      <c r="N29" s="50"/>
      <c r="V29" s="13">
        <v>0.532196044921875</v>
      </c>
      <c r="W29" s="15" t="s">
        <v>24</v>
      </c>
    </row>
    <row r="30" spans="1:27" x14ac:dyDescent="0.25">
      <c r="A30">
        <v>30100</v>
      </c>
      <c r="C30" s="15">
        <v>20</v>
      </c>
      <c r="D30" s="17">
        <f t="shared" si="1"/>
        <v>0.9185791015625</v>
      </c>
      <c r="E30" s="17">
        <v>0.43878173828125</v>
      </c>
      <c r="F30" s="15">
        <f t="shared" si="2"/>
        <v>0.4</v>
      </c>
      <c r="G30" s="18">
        <f t="shared" si="3"/>
        <v>3.8781738281249978E-2</v>
      </c>
      <c r="H30" s="15"/>
      <c r="I30" s="15"/>
      <c r="K30" s="30">
        <f t="shared" si="0"/>
        <v>1</v>
      </c>
      <c r="L30" s="30">
        <f t="shared" si="4"/>
        <v>0</v>
      </c>
      <c r="M30" s="50"/>
      <c r="N30" s="50"/>
      <c r="V30" s="13">
        <v>0.9185791015625</v>
      </c>
      <c r="W30" s="15" t="s">
        <v>24</v>
      </c>
    </row>
    <row r="31" spans="1:27" x14ac:dyDescent="0.25">
      <c r="A31">
        <v>30853</v>
      </c>
      <c r="C31" s="15">
        <v>21</v>
      </c>
      <c r="D31" s="17">
        <f t="shared" si="1"/>
        <v>0.941558837890625</v>
      </c>
      <c r="E31" s="17">
        <v>0.443572998046875</v>
      </c>
      <c r="F31" s="15">
        <f t="shared" si="2"/>
        <v>0.42</v>
      </c>
      <c r="G31" s="18">
        <f t="shared" si="3"/>
        <v>2.3572998046875016E-2</v>
      </c>
      <c r="H31" s="15"/>
      <c r="I31" s="15"/>
      <c r="K31" s="30">
        <f t="shared" si="0"/>
        <v>1</v>
      </c>
      <c r="L31" s="30">
        <f t="shared" si="4"/>
        <v>1</v>
      </c>
      <c r="M31" s="50"/>
      <c r="N31" s="50"/>
      <c r="V31" s="13">
        <v>0.941558837890625</v>
      </c>
      <c r="W31" s="15" t="s">
        <v>26</v>
      </c>
    </row>
    <row r="32" spans="1:27" x14ac:dyDescent="0.25">
      <c r="A32">
        <v>7874</v>
      </c>
      <c r="C32" s="15">
        <v>22</v>
      </c>
      <c r="D32" s="17">
        <f t="shared" si="1"/>
        <v>0.24029541015625</v>
      </c>
      <c r="E32" s="17">
        <v>0.477325439453125</v>
      </c>
      <c r="F32" s="15">
        <f t="shared" si="2"/>
        <v>0.44</v>
      </c>
      <c r="G32" s="18">
        <f t="shared" si="3"/>
        <v>3.7325439453124998E-2</v>
      </c>
      <c r="H32" s="15"/>
      <c r="I32" s="15"/>
      <c r="K32" s="30">
        <f t="shared" si="0"/>
        <v>0</v>
      </c>
      <c r="L32" s="30">
        <f t="shared" si="4"/>
        <v>0</v>
      </c>
      <c r="M32" s="50"/>
      <c r="N32" s="50"/>
      <c r="V32" s="13">
        <v>0.24029541015625</v>
      </c>
      <c r="W32" s="15" t="s">
        <v>24</v>
      </c>
    </row>
    <row r="33" spans="1:23" x14ac:dyDescent="0.25">
      <c r="A33">
        <v>4059</v>
      </c>
      <c r="C33" s="15">
        <v>23</v>
      </c>
      <c r="D33" s="17">
        <f t="shared" si="1"/>
        <v>0.123870849609375</v>
      </c>
      <c r="E33" s="17">
        <v>0.493408203125</v>
      </c>
      <c r="F33" s="15">
        <f t="shared" si="2"/>
        <v>0.46</v>
      </c>
      <c r="G33" s="18">
        <f t="shared" si="3"/>
        <v>3.340820312499998E-2</v>
      </c>
      <c r="H33" s="15"/>
      <c r="I33" s="15"/>
      <c r="K33" s="30">
        <f t="shared" si="0"/>
        <v>0</v>
      </c>
      <c r="L33" s="30">
        <f t="shared" si="4"/>
        <v>1</v>
      </c>
      <c r="M33" s="50"/>
      <c r="N33" s="50"/>
      <c r="V33" s="13">
        <v>0.123870849609375</v>
      </c>
      <c r="W33" s="15" t="s">
        <v>26</v>
      </c>
    </row>
    <row r="34" spans="1:23" x14ac:dyDescent="0.25">
      <c r="A34">
        <v>20000</v>
      </c>
      <c r="C34" s="15">
        <v>24</v>
      </c>
      <c r="D34" s="17">
        <f t="shared" si="1"/>
        <v>0.6103515625</v>
      </c>
      <c r="E34" s="17">
        <v>0.532196044921875</v>
      </c>
      <c r="F34" s="15">
        <f t="shared" si="2"/>
        <v>0.48</v>
      </c>
      <c r="G34" s="18">
        <f t="shared" si="3"/>
        <v>5.2196044921875018E-2</v>
      </c>
      <c r="H34" s="15"/>
      <c r="I34" s="15"/>
      <c r="K34" s="30">
        <f t="shared" si="0"/>
        <v>1</v>
      </c>
      <c r="L34" s="30">
        <f t="shared" si="4"/>
        <v>0</v>
      </c>
      <c r="M34" s="50"/>
      <c r="N34" s="50"/>
      <c r="V34" s="13">
        <v>0.6103515625</v>
      </c>
      <c r="W34" s="15" t="s">
        <v>26</v>
      </c>
    </row>
    <row r="35" spans="1:23" x14ac:dyDescent="0.25">
      <c r="A35">
        <v>30625</v>
      </c>
      <c r="C35" s="15">
        <v>25</v>
      </c>
      <c r="D35" s="17">
        <f t="shared" si="1"/>
        <v>0.934600830078125</v>
      </c>
      <c r="E35" s="17">
        <v>0.53466796875</v>
      </c>
      <c r="F35" s="15">
        <f t="shared" si="2"/>
        <v>0.5</v>
      </c>
      <c r="G35" s="18">
        <f t="shared" si="3"/>
        <v>3.466796875E-2</v>
      </c>
      <c r="H35" s="15"/>
      <c r="I35" s="15"/>
      <c r="K35" s="30">
        <f t="shared" si="0"/>
        <v>1</v>
      </c>
      <c r="L35" s="30">
        <f t="shared" si="4"/>
        <v>1</v>
      </c>
      <c r="M35" s="50"/>
      <c r="N35" s="50"/>
      <c r="V35" s="13">
        <v>0.934600830078125</v>
      </c>
      <c r="W35" s="15" t="s">
        <v>26</v>
      </c>
    </row>
    <row r="36" spans="1:23" x14ac:dyDescent="0.25">
      <c r="A36">
        <v>4910</v>
      </c>
      <c r="C36" s="15">
        <v>26</v>
      </c>
      <c r="D36" s="17">
        <f t="shared" si="1"/>
        <v>0.14984130859375</v>
      </c>
      <c r="E36" s="17">
        <v>0.53546142578125</v>
      </c>
      <c r="F36" s="15">
        <f t="shared" si="2"/>
        <v>0.52</v>
      </c>
      <c r="G36" s="18">
        <f t="shared" si="3"/>
        <v>1.5461425781249982E-2</v>
      </c>
      <c r="H36" s="15"/>
      <c r="I36" s="15"/>
      <c r="K36" s="30">
        <f t="shared" si="0"/>
        <v>0</v>
      </c>
      <c r="L36" s="30">
        <f t="shared" si="4"/>
        <v>1</v>
      </c>
      <c r="M36" s="50"/>
      <c r="N36" s="50"/>
      <c r="V36" s="13">
        <v>0.14984130859375</v>
      </c>
      <c r="W36" s="15" t="s">
        <v>24</v>
      </c>
    </row>
    <row r="37" spans="1:23" x14ac:dyDescent="0.25">
      <c r="A37">
        <v>31063</v>
      </c>
      <c r="C37" s="15">
        <v>27</v>
      </c>
      <c r="D37" s="17">
        <f t="shared" si="1"/>
        <v>0.947967529296875</v>
      </c>
      <c r="E37" s="17">
        <v>0.53570556640625</v>
      </c>
      <c r="F37" s="15">
        <f t="shared" si="2"/>
        <v>0.54</v>
      </c>
      <c r="G37" s="18">
        <f t="shared" si="3"/>
        <v>4.2944335937500355E-3</v>
      </c>
      <c r="H37" s="15"/>
      <c r="I37" s="15"/>
      <c r="K37" s="30">
        <f t="shared" si="0"/>
        <v>1</v>
      </c>
      <c r="L37" s="30">
        <f t="shared" si="4"/>
        <v>1</v>
      </c>
      <c r="M37" s="50"/>
      <c r="V37" s="13">
        <v>0.947967529296875</v>
      </c>
      <c r="W37" s="15" t="s">
        <v>24</v>
      </c>
    </row>
    <row r="38" spans="1:23" x14ac:dyDescent="0.25">
      <c r="A38">
        <v>10604</v>
      </c>
      <c r="C38" s="15">
        <v>28</v>
      </c>
      <c r="D38" s="17">
        <f t="shared" si="1"/>
        <v>0.3236083984375</v>
      </c>
      <c r="E38" s="17">
        <v>0.53863525390625</v>
      </c>
      <c r="F38" s="15">
        <f t="shared" si="2"/>
        <v>0.56000000000000005</v>
      </c>
      <c r="G38" s="18">
        <f t="shared" si="3"/>
        <v>2.1364746093750053E-2</v>
      </c>
      <c r="H38" s="15"/>
      <c r="I38" s="15"/>
      <c r="K38" s="30">
        <f t="shared" si="0"/>
        <v>0</v>
      </c>
      <c r="L38" s="30">
        <f t="shared" si="4"/>
        <v>0</v>
      </c>
      <c r="M38" s="50"/>
      <c r="V38" s="13">
        <v>0.3236083984375</v>
      </c>
      <c r="W38" s="15" t="s">
        <v>24</v>
      </c>
    </row>
    <row r="39" spans="1:23" x14ac:dyDescent="0.25">
      <c r="A39">
        <v>6781</v>
      </c>
      <c r="C39" s="15">
        <v>29</v>
      </c>
      <c r="D39" s="17">
        <f t="shared" si="1"/>
        <v>0.206939697265625</v>
      </c>
      <c r="E39" s="17">
        <v>0.6103515625</v>
      </c>
      <c r="F39" s="15">
        <f t="shared" si="2"/>
        <v>0.57999999999999996</v>
      </c>
      <c r="G39" s="18">
        <f t="shared" si="3"/>
        <v>3.035156250000004E-2</v>
      </c>
      <c r="H39" s="15"/>
      <c r="I39" s="15"/>
      <c r="K39" s="30">
        <f t="shared" si="0"/>
        <v>0</v>
      </c>
      <c r="L39" s="30">
        <f t="shared" si="4"/>
        <v>1</v>
      </c>
      <c r="M39" s="50"/>
      <c r="V39" s="13">
        <v>0.206939697265625</v>
      </c>
      <c r="W39" s="15" t="s">
        <v>26</v>
      </c>
    </row>
    <row r="40" spans="1:23" x14ac:dyDescent="0.25">
      <c r="A40">
        <v>22618</v>
      </c>
      <c r="C40" s="15">
        <v>30</v>
      </c>
      <c r="D40" s="17">
        <f t="shared" si="1"/>
        <v>0.69024658203125</v>
      </c>
      <c r="E40" s="17">
        <v>0.614715576171875</v>
      </c>
      <c r="F40" s="15">
        <f t="shared" si="2"/>
        <v>0.6</v>
      </c>
      <c r="G40" s="18">
        <f t="shared" si="3"/>
        <v>1.4715576171875022E-2</v>
      </c>
      <c r="H40" s="15"/>
      <c r="I40" s="15"/>
      <c r="K40" s="30">
        <f t="shared" si="0"/>
        <v>1</v>
      </c>
      <c r="L40" s="30">
        <f t="shared" si="4"/>
        <v>0</v>
      </c>
      <c r="M40" s="50"/>
      <c r="V40" s="13">
        <v>0.69024658203125</v>
      </c>
      <c r="W40" s="15" t="s">
        <v>26</v>
      </c>
    </row>
    <row r="41" spans="1:23" x14ac:dyDescent="0.25">
      <c r="A41">
        <v>31891</v>
      </c>
      <c r="C41" s="15">
        <v>31</v>
      </c>
      <c r="D41" s="17">
        <f t="shared" si="1"/>
        <v>0.973236083984375</v>
      </c>
      <c r="E41" s="17">
        <v>0.652099609375</v>
      </c>
      <c r="F41" s="15">
        <f t="shared" si="2"/>
        <v>0.62</v>
      </c>
      <c r="G41" s="18">
        <f t="shared" si="3"/>
        <v>3.2099609375000004E-2</v>
      </c>
      <c r="H41" s="15"/>
      <c r="I41" s="15"/>
      <c r="K41" s="30">
        <f t="shared" si="0"/>
        <v>1</v>
      </c>
      <c r="L41" s="30">
        <f t="shared" si="4"/>
        <v>0</v>
      </c>
      <c r="M41" s="50"/>
      <c r="V41" s="13">
        <v>0.973236083984375</v>
      </c>
      <c r="W41" s="15" t="s">
        <v>26</v>
      </c>
    </row>
    <row r="42" spans="1:23" x14ac:dyDescent="0.25">
      <c r="A42">
        <v>21368</v>
      </c>
      <c r="C42" s="15">
        <v>32</v>
      </c>
      <c r="D42" s="17">
        <f t="shared" si="1"/>
        <v>0.652099609375</v>
      </c>
      <c r="E42" s="17">
        <v>0.668426513671875</v>
      </c>
      <c r="F42" s="15">
        <f t="shared" si="2"/>
        <v>0.64</v>
      </c>
      <c r="G42" s="18">
        <f t="shared" si="3"/>
        <v>2.8426513671874987E-2</v>
      </c>
      <c r="H42" s="15"/>
      <c r="I42" s="15"/>
      <c r="K42" s="30">
        <f t="shared" si="0"/>
        <v>1</v>
      </c>
      <c r="L42" s="30">
        <f t="shared" si="4"/>
        <v>1</v>
      </c>
      <c r="M42" s="50"/>
      <c r="V42" s="13">
        <v>0.652099609375</v>
      </c>
      <c r="W42" s="15" t="s">
        <v>26</v>
      </c>
    </row>
    <row r="43" spans="1:23" x14ac:dyDescent="0.25">
      <c r="A43">
        <v>15641</v>
      </c>
      <c r="C43" s="15">
        <v>33</v>
      </c>
      <c r="D43" s="17">
        <f t="shared" si="1"/>
        <v>0.477325439453125</v>
      </c>
      <c r="E43" s="17">
        <v>0.671112060546875</v>
      </c>
      <c r="F43" s="15">
        <f t="shared" si="2"/>
        <v>0.66</v>
      </c>
      <c r="G43" s="18">
        <f t="shared" si="3"/>
        <v>1.1112060546874969E-2</v>
      </c>
      <c r="H43" s="15"/>
      <c r="I43" s="15"/>
      <c r="K43" s="30">
        <f t="shared" ref="K43:K60" si="5">IF(D43&gt;$O$16,1,0)</f>
        <v>0</v>
      </c>
      <c r="L43" s="30">
        <f t="shared" si="4"/>
        <v>0</v>
      </c>
      <c r="M43" s="50"/>
      <c r="V43" s="13">
        <v>0.477325439453125</v>
      </c>
      <c r="W43" s="15" t="s">
        <v>37</v>
      </c>
    </row>
    <row r="44" spans="1:23" x14ac:dyDescent="0.25">
      <c r="A44">
        <v>6726</v>
      </c>
      <c r="C44" s="15">
        <v>34</v>
      </c>
      <c r="D44" s="17">
        <f t="shared" si="1"/>
        <v>0.20526123046875</v>
      </c>
      <c r="E44" s="17">
        <v>0.6895751953125</v>
      </c>
      <c r="F44" s="15">
        <f t="shared" si="2"/>
        <v>0.68</v>
      </c>
      <c r="G44" s="18">
        <f t="shared" si="3"/>
        <v>9.5751953124999512E-3</v>
      </c>
      <c r="H44" s="15"/>
      <c r="I44" s="15"/>
      <c r="K44" s="30">
        <f t="shared" si="5"/>
        <v>0</v>
      </c>
      <c r="L44" s="30">
        <f t="shared" si="4"/>
        <v>1</v>
      </c>
      <c r="M44" s="50"/>
      <c r="N44" s="50"/>
      <c r="V44" s="13">
        <v>0.20526123046875</v>
      </c>
      <c r="W44" s="15" t="s">
        <v>24</v>
      </c>
    </row>
    <row r="45" spans="1:23" x14ac:dyDescent="0.25">
      <c r="A45">
        <v>21903</v>
      </c>
      <c r="C45" s="15">
        <v>35</v>
      </c>
      <c r="D45" s="17">
        <f t="shared" si="1"/>
        <v>0.668426513671875</v>
      </c>
      <c r="E45" s="17">
        <v>0.69024658203125</v>
      </c>
      <c r="F45" s="15">
        <f t="shared" si="2"/>
        <v>0.7</v>
      </c>
      <c r="G45" s="18">
        <f t="shared" si="3"/>
        <v>9.7534179687499556E-3</v>
      </c>
      <c r="H45" s="15"/>
      <c r="I45" s="15"/>
      <c r="K45" s="30">
        <f t="shared" si="5"/>
        <v>1</v>
      </c>
      <c r="L45" s="30">
        <f t="shared" si="4"/>
        <v>0</v>
      </c>
      <c r="M45" s="50"/>
      <c r="N45" s="50"/>
      <c r="V45" s="13">
        <v>0.668426513671875</v>
      </c>
      <c r="W45" s="15" t="s">
        <v>24</v>
      </c>
    </row>
    <row r="46" spans="1:23" x14ac:dyDescent="0.25">
      <c r="A46">
        <v>22596</v>
      </c>
      <c r="C46" s="15">
        <v>36</v>
      </c>
      <c r="D46" s="17">
        <f t="shared" si="1"/>
        <v>0.6895751953125</v>
      </c>
      <c r="E46" s="17">
        <v>0.704193115234375</v>
      </c>
      <c r="F46" s="15">
        <f t="shared" si="2"/>
        <v>0.72</v>
      </c>
      <c r="G46" s="18">
        <f t="shared" si="3"/>
        <v>1.5806884765624973E-2</v>
      </c>
      <c r="H46" s="15"/>
      <c r="I46" s="15"/>
      <c r="K46" s="30">
        <f t="shared" si="5"/>
        <v>1</v>
      </c>
      <c r="L46" s="30">
        <f t="shared" si="4"/>
        <v>0</v>
      </c>
      <c r="M46" s="50"/>
      <c r="N46" s="50"/>
      <c r="V46" s="13">
        <v>0.6895751953125</v>
      </c>
      <c r="W46" s="15" t="s">
        <v>24</v>
      </c>
    </row>
    <row r="47" spans="1:23" x14ac:dyDescent="0.25">
      <c r="A47">
        <v>31605</v>
      </c>
      <c r="C47" s="15">
        <v>37</v>
      </c>
      <c r="D47" s="17">
        <f t="shared" si="1"/>
        <v>0.964508056640625</v>
      </c>
      <c r="E47" s="17">
        <v>0.7244873046875</v>
      </c>
      <c r="F47" s="15">
        <f t="shared" si="2"/>
        <v>0.74</v>
      </c>
      <c r="G47" s="18">
        <f t="shared" si="3"/>
        <v>1.5512695312499991E-2</v>
      </c>
      <c r="H47" s="15"/>
      <c r="I47" s="15"/>
      <c r="K47" s="30">
        <f t="shared" si="5"/>
        <v>1</v>
      </c>
      <c r="L47" s="30">
        <f t="shared" si="4"/>
        <v>0</v>
      </c>
      <c r="M47" s="50"/>
      <c r="N47" s="50"/>
      <c r="V47" s="13">
        <v>0.964508056640625</v>
      </c>
      <c r="W47" s="15" t="s">
        <v>26</v>
      </c>
    </row>
    <row r="48" spans="1:23" x14ac:dyDescent="0.25">
      <c r="A48">
        <v>17650</v>
      </c>
      <c r="C48" s="15">
        <v>38</v>
      </c>
      <c r="D48" s="17">
        <f t="shared" si="1"/>
        <v>0.53863525390625</v>
      </c>
      <c r="E48" s="17">
        <v>0.7664794921875</v>
      </c>
      <c r="F48" s="15">
        <f t="shared" si="2"/>
        <v>0.76</v>
      </c>
      <c r="G48" s="18">
        <f t="shared" si="3"/>
        <v>6.4794921874999911E-3</v>
      </c>
      <c r="H48" s="15"/>
      <c r="I48" s="15"/>
      <c r="K48" s="30">
        <f t="shared" si="5"/>
        <v>1</v>
      </c>
      <c r="L48" s="30">
        <f t="shared" si="4"/>
        <v>1</v>
      </c>
      <c r="M48" s="50"/>
      <c r="N48" s="50"/>
      <c r="V48" s="13">
        <v>0.53863525390625</v>
      </c>
      <c r="W48" s="15" t="s">
        <v>26</v>
      </c>
    </row>
    <row r="49" spans="1:23" x14ac:dyDescent="0.25">
      <c r="A49">
        <v>75</v>
      </c>
      <c r="C49" s="15">
        <v>39</v>
      </c>
      <c r="D49" s="17">
        <f t="shared" si="1"/>
        <v>2.288818359375E-3</v>
      </c>
      <c r="E49" s="17">
        <v>0.887359619140625</v>
      </c>
      <c r="F49" s="15">
        <f t="shared" si="2"/>
        <v>0.78</v>
      </c>
      <c r="G49" s="18">
        <f t="shared" si="3"/>
        <v>0.10735961914062497</v>
      </c>
      <c r="H49" s="15"/>
      <c r="I49" s="15"/>
      <c r="K49" s="30">
        <f t="shared" si="5"/>
        <v>0</v>
      </c>
      <c r="L49" s="30">
        <f t="shared" si="4"/>
        <v>0</v>
      </c>
      <c r="M49" s="50"/>
      <c r="N49" s="50"/>
      <c r="V49" s="13">
        <v>2.288818359375E-3</v>
      </c>
      <c r="W49" s="15" t="s">
        <v>37</v>
      </c>
    </row>
    <row r="50" spans="1:23" x14ac:dyDescent="0.25">
      <c r="A50">
        <v>976</v>
      </c>
      <c r="C50" s="15">
        <v>40</v>
      </c>
      <c r="D50" s="17">
        <f t="shared" si="1"/>
        <v>2.978515625E-2</v>
      </c>
      <c r="E50" s="17">
        <v>0.9185791015625</v>
      </c>
      <c r="F50" s="15">
        <f t="shared" si="2"/>
        <v>0.8</v>
      </c>
      <c r="G50" s="18">
        <f t="shared" si="3"/>
        <v>0.11857910156249996</v>
      </c>
      <c r="H50" s="15"/>
      <c r="I50" s="15"/>
      <c r="K50" s="30">
        <f t="shared" si="5"/>
        <v>0</v>
      </c>
      <c r="L50" s="30">
        <f t="shared" si="4"/>
        <v>0</v>
      </c>
      <c r="M50" s="50"/>
      <c r="N50" s="50"/>
      <c r="V50" s="13">
        <v>2.978515625E-2</v>
      </c>
      <c r="W50" s="15" t="s">
        <v>24</v>
      </c>
    </row>
    <row r="51" spans="1:23" x14ac:dyDescent="0.25">
      <c r="A51">
        <v>12689</v>
      </c>
      <c r="C51" s="15">
        <v>41</v>
      </c>
      <c r="D51" s="17">
        <f t="shared" si="1"/>
        <v>0.387237548828125</v>
      </c>
      <c r="E51" s="17">
        <v>0.934600830078125</v>
      </c>
      <c r="F51" s="15">
        <f t="shared" si="2"/>
        <v>0.82</v>
      </c>
      <c r="G51" s="18">
        <f t="shared" si="3"/>
        <v>0.11460083007812505</v>
      </c>
      <c r="H51" s="15"/>
      <c r="I51" s="15"/>
      <c r="K51" s="30">
        <f t="shared" si="5"/>
        <v>0</v>
      </c>
      <c r="L51" s="30">
        <f t="shared" si="4"/>
        <v>0</v>
      </c>
      <c r="M51" s="50"/>
      <c r="N51" s="50"/>
      <c r="V51" s="13">
        <v>0.387237548828125</v>
      </c>
      <c r="W51" s="15" t="s">
        <v>26</v>
      </c>
    </row>
    <row r="52" spans="1:23" x14ac:dyDescent="0.25">
      <c r="A52">
        <v>1118</v>
      </c>
      <c r="C52" s="15">
        <v>42</v>
      </c>
      <c r="D52" s="17">
        <f t="shared" si="1"/>
        <v>3.411865234375E-2</v>
      </c>
      <c r="E52" s="17">
        <v>0.941558837890625</v>
      </c>
      <c r="F52" s="15">
        <f t="shared" si="2"/>
        <v>0.84</v>
      </c>
      <c r="G52" s="18">
        <f t="shared" si="3"/>
        <v>0.10155883789062503</v>
      </c>
      <c r="H52" s="15"/>
      <c r="I52" s="15"/>
      <c r="K52" s="30">
        <f t="shared" si="5"/>
        <v>0</v>
      </c>
      <c r="L52" s="30">
        <f t="shared" si="4"/>
        <v>0</v>
      </c>
      <c r="M52" s="50"/>
      <c r="N52" s="50"/>
      <c r="V52" s="13">
        <v>3.411865234375E-2</v>
      </c>
      <c r="W52" s="15" t="s">
        <v>26</v>
      </c>
    </row>
    <row r="53" spans="1:23" x14ac:dyDescent="0.25">
      <c r="A53">
        <v>14535</v>
      </c>
      <c r="C53" s="15">
        <v>43</v>
      </c>
      <c r="D53" s="17">
        <f t="shared" si="1"/>
        <v>0.443572998046875</v>
      </c>
      <c r="E53" s="17">
        <v>0.947967529296875</v>
      </c>
      <c r="F53" s="15">
        <f t="shared" si="2"/>
        <v>0.86</v>
      </c>
      <c r="G53" s="18">
        <f t="shared" si="3"/>
        <v>8.7967529296875013E-2</v>
      </c>
      <c r="H53" s="15"/>
      <c r="I53" s="15"/>
      <c r="K53" s="30">
        <f t="shared" si="5"/>
        <v>0</v>
      </c>
      <c r="L53" s="30">
        <f t="shared" si="4"/>
        <v>1</v>
      </c>
      <c r="M53" s="50"/>
      <c r="N53" s="50"/>
      <c r="V53" s="13">
        <v>0.443572998046875</v>
      </c>
      <c r="W53" s="15" t="s">
        <v>24</v>
      </c>
    </row>
    <row r="54" spans="1:23" x14ac:dyDescent="0.25">
      <c r="A54">
        <v>25116</v>
      </c>
      <c r="C54" s="15">
        <v>44</v>
      </c>
      <c r="D54" s="17">
        <f t="shared" si="1"/>
        <v>0.7664794921875</v>
      </c>
      <c r="E54" s="17">
        <v>0.950714111328125</v>
      </c>
      <c r="F54" s="15">
        <f t="shared" si="2"/>
        <v>0.88</v>
      </c>
      <c r="G54" s="18">
        <f t="shared" si="3"/>
        <v>7.0714111328124996E-2</v>
      </c>
      <c r="H54" s="15"/>
      <c r="I54" s="15"/>
      <c r="K54" s="30">
        <f t="shared" si="5"/>
        <v>1</v>
      </c>
      <c r="L54" s="30">
        <f t="shared" si="4"/>
        <v>0</v>
      </c>
      <c r="M54" s="50"/>
      <c r="N54" s="50"/>
      <c r="V54" s="13">
        <v>0.7664794921875</v>
      </c>
      <c r="W54" s="15" t="s">
        <v>24</v>
      </c>
    </row>
    <row r="55" spans="1:23" x14ac:dyDescent="0.25">
      <c r="A55">
        <v>31597</v>
      </c>
      <c r="C55" s="15">
        <v>45</v>
      </c>
      <c r="D55" s="17">
        <f t="shared" si="1"/>
        <v>0.964263916015625</v>
      </c>
      <c r="E55" s="17">
        <v>0.961029052734375</v>
      </c>
      <c r="F55" s="15">
        <f t="shared" si="2"/>
        <v>0.9</v>
      </c>
      <c r="G55" s="18">
        <f t="shared" si="3"/>
        <v>6.1029052734374978E-2</v>
      </c>
      <c r="H55" s="15"/>
      <c r="I55" s="15"/>
      <c r="K55" s="30">
        <f t="shared" si="5"/>
        <v>1</v>
      </c>
      <c r="L55" s="30">
        <f t="shared" si="4"/>
        <v>0</v>
      </c>
      <c r="M55" s="50"/>
      <c r="N55" s="50"/>
      <c r="V55" s="13">
        <v>0.964263916015625</v>
      </c>
      <c r="W55" s="15" t="s">
        <v>24</v>
      </c>
    </row>
    <row r="56" spans="1:23" x14ac:dyDescent="0.25">
      <c r="A56">
        <v>17546</v>
      </c>
      <c r="C56" s="15">
        <v>46</v>
      </c>
      <c r="D56" s="17">
        <f t="shared" si="1"/>
        <v>0.53546142578125</v>
      </c>
      <c r="E56" s="17">
        <v>0.964202880859375</v>
      </c>
      <c r="F56" s="15">
        <f t="shared" si="2"/>
        <v>0.92</v>
      </c>
      <c r="G56" s="18">
        <f t="shared" si="3"/>
        <v>4.420288085937496E-2</v>
      </c>
      <c r="H56" s="15"/>
      <c r="I56" s="15"/>
      <c r="K56" s="30">
        <f t="shared" si="5"/>
        <v>1</v>
      </c>
      <c r="L56" s="30">
        <f t="shared" si="4"/>
        <v>0</v>
      </c>
      <c r="M56" s="50"/>
      <c r="N56" s="50"/>
      <c r="V56" s="13">
        <v>0.53546142578125</v>
      </c>
      <c r="W56" s="15" t="s">
        <v>24</v>
      </c>
    </row>
    <row r="57" spans="1:23" x14ac:dyDescent="0.25">
      <c r="A57">
        <v>31491</v>
      </c>
      <c r="C57" s="15">
        <v>47</v>
      </c>
      <c r="D57" s="17">
        <f t="shared" si="1"/>
        <v>0.961029052734375</v>
      </c>
      <c r="E57" s="17">
        <v>0.964263916015625</v>
      </c>
      <c r="F57" s="15">
        <f t="shared" si="2"/>
        <v>0.94</v>
      </c>
      <c r="G57" s="18">
        <f t="shared" si="3"/>
        <v>2.4263916015625053E-2</v>
      </c>
      <c r="H57" s="15"/>
      <c r="I57" s="15"/>
      <c r="K57" s="30">
        <f t="shared" si="5"/>
        <v>1</v>
      </c>
      <c r="L57" s="30">
        <f t="shared" si="4"/>
        <v>1</v>
      </c>
      <c r="M57" s="50"/>
      <c r="N57" s="50"/>
      <c r="V57" s="13">
        <v>0.961029052734375</v>
      </c>
      <c r="W57" s="15" t="s">
        <v>26</v>
      </c>
    </row>
    <row r="58" spans="1:23" x14ac:dyDescent="0.25">
      <c r="A58">
        <v>16168</v>
      </c>
      <c r="C58" s="15">
        <v>48</v>
      </c>
      <c r="D58" s="17">
        <f t="shared" si="1"/>
        <v>0.493408203125</v>
      </c>
      <c r="E58" s="17">
        <v>0.964508056640625</v>
      </c>
      <c r="F58" s="15">
        <f t="shared" si="2"/>
        <v>0.96</v>
      </c>
      <c r="G58" s="18">
        <f t="shared" si="3"/>
        <v>4.5080566406250355E-3</v>
      </c>
      <c r="H58" s="15"/>
      <c r="I58" s="15"/>
      <c r="K58" s="30">
        <f t="shared" si="5"/>
        <v>0</v>
      </c>
      <c r="L58" s="30">
        <f t="shared" si="4"/>
        <v>0</v>
      </c>
      <c r="M58" s="50"/>
      <c r="N58" s="50"/>
      <c r="V58" s="13">
        <v>0.493408203125</v>
      </c>
      <c r="W58" s="15" t="s">
        <v>24</v>
      </c>
    </row>
    <row r="59" spans="1:23" x14ac:dyDescent="0.25">
      <c r="A59">
        <v>13577</v>
      </c>
      <c r="C59" s="15">
        <v>49</v>
      </c>
      <c r="D59" s="17">
        <f t="shared" si="1"/>
        <v>0.414337158203125</v>
      </c>
      <c r="E59" s="17">
        <v>0.973236083984375</v>
      </c>
      <c r="F59" s="15">
        <f t="shared" si="2"/>
        <v>0.98</v>
      </c>
      <c r="G59" s="18">
        <f t="shared" si="3"/>
        <v>6.7639160156249822E-3</v>
      </c>
      <c r="H59" s="15"/>
      <c r="I59" s="15"/>
      <c r="K59" s="30">
        <f t="shared" si="5"/>
        <v>0</v>
      </c>
      <c r="L59" s="30">
        <f t="shared" si="4"/>
        <v>0</v>
      </c>
      <c r="M59" s="50"/>
      <c r="N59" s="50"/>
      <c r="V59" s="13">
        <v>0.414337158203125</v>
      </c>
      <c r="W59" s="15" t="s">
        <v>35</v>
      </c>
    </row>
    <row r="60" spans="1:23" x14ac:dyDescent="0.25">
      <c r="A60">
        <v>12662</v>
      </c>
      <c r="C60" s="15">
        <v>50</v>
      </c>
      <c r="D60" s="17">
        <f t="shared" si="1"/>
        <v>0.38641357421875</v>
      </c>
      <c r="E60" s="17">
        <v>0.9913330078125</v>
      </c>
      <c r="F60" s="15">
        <f t="shared" si="2"/>
        <v>1</v>
      </c>
      <c r="G60" s="18">
        <f t="shared" si="3"/>
        <v>8.6669921875E-3</v>
      </c>
      <c r="H60" s="15"/>
      <c r="I60" s="15"/>
      <c r="K60" s="30">
        <f t="shared" si="5"/>
        <v>0</v>
      </c>
      <c r="L60" s="30">
        <f>IF(R16&lt;&gt;K60,1,0)</f>
        <v>1</v>
      </c>
      <c r="M60" s="50"/>
      <c r="N60" s="50"/>
      <c r="V60" s="13">
        <v>0.38641357421875</v>
      </c>
      <c r="W60" s="15" t="s">
        <v>26</v>
      </c>
    </row>
  </sheetData>
  <sortState ref="E11:E60">
    <sortCondition ref="E11:E60"/>
  </sortState>
  <pageMargins left="0.7" right="0.7" top="0.75" bottom="0.75" header="0.3" footer="0.3"/>
  <pageSetup paperSize="9" scale="66" orientation="portrait" r:id="rId1"/>
  <colBreaks count="2" manualBreakCount="2">
    <brk id="9" max="1048575" man="1"/>
    <brk id="1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60"/>
  <sheetViews>
    <sheetView view="pageBreakPreview" topLeftCell="E1" zoomScale="60" zoomScaleNormal="84" workbookViewId="0">
      <selection activeCell="Z9" sqref="Z9"/>
    </sheetView>
  </sheetViews>
  <sheetFormatPr baseColWidth="10" defaultColWidth="9.140625" defaultRowHeight="15" x14ac:dyDescent="0.25"/>
  <cols>
    <col min="4" max="4" width="10.85546875" customWidth="1"/>
    <col min="5" max="5" width="15.7109375" customWidth="1"/>
    <col min="6" max="6" width="12.42578125" customWidth="1"/>
    <col min="7" max="7" width="10.85546875" customWidth="1"/>
    <col min="8" max="8" width="11.42578125" customWidth="1"/>
    <col min="9" max="9" width="11.140625" customWidth="1"/>
    <col min="11" max="11" width="15.28515625" customWidth="1"/>
    <col min="12" max="13" width="20.42578125" bestFit="1" customWidth="1"/>
    <col min="17" max="17" width="13.140625" customWidth="1"/>
    <col min="18" max="18" width="17.140625" customWidth="1"/>
    <col min="19" max="19" width="13.140625" customWidth="1"/>
    <col min="20" max="20" width="12.42578125" customWidth="1"/>
    <col min="21" max="21" width="23.7109375" bestFit="1" customWidth="1"/>
    <col min="22" max="22" width="19.5703125" customWidth="1"/>
    <col min="23" max="23" width="11.28515625" bestFit="1" customWidth="1"/>
    <col min="24" max="24" width="21.28515625" bestFit="1" customWidth="1"/>
    <col min="25" max="25" width="20.42578125" bestFit="1" customWidth="1"/>
    <col min="26" max="26" width="19.5703125" bestFit="1" customWidth="1"/>
    <col min="27" max="27" width="19.42578125" bestFit="1" customWidth="1"/>
  </cols>
  <sheetData>
    <row r="4" spans="1:25" x14ac:dyDescent="0.25">
      <c r="L4" t="s">
        <v>0</v>
      </c>
    </row>
    <row r="5" spans="1:25" x14ac:dyDescent="0.25">
      <c r="E5" s="4" t="s">
        <v>1</v>
      </c>
      <c r="K5" s="30"/>
      <c r="L5" s="44" t="str">
        <f>IF(AND(L7&gt;=K7,L7&lt;=M7),"No se rechaza Ho","Se Rechaza Ho")</f>
        <v>No se rechaza Ho</v>
      </c>
      <c r="M5" s="44"/>
      <c r="U5" s="42" t="s">
        <v>2</v>
      </c>
    </row>
    <row r="6" spans="1:25" x14ac:dyDescent="0.25">
      <c r="E6" s="4" t="s">
        <v>3</v>
      </c>
      <c r="K6" s="43" t="s">
        <v>4</v>
      </c>
      <c r="L6" s="43" t="s">
        <v>5</v>
      </c>
      <c r="M6" s="43" t="s">
        <v>6</v>
      </c>
      <c r="U6" s="42" t="s">
        <v>7</v>
      </c>
    </row>
    <row r="7" spans="1:25" x14ac:dyDescent="0.25">
      <c r="D7" s="11" t="s">
        <v>70</v>
      </c>
      <c r="E7" s="11" t="s">
        <v>51</v>
      </c>
      <c r="F7" s="11" t="s">
        <v>69</v>
      </c>
      <c r="K7" s="30">
        <f>N20*-1</f>
        <v>-1.96</v>
      </c>
      <c r="L7" s="30">
        <f>R22</f>
        <v>-1.2766363362210777</v>
      </c>
      <c r="M7" s="30">
        <f>K7*-1</f>
        <v>1.96</v>
      </c>
      <c r="T7" s="11" t="s">
        <v>70</v>
      </c>
      <c r="U7" s="11" t="s">
        <v>51</v>
      </c>
      <c r="V7" s="11" t="s">
        <v>69</v>
      </c>
    </row>
    <row r="10" spans="1:25" ht="60" x14ac:dyDescent="0.25">
      <c r="A10" s="12" t="s">
        <v>11</v>
      </c>
      <c r="C10" s="15"/>
      <c r="D10" s="15" t="s">
        <v>59</v>
      </c>
      <c r="E10" s="16" t="s">
        <v>60</v>
      </c>
      <c r="F10" s="16" t="s">
        <v>61</v>
      </c>
      <c r="G10" s="16" t="s">
        <v>15</v>
      </c>
      <c r="H10" s="16" t="s">
        <v>16</v>
      </c>
      <c r="I10" s="16" t="s">
        <v>17</v>
      </c>
      <c r="K10" s="52" t="s">
        <v>80</v>
      </c>
      <c r="L10" s="31" t="s">
        <v>18</v>
      </c>
      <c r="M10" s="49"/>
      <c r="N10" s="49"/>
      <c r="T10" s="15" t="s">
        <v>19</v>
      </c>
      <c r="U10" s="15" t="s">
        <v>20</v>
      </c>
      <c r="V10" s="15" t="s">
        <v>21</v>
      </c>
      <c r="W10" s="15"/>
      <c r="X10" s="15" t="s">
        <v>22</v>
      </c>
      <c r="Y10" s="15" t="s">
        <v>23</v>
      </c>
    </row>
    <row r="11" spans="1:25" x14ac:dyDescent="0.25">
      <c r="A11">
        <v>51</v>
      </c>
      <c r="C11" s="15">
        <v>1</v>
      </c>
      <c r="D11" s="17">
        <f>A11/32768</f>
        <v>1.556396484375E-3</v>
      </c>
      <c r="E11" s="17">
        <v>1.556396484375E-3</v>
      </c>
      <c r="F11" s="15">
        <f>C11/50</f>
        <v>0.02</v>
      </c>
      <c r="G11" s="18">
        <f>ABS(E11-F11)</f>
        <v>1.8443603515625E-2</v>
      </c>
      <c r="H11" s="18">
        <f>MAX(G11:G60)</f>
        <v>0.14365234375000002</v>
      </c>
      <c r="I11" s="15">
        <v>0.188</v>
      </c>
      <c r="K11" s="30">
        <f>IF(D11&gt;$N$16,1,0)</f>
        <v>0</v>
      </c>
      <c r="L11" s="30">
        <f>K11</f>
        <v>0</v>
      </c>
      <c r="M11" s="50"/>
      <c r="N11" s="50"/>
      <c r="T11" s="17">
        <v>1.556396484375E-3</v>
      </c>
      <c r="U11" s="15" t="s">
        <v>24</v>
      </c>
      <c r="V11" s="15">
        <v>12</v>
      </c>
      <c r="W11" s="15" t="s">
        <v>25</v>
      </c>
      <c r="X11" s="15">
        <v>15.120000000000001</v>
      </c>
      <c r="Y11" s="40">
        <f>ABS((V11-15.12)^2/15.12)</f>
        <v>0.6438095238095235</v>
      </c>
    </row>
    <row r="12" spans="1:25" x14ac:dyDescent="0.25">
      <c r="A12">
        <v>256</v>
      </c>
      <c r="C12" s="15">
        <v>2</v>
      </c>
      <c r="D12" s="17">
        <f t="shared" ref="D12:D60" si="0">A12/32768</f>
        <v>7.8125E-3</v>
      </c>
      <c r="E12" s="17">
        <v>5.767822265625E-3</v>
      </c>
      <c r="F12" s="15">
        <f t="shared" ref="F12:F60" si="1">C12/50</f>
        <v>0.04</v>
      </c>
      <c r="G12" s="18">
        <f t="shared" ref="G12:G60" si="2">ABS(E12-F12)</f>
        <v>3.4232177734375001E-2</v>
      </c>
      <c r="H12" s="15"/>
      <c r="I12" s="15"/>
      <c r="K12" s="30">
        <f>IF(D12&gt;$N$16,1,0)</f>
        <v>0</v>
      </c>
      <c r="L12" s="30">
        <f>IF(K13&lt;&gt;K12,1,0)</f>
        <v>0</v>
      </c>
      <c r="M12" s="50"/>
      <c r="N12" s="50"/>
      <c r="T12" s="17">
        <v>7.8125E-3</v>
      </c>
      <c r="U12" s="15" t="s">
        <v>24</v>
      </c>
      <c r="V12" s="15">
        <v>26</v>
      </c>
      <c r="W12" s="15" t="s">
        <v>27</v>
      </c>
      <c r="X12" s="15">
        <v>25.2</v>
      </c>
      <c r="Y12" s="40">
        <f>ABS((V12-25.2)^2/25.2)</f>
        <v>2.5396825396825442E-2</v>
      </c>
    </row>
    <row r="13" spans="1:25" x14ac:dyDescent="0.25">
      <c r="A13">
        <v>1281</v>
      </c>
      <c r="C13" s="15">
        <v>3</v>
      </c>
      <c r="D13" s="17">
        <f t="shared" si="0"/>
        <v>3.9093017578125E-2</v>
      </c>
      <c r="E13" s="17">
        <v>7.8125E-3</v>
      </c>
      <c r="F13" s="15">
        <f t="shared" si="1"/>
        <v>0.06</v>
      </c>
      <c r="G13" s="18">
        <f t="shared" si="2"/>
        <v>5.2187499999999998E-2</v>
      </c>
      <c r="H13" s="15"/>
      <c r="I13" s="15"/>
      <c r="K13" s="30">
        <f>IF(D13&gt;$N$16,1,0)</f>
        <v>0</v>
      </c>
      <c r="L13" s="30">
        <f t="shared" ref="L13:L59" si="3">IF(K14&lt;&gt;K13,1,0)</f>
        <v>0</v>
      </c>
      <c r="M13" s="50"/>
      <c r="N13" s="50"/>
      <c r="T13" s="17">
        <v>3.9093017578125E-2</v>
      </c>
      <c r="U13" s="15" t="s">
        <v>37</v>
      </c>
      <c r="V13" s="15">
        <v>8</v>
      </c>
      <c r="W13" s="15" t="s">
        <v>28</v>
      </c>
      <c r="X13" s="15">
        <v>5.4</v>
      </c>
      <c r="Y13" s="40">
        <f>ABS((V13-5.4)^2/5.4)</f>
        <v>1.2518518518518513</v>
      </c>
    </row>
    <row r="14" spans="1:25" x14ac:dyDescent="0.25">
      <c r="A14">
        <v>6406</v>
      </c>
      <c r="C14" s="15">
        <v>4</v>
      </c>
      <c r="D14" s="17">
        <f t="shared" si="0"/>
        <v>0.19549560546875</v>
      </c>
      <c r="E14" s="17">
        <v>2.886962890625E-2</v>
      </c>
      <c r="F14" s="15">
        <f t="shared" si="1"/>
        <v>0.08</v>
      </c>
      <c r="G14" s="18">
        <f t="shared" si="2"/>
        <v>5.1130371093750002E-2</v>
      </c>
      <c r="H14" s="15"/>
      <c r="I14" s="15"/>
      <c r="K14" s="30">
        <f>IF(D14&gt;$N$16,1,0)</f>
        <v>0</v>
      </c>
      <c r="L14" s="30">
        <f t="shared" si="3"/>
        <v>1</v>
      </c>
      <c r="M14" s="50"/>
      <c r="N14" s="50"/>
      <c r="T14" s="17">
        <v>0.19549560546875</v>
      </c>
      <c r="U14" s="15" t="s">
        <v>24</v>
      </c>
      <c r="V14" s="15">
        <v>4</v>
      </c>
      <c r="W14" s="15" t="s">
        <v>29</v>
      </c>
      <c r="X14" s="15">
        <v>3.5999999999999996</v>
      </c>
      <c r="Y14" s="40">
        <f>ABS((V14-3.6)^2/3.6)</f>
        <v>4.4444444444444418E-2</v>
      </c>
    </row>
    <row r="15" spans="1:25" x14ac:dyDescent="0.25">
      <c r="A15">
        <v>32031</v>
      </c>
      <c r="C15" s="15">
        <v>5</v>
      </c>
      <c r="D15" s="17">
        <f t="shared" si="0"/>
        <v>0.977508544921875</v>
      </c>
      <c r="E15" s="17">
        <v>3.5797119140625E-2</v>
      </c>
      <c r="F15" s="15">
        <f t="shared" si="1"/>
        <v>0.1</v>
      </c>
      <c r="G15" s="18">
        <f t="shared" si="2"/>
        <v>6.4202880859375006E-2</v>
      </c>
      <c r="H15" s="15"/>
      <c r="I15" s="15"/>
      <c r="K15" s="30">
        <f>IF(D15&gt;$N$16,1,0)</f>
        <v>1</v>
      </c>
      <c r="L15" s="30">
        <f t="shared" si="3"/>
        <v>0</v>
      </c>
      <c r="M15" s="50"/>
      <c r="N15" s="50"/>
      <c r="T15" s="17">
        <v>0.977508544921875</v>
      </c>
      <c r="U15" s="15" t="s">
        <v>24</v>
      </c>
      <c r="V15" s="15">
        <v>0</v>
      </c>
      <c r="W15" s="15" t="s">
        <v>30</v>
      </c>
      <c r="X15" s="15">
        <v>0.22499999999999998</v>
      </c>
      <c r="Y15" s="40">
        <f>ABS((V15-0.225)^2/0.225)</f>
        <v>0.22500000000000001</v>
      </c>
    </row>
    <row r="16" spans="1:25" x14ac:dyDescent="0.25">
      <c r="A16">
        <v>29084</v>
      </c>
      <c r="C16" s="15">
        <v>6</v>
      </c>
      <c r="D16" s="17">
        <f t="shared" si="0"/>
        <v>0.8875732421875</v>
      </c>
      <c r="E16" s="17">
        <v>3.9093017578125E-2</v>
      </c>
      <c r="F16" s="15">
        <f t="shared" si="1"/>
        <v>0.12</v>
      </c>
      <c r="G16" s="18">
        <f t="shared" si="2"/>
        <v>8.0906982421874996E-2</v>
      </c>
      <c r="H16" s="15"/>
      <c r="I16" s="15"/>
      <c r="K16" s="30">
        <f>IF(D16&gt;$N$16,1,0)</f>
        <v>1</v>
      </c>
      <c r="L16" s="30">
        <f t="shared" si="3"/>
        <v>1</v>
      </c>
      <c r="M16" t="s">
        <v>38</v>
      </c>
      <c r="N16" s="13">
        <f>AVERAGE(D11:D60)</f>
        <v>0.4463934326171875</v>
      </c>
      <c r="Q16" t="s">
        <v>39</v>
      </c>
      <c r="R16" s="32">
        <f>SUM(L11:L60)</f>
        <v>21</v>
      </c>
      <c r="T16" s="17">
        <v>0.8875732421875</v>
      </c>
      <c r="U16" s="15" t="s">
        <v>37</v>
      </c>
      <c r="V16" s="15">
        <v>0</v>
      </c>
      <c r="W16" s="15" t="s">
        <v>31</v>
      </c>
      <c r="X16" s="15">
        <v>0.44999999999999996</v>
      </c>
      <c r="Y16" s="40">
        <f>ABS((V16-0.45)^2/0.45)</f>
        <v>0.45</v>
      </c>
    </row>
    <row r="17" spans="1:25" x14ac:dyDescent="0.25">
      <c r="A17">
        <v>14349</v>
      </c>
      <c r="C17" s="15">
        <v>7</v>
      </c>
      <c r="D17" s="17">
        <f t="shared" si="0"/>
        <v>0.437896728515625</v>
      </c>
      <c r="E17" s="17">
        <v>4.827880859375E-2</v>
      </c>
      <c r="F17" s="15">
        <f t="shared" si="1"/>
        <v>0.14000000000000001</v>
      </c>
      <c r="G17" s="18">
        <f t="shared" si="2"/>
        <v>9.1721191406250013E-2</v>
      </c>
      <c r="H17" s="15"/>
      <c r="I17" s="15"/>
      <c r="K17" s="30">
        <f>IF(D17&gt;$N$16,1,0)</f>
        <v>0</v>
      </c>
      <c r="L17" s="30">
        <f t="shared" si="3"/>
        <v>0</v>
      </c>
      <c r="M17" t="s">
        <v>40</v>
      </c>
      <c r="N17">
        <f>_xlfn.STDEV.S(D11:D60)</f>
        <v>0.30358891903116692</v>
      </c>
      <c r="O17" t="s">
        <v>41</v>
      </c>
      <c r="P17" t="s">
        <v>42</v>
      </c>
      <c r="Q17" s="50"/>
      <c r="R17" s="50"/>
      <c r="T17" s="17">
        <v>0.437896728515625</v>
      </c>
      <c r="U17" s="15" t="s">
        <v>26</v>
      </c>
      <c r="V17" s="15">
        <v>0</v>
      </c>
      <c r="W17" s="15" t="s">
        <v>32</v>
      </c>
      <c r="X17" s="15">
        <v>5.0000000000000001E-3</v>
      </c>
      <c r="Y17" s="40">
        <f>ABS((V17-0.005)^2/0.005)</f>
        <v>5.0000000000000001E-3</v>
      </c>
    </row>
    <row r="18" spans="1:25" x14ac:dyDescent="0.25">
      <c r="A18">
        <v>6210</v>
      </c>
      <c r="C18" s="15">
        <v>8</v>
      </c>
      <c r="D18" s="17">
        <f t="shared" si="0"/>
        <v>0.18951416015625</v>
      </c>
      <c r="E18" s="17">
        <v>0.133514404296875</v>
      </c>
      <c r="F18" s="15">
        <f t="shared" si="1"/>
        <v>0.16</v>
      </c>
      <c r="G18" s="18">
        <f t="shared" si="2"/>
        <v>2.6485595703125003E-2</v>
      </c>
      <c r="H18" s="15"/>
      <c r="I18" s="15"/>
      <c r="K18" s="30">
        <f>IF(D18&gt;$N$16,1,0)</f>
        <v>0</v>
      </c>
      <c r="L18" s="30">
        <f t="shared" si="3"/>
        <v>1</v>
      </c>
      <c r="M18" s="27" t="s">
        <v>43</v>
      </c>
      <c r="N18">
        <v>0.05</v>
      </c>
      <c r="O18">
        <f>COUNTIF(K11:K60,1)</f>
        <v>24</v>
      </c>
      <c r="P18">
        <f>COUNTIF(K11:K60,0)</f>
        <v>26</v>
      </c>
      <c r="Q18" s="50"/>
      <c r="R18" s="50"/>
      <c r="T18" s="17">
        <v>0.18951416015625</v>
      </c>
      <c r="U18" s="15" t="s">
        <v>24</v>
      </c>
      <c r="V18" s="15"/>
      <c r="W18" s="15"/>
      <c r="X18" s="15"/>
      <c r="Y18" s="40"/>
    </row>
    <row r="19" spans="1:25" x14ac:dyDescent="0.25">
      <c r="A19">
        <v>31051</v>
      </c>
      <c r="C19" s="15">
        <v>9</v>
      </c>
      <c r="D19" s="17">
        <f t="shared" si="0"/>
        <v>0.947601318359375</v>
      </c>
      <c r="E19" s="17">
        <v>0.144378662109375</v>
      </c>
      <c r="F19" s="15">
        <f t="shared" si="1"/>
        <v>0.18</v>
      </c>
      <c r="G19" s="18">
        <f t="shared" si="2"/>
        <v>3.5621337890624993E-2</v>
      </c>
      <c r="H19" s="15"/>
      <c r="I19" s="15"/>
      <c r="K19" s="30">
        <f>IF(D19&gt;$N$16,1,0)</f>
        <v>1</v>
      </c>
      <c r="L19" s="30">
        <f t="shared" si="3"/>
        <v>0</v>
      </c>
      <c r="M19" s="27" t="s">
        <v>44</v>
      </c>
      <c r="N19">
        <f>N18/2</f>
        <v>2.5000000000000001E-2</v>
      </c>
      <c r="T19" s="17">
        <v>0.947601318359375</v>
      </c>
      <c r="U19" s="15" t="s">
        <v>26</v>
      </c>
      <c r="V19" s="15"/>
      <c r="W19" s="15"/>
      <c r="X19" s="15" t="s">
        <v>33</v>
      </c>
      <c r="Y19" s="40">
        <f>SUM(Y11:Y17)</f>
        <v>2.6455026455026447</v>
      </c>
    </row>
    <row r="20" spans="1:25" x14ac:dyDescent="0.25">
      <c r="A20">
        <v>24184</v>
      </c>
      <c r="C20" s="15">
        <v>10</v>
      </c>
      <c r="D20" s="17">
        <f t="shared" si="0"/>
        <v>0.738037109375</v>
      </c>
      <c r="E20" s="17">
        <v>0.14947509765625</v>
      </c>
      <c r="F20" s="15">
        <f t="shared" si="1"/>
        <v>0.2</v>
      </c>
      <c r="G20" s="18">
        <f t="shared" si="2"/>
        <v>5.0524902343750011E-2</v>
      </c>
      <c r="H20" s="15"/>
      <c r="I20" s="15"/>
      <c r="K20" s="30">
        <f>IF(D20&gt;$N$16,1,0)</f>
        <v>1</v>
      </c>
      <c r="L20" s="30">
        <f t="shared" si="3"/>
        <v>0</v>
      </c>
      <c r="M20" t="s">
        <v>6</v>
      </c>
      <c r="N20">
        <f>1.96</f>
        <v>1.96</v>
      </c>
      <c r="Q20" t="s">
        <v>45</v>
      </c>
      <c r="R20" s="33">
        <f>((2*O18*P18))/(O18+P18)+(1/2)</f>
        <v>25.46</v>
      </c>
      <c r="T20" s="17">
        <v>0.738037109375</v>
      </c>
      <c r="U20" s="15" t="s">
        <v>26</v>
      </c>
      <c r="V20" s="15"/>
      <c r="W20" s="15"/>
      <c r="X20" s="15" t="s">
        <v>34</v>
      </c>
      <c r="Y20" s="40">
        <v>12.59</v>
      </c>
    </row>
    <row r="21" spans="1:25" x14ac:dyDescent="0.25">
      <c r="A21">
        <v>22617</v>
      </c>
      <c r="C21" s="15">
        <v>11</v>
      </c>
      <c r="D21" s="17">
        <f t="shared" si="0"/>
        <v>0.690216064453125</v>
      </c>
      <c r="E21" s="17">
        <v>0.15203857421875</v>
      </c>
      <c r="F21" s="15">
        <f t="shared" si="1"/>
        <v>0.22</v>
      </c>
      <c r="G21" s="18">
        <f t="shared" si="2"/>
        <v>6.7961425781250001E-2</v>
      </c>
      <c r="H21" s="15"/>
      <c r="I21" s="15"/>
      <c r="K21" s="30">
        <f>IF(D21&gt;$N$16,1,0)</f>
        <v>1</v>
      </c>
      <c r="L21" s="30">
        <f t="shared" si="3"/>
        <v>0</v>
      </c>
      <c r="Q21" t="s">
        <v>46</v>
      </c>
      <c r="R21">
        <f>(2*O18*P18*(2*O18*P18 -C60))/(C60*C60*(C60-1))</f>
        <v>12.204930612244898</v>
      </c>
      <c r="T21" s="17">
        <v>0.690216064453125</v>
      </c>
      <c r="U21" s="15" t="s">
        <v>24</v>
      </c>
      <c r="V21" s="15"/>
      <c r="W21" s="15"/>
      <c r="X21" s="15"/>
      <c r="Y21" s="15"/>
    </row>
    <row r="22" spans="1:25" x14ac:dyDescent="0.25">
      <c r="A22">
        <v>14782</v>
      </c>
      <c r="C22" s="15">
        <v>12</v>
      </c>
      <c r="D22" s="17">
        <f t="shared" si="0"/>
        <v>0.45111083984375</v>
      </c>
      <c r="E22" s="17">
        <v>0.17901611328125</v>
      </c>
      <c r="F22" s="15">
        <f t="shared" si="1"/>
        <v>0.24</v>
      </c>
      <c r="G22" s="18">
        <f t="shared" si="2"/>
        <v>6.0983886718749991E-2</v>
      </c>
      <c r="H22" s="15"/>
      <c r="I22" s="15"/>
      <c r="K22" s="30">
        <f>IF(D22&gt;$N$16,1,0)</f>
        <v>1</v>
      </c>
      <c r="L22" s="30">
        <f t="shared" si="3"/>
        <v>1</v>
      </c>
      <c r="Q22" t="s">
        <v>5</v>
      </c>
      <c r="R22">
        <f>(R16-R20)/SQRT(R21)</f>
        <v>-1.2766363362210777</v>
      </c>
      <c r="T22" s="17">
        <v>0.45111083984375</v>
      </c>
      <c r="U22" s="15" t="s">
        <v>35</v>
      </c>
      <c r="V22" s="15"/>
      <c r="W22" s="15"/>
      <c r="X22" s="15"/>
      <c r="Y22" s="15"/>
    </row>
    <row r="23" spans="1:25" x14ac:dyDescent="0.25">
      <c r="A23">
        <v>8375</v>
      </c>
      <c r="C23" s="15">
        <v>13</v>
      </c>
      <c r="D23" s="17">
        <f t="shared" si="0"/>
        <v>0.255584716796875</v>
      </c>
      <c r="E23" s="17">
        <v>0.18951416015625</v>
      </c>
      <c r="F23" s="15">
        <f t="shared" si="1"/>
        <v>0.26</v>
      </c>
      <c r="G23" s="18">
        <f t="shared" si="2"/>
        <v>7.0485839843750009E-2</v>
      </c>
      <c r="H23" s="15"/>
      <c r="I23" s="15"/>
      <c r="K23" s="30">
        <f>IF(D23&gt;$N$16,1,0)</f>
        <v>0</v>
      </c>
      <c r="L23" s="30">
        <f t="shared" si="3"/>
        <v>0</v>
      </c>
      <c r="M23" s="50"/>
      <c r="N23" s="50"/>
      <c r="T23" s="17">
        <v>0.255584716796875</v>
      </c>
      <c r="U23" s="15" t="s">
        <v>35</v>
      </c>
      <c r="V23" s="15"/>
      <c r="W23" s="15"/>
      <c r="X23" s="15"/>
      <c r="Y23" s="15"/>
    </row>
    <row r="24" spans="1:25" x14ac:dyDescent="0.25">
      <c r="A24">
        <v>9108</v>
      </c>
      <c r="C24" s="15">
        <v>14</v>
      </c>
      <c r="D24" s="17">
        <f t="shared" si="0"/>
        <v>0.2779541015625</v>
      </c>
      <c r="E24" s="17">
        <v>0.19549560546875</v>
      </c>
      <c r="F24" s="15">
        <f t="shared" si="1"/>
        <v>0.28000000000000003</v>
      </c>
      <c r="G24" s="18">
        <f t="shared" si="2"/>
        <v>8.4504394531250027E-2</v>
      </c>
      <c r="H24" s="15"/>
      <c r="I24" s="15"/>
      <c r="K24" s="30">
        <f>IF(D24&gt;$N$16,1,0)</f>
        <v>0</v>
      </c>
      <c r="L24" s="30">
        <f t="shared" si="3"/>
        <v>0</v>
      </c>
      <c r="M24" s="50"/>
      <c r="N24" s="50"/>
      <c r="T24" s="17">
        <v>0.2779541015625</v>
      </c>
      <c r="U24" s="15" t="s">
        <v>24</v>
      </c>
      <c r="V24" s="15"/>
      <c r="W24" s="15"/>
      <c r="X24" s="15"/>
      <c r="Y24" s="15"/>
    </row>
    <row r="25" spans="1:25" x14ac:dyDescent="0.25">
      <c r="A25">
        <v>12773</v>
      </c>
      <c r="C25" s="15">
        <v>15</v>
      </c>
      <c r="D25" s="17">
        <f t="shared" si="0"/>
        <v>0.389801025390625</v>
      </c>
      <c r="E25" s="17">
        <v>0.2071533203125</v>
      </c>
      <c r="F25" s="15">
        <f t="shared" si="1"/>
        <v>0.3</v>
      </c>
      <c r="G25" s="18">
        <f t="shared" si="2"/>
        <v>9.2846679687499989E-2</v>
      </c>
      <c r="H25" s="15"/>
      <c r="I25" s="15"/>
      <c r="K25" s="30">
        <f>IF(D25&gt;$N$16,1,0)</f>
        <v>0</v>
      </c>
      <c r="L25" s="30">
        <f t="shared" si="3"/>
        <v>1</v>
      </c>
      <c r="M25" s="50"/>
      <c r="N25" s="50"/>
      <c r="T25" s="17">
        <v>0.389801025390625</v>
      </c>
      <c r="U25" s="15" t="s">
        <v>24</v>
      </c>
      <c r="V25" s="15"/>
      <c r="W25" s="15"/>
      <c r="X25" s="15"/>
      <c r="Y25" s="15"/>
    </row>
    <row r="26" spans="1:25" x14ac:dyDescent="0.25">
      <c r="A26">
        <v>31098</v>
      </c>
      <c r="C26" s="15">
        <v>16</v>
      </c>
      <c r="D26" s="17">
        <f t="shared" si="0"/>
        <v>0.94903564453125</v>
      </c>
      <c r="E26" s="17">
        <v>0.229888916015625</v>
      </c>
      <c r="F26" s="15">
        <f t="shared" si="1"/>
        <v>0.32</v>
      </c>
      <c r="G26" s="18">
        <f t="shared" si="2"/>
        <v>9.0111083984375007E-2</v>
      </c>
      <c r="H26" s="15"/>
      <c r="I26" s="15"/>
      <c r="K26" s="30">
        <f>IF(D26&gt;$N$16,1,0)</f>
        <v>1</v>
      </c>
      <c r="L26" s="30">
        <f t="shared" si="3"/>
        <v>0</v>
      </c>
      <c r="M26" s="50"/>
      <c r="N26" s="50"/>
      <c r="T26" s="17">
        <v>0.94903564453125</v>
      </c>
      <c r="U26" s="15" t="s">
        <v>37</v>
      </c>
      <c r="V26" s="15"/>
      <c r="W26" s="15"/>
      <c r="X26" s="15"/>
      <c r="Y26" s="15"/>
    </row>
    <row r="27" spans="1:25" x14ac:dyDescent="0.25">
      <c r="A27">
        <v>24419</v>
      </c>
      <c r="C27" s="15">
        <v>17</v>
      </c>
      <c r="D27" s="17">
        <f t="shared" si="0"/>
        <v>0.745208740234375</v>
      </c>
      <c r="E27" s="17">
        <v>0.241424560546875</v>
      </c>
      <c r="F27" s="15">
        <f t="shared" si="1"/>
        <v>0.34</v>
      </c>
      <c r="G27" s="18">
        <f t="shared" si="2"/>
        <v>9.8575439453125024E-2</v>
      </c>
      <c r="H27" s="15"/>
      <c r="I27" s="15"/>
      <c r="K27" s="30">
        <f>IF(D27&gt;$N$16,1,0)</f>
        <v>1</v>
      </c>
      <c r="L27" s="30">
        <f t="shared" si="3"/>
        <v>0</v>
      </c>
      <c r="M27" s="50"/>
      <c r="N27" s="50"/>
      <c r="T27" s="17">
        <v>0.745208740234375</v>
      </c>
      <c r="U27" s="15" t="s">
        <v>26</v>
      </c>
      <c r="V27" s="15"/>
      <c r="W27" s="15"/>
      <c r="X27" s="15"/>
      <c r="Y27" s="15"/>
    </row>
    <row r="28" spans="1:25" x14ac:dyDescent="0.25">
      <c r="A28">
        <v>23792</v>
      </c>
      <c r="C28" s="15">
        <v>18</v>
      </c>
      <c r="D28" s="17">
        <f t="shared" si="0"/>
        <v>0.72607421875</v>
      </c>
      <c r="E28" s="17">
        <v>0.2459716796875</v>
      </c>
      <c r="F28" s="15">
        <f t="shared" si="1"/>
        <v>0.36</v>
      </c>
      <c r="G28" s="18">
        <f t="shared" si="2"/>
        <v>0.11402832031249999</v>
      </c>
      <c r="H28" s="15"/>
      <c r="I28" s="15"/>
      <c r="K28" s="30">
        <f>IF(D28&gt;$N$16,1,0)</f>
        <v>1</v>
      </c>
      <c r="L28" s="30">
        <f t="shared" si="3"/>
        <v>0</v>
      </c>
      <c r="M28" s="50"/>
      <c r="N28" s="50"/>
      <c r="T28" s="17">
        <v>0.72607421875</v>
      </c>
      <c r="U28" s="15" t="s">
        <v>24</v>
      </c>
      <c r="V28" s="15"/>
      <c r="W28" s="15"/>
      <c r="X28" s="15"/>
      <c r="Y28" s="15"/>
    </row>
    <row r="29" spans="1:25" x14ac:dyDescent="0.25">
      <c r="A29">
        <v>20657</v>
      </c>
      <c r="C29" s="15">
        <v>19</v>
      </c>
      <c r="D29" s="17">
        <f t="shared" si="0"/>
        <v>0.630401611328125</v>
      </c>
      <c r="E29" s="17">
        <v>0.255584716796875</v>
      </c>
      <c r="F29" s="15">
        <f t="shared" si="1"/>
        <v>0.38</v>
      </c>
      <c r="G29" s="18">
        <f t="shared" si="2"/>
        <v>0.124415283203125</v>
      </c>
      <c r="H29" s="15"/>
      <c r="I29" s="15"/>
      <c r="K29" s="30">
        <f>IF(D29&gt;$N$16,1,0)</f>
        <v>1</v>
      </c>
      <c r="L29" s="30">
        <f t="shared" si="3"/>
        <v>1</v>
      </c>
      <c r="M29" s="50"/>
      <c r="N29" s="50"/>
      <c r="T29" s="17">
        <v>0.630401611328125</v>
      </c>
      <c r="U29" s="15" t="s">
        <v>24</v>
      </c>
      <c r="V29" s="15"/>
      <c r="W29" s="15"/>
      <c r="X29" s="15"/>
      <c r="Y29" s="15"/>
    </row>
    <row r="30" spans="1:25" x14ac:dyDescent="0.25">
      <c r="A30">
        <v>4982</v>
      </c>
      <c r="C30" s="15">
        <v>20</v>
      </c>
      <c r="D30" s="17">
        <f t="shared" si="0"/>
        <v>0.15203857421875</v>
      </c>
      <c r="E30" s="17">
        <v>0.25634765625</v>
      </c>
      <c r="F30" s="15">
        <f t="shared" si="1"/>
        <v>0.4</v>
      </c>
      <c r="G30" s="18">
        <f t="shared" si="2"/>
        <v>0.14365234375000002</v>
      </c>
      <c r="H30" s="15"/>
      <c r="I30" s="15"/>
      <c r="K30" s="30">
        <f>IF(D30&gt;$N$16,1,0)</f>
        <v>0</v>
      </c>
      <c r="L30" s="30">
        <f t="shared" si="3"/>
        <v>1</v>
      </c>
      <c r="M30" s="50"/>
      <c r="N30" s="50"/>
      <c r="T30" s="17">
        <v>0.15203857421875</v>
      </c>
      <c r="U30" s="15" t="s">
        <v>26</v>
      </c>
      <c r="V30" s="15"/>
      <c r="W30" s="15"/>
      <c r="X30" s="15"/>
      <c r="Y30" s="15"/>
    </row>
    <row r="31" spans="1:25" x14ac:dyDescent="0.25">
      <c r="A31">
        <v>24911</v>
      </c>
      <c r="C31" s="15">
        <v>21</v>
      </c>
      <c r="D31" s="17">
        <f t="shared" si="0"/>
        <v>0.760223388671875</v>
      </c>
      <c r="E31" s="17">
        <v>0.2779541015625</v>
      </c>
      <c r="F31" s="15">
        <f t="shared" si="1"/>
        <v>0.42</v>
      </c>
      <c r="G31" s="18">
        <f t="shared" si="2"/>
        <v>0.14204589843749998</v>
      </c>
      <c r="H31" s="15"/>
      <c r="I31" s="15"/>
      <c r="K31" s="30">
        <f>IF(D31&gt;$N$16,1,0)</f>
        <v>1</v>
      </c>
      <c r="L31" s="30">
        <f t="shared" si="3"/>
        <v>0</v>
      </c>
      <c r="M31" s="50"/>
      <c r="N31" s="50"/>
      <c r="T31" s="17">
        <v>0.760223388671875</v>
      </c>
      <c r="U31" s="15" t="s">
        <v>24</v>
      </c>
      <c r="V31" s="15"/>
      <c r="W31" s="15"/>
      <c r="X31" s="15"/>
      <c r="Y31" s="15"/>
    </row>
    <row r="32" spans="1:25" x14ac:dyDescent="0.25">
      <c r="A32">
        <v>26252</v>
      </c>
      <c r="C32" s="15">
        <v>22</v>
      </c>
      <c r="D32" s="17">
        <f t="shared" si="0"/>
        <v>0.8011474609375</v>
      </c>
      <c r="E32" s="17">
        <v>0.338043212890625</v>
      </c>
      <c r="F32" s="15">
        <f t="shared" si="1"/>
        <v>0.44</v>
      </c>
      <c r="G32" s="18">
        <f t="shared" si="2"/>
        <v>0.101956787109375</v>
      </c>
      <c r="H32" s="15"/>
      <c r="I32" s="15"/>
      <c r="K32" s="30">
        <f>IF(D32&gt;$N$16,1,0)</f>
        <v>1</v>
      </c>
      <c r="L32" s="30">
        <f t="shared" si="3"/>
        <v>1</v>
      </c>
      <c r="M32" s="50"/>
      <c r="N32" s="50"/>
      <c r="T32" s="17">
        <v>0.8011474609375</v>
      </c>
      <c r="U32" s="15" t="s">
        <v>24</v>
      </c>
      <c r="V32" s="15"/>
      <c r="W32" s="15"/>
      <c r="X32" s="15"/>
      <c r="Y32" s="15"/>
    </row>
    <row r="33" spans="1:25" x14ac:dyDescent="0.25">
      <c r="A33">
        <v>189</v>
      </c>
      <c r="C33" s="15">
        <v>23</v>
      </c>
      <c r="D33" s="17">
        <f t="shared" si="0"/>
        <v>5.767822265625E-3</v>
      </c>
      <c r="E33" s="17">
        <v>0.377960205078125</v>
      </c>
      <c r="F33" s="15">
        <f t="shared" si="1"/>
        <v>0.46</v>
      </c>
      <c r="G33" s="18">
        <f t="shared" si="2"/>
        <v>8.203979492187502E-2</v>
      </c>
      <c r="H33" s="15"/>
      <c r="I33" s="15"/>
      <c r="K33" s="30">
        <f>IF(D33&gt;$N$16,1,0)</f>
        <v>0</v>
      </c>
      <c r="L33" s="30">
        <f t="shared" si="3"/>
        <v>0</v>
      </c>
      <c r="M33" s="50"/>
      <c r="N33" s="50"/>
      <c r="T33" s="17">
        <v>5.767822265625E-3</v>
      </c>
      <c r="U33" s="15" t="s">
        <v>37</v>
      </c>
      <c r="V33" s="15"/>
      <c r="W33" s="15"/>
      <c r="X33" s="15"/>
      <c r="Y33" s="15"/>
    </row>
    <row r="34" spans="1:25" x14ac:dyDescent="0.25">
      <c r="A34">
        <v>946</v>
      </c>
      <c r="C34" s="15">
        <v>24</v>
      </c>
      <c r="D34" s="17">
        <f t="shared" si="0"/>
        <v>2.886962890625E-2</v>
      </c>
      <c r="E34" s="17">
        <v>0.389801025390625</v>
      </c>
      <c r="F34" s="15">
        <f t="shared" si="1"/>
        <v>0.48</v>
      </c>
      <c r="G34" s="18">
        <f t="shared" si="2"/>
        <v>9.0198974609374982E-2</v>
      </c>
      <c r="H34" s="15"/>
      <c r="I34" s="15"/>
      <c r="K34" s="30">
        <f>IF(D34&gt;$N$16,1,0)</f>
        <v>0</v>
      </c>
      <c r="L34" s="30">
        <f t="shared" si="3"/>
        <v>0</v>
      </c>
      <c r="M34" s="50"/>
      <c r="N34" s="50"/>
      <c r="T34" s="17">
        <v>2.886962890625E-2</v>
      </c>
      <c r="U34" s="15" t="s">
        <v>24</v>
      </c>
      <c r="V34" s="15"/>
      <c r="W34" s="15"/>
      <c r="X34" s="15"/>
      <c r="Y34" s="15"/>
    </row>
    <row r="35" spans="1:25" x14ac:dyDescent="0.25">
      <c r="A35">
        <v>4731</v>
      </c>
      <c r="C35" s="15">
        <v>25</v>
      </c>
      <c r="D35" s="17">
        <f t="shared" si="0"/>
        <v>0.144378662109375</v>
      </c>
      <c r="E35" s="17">
        <v>0.42669677734375</v>
      </c>
      <c r="F35" s="15">
        <f t="shared" si="1"/>
        <v>0.5</v>
      </c>
      <c r="G35" s="18">
        <f t="shared" si="2"/>
        <v>7.330322265625E-2</v>
      </c>
      <c r="H35" s="15"/>
      <c r="I35" s="15"/>
      <c r="K35" s="30">
        <f>IF(D35&gt;$N$16,1,0)</f>
        <v>0</v>
      </c>
      <c r="L35" s="30">
        <f t="shared" si="3"/>
        <v>1</v>
      </c>
      <c r="M35" s="50"/>
      <c r="N35" s="50"/>
      <c r="T35" s="17">
        <v>0.144378662109375</v>
      </c>
      <c r="U35" s="15" t="s">
        <v>24</v>
      </c>
      <c r="V35" s="15"/>
      <c r="W35" s="15"/>
      <c r="X35" s="15"/>
      <c r="Y35" s="15"/>
    </row>
    <row r="36" spans="1:25" x14ac:dyDescent="0.25">
      <c r="A36">
        <v>23656</v>
      </c>
      <c r="C36" s="15">
        <v>26</v>
      </c>
      <c r="D36" s="17">
        <f t="shared" si="0"/>
        <v>0.721923828125</v>
      </c>
      <c r="E36" s="17">
        <v>0.437896728515625</v>
      </c>
      <c r="F36" s="15">
        <f t="shared" si="1"/>
        <v>0.52</v>
      </c>
      <c r="G36" s="18">
        <f t="shared" si="2"/>
        <v>8.2103271484375018E-2</v>
      </c>
      <c r="H36" s="15"/>
      <c r="I36" s="15"/>
      <c r="K36" s="30">
        <f>IF(D36&gt;$N$16,1,0)</f>
        <v>1</v>
      </c>
      <c r="L36" s="30">
        <f t="shared" si="3"/>
        <v>0</v>
      </c>
      <c r="M36" s="50"/>
      <c r="N36" s="50"/>
      <c r="T36" s="17">
        <v>0.721923828125</v>
      </c>
      <c r="U36" s="15" t="s">
        <v>24</v>
      </c>
      <c r="V36" s="15"/>
      <c r="W36" s="15"/>
      <c r="X36" s="15"/>
      <c r="Y36" s="15"/>
    </row>
    <row r="37" spans="1:25" x14ac:dyDescent="0.25">
      <c r="A37">
        <v>19977</v>
      </c>
      <c r="C37" s="15">
        <v>27</v>
      </c>
      <c r="D37" s="17">
        <f t="shared" si="0"/>
        <v>0.609649658203125</v>
      </c>
      <c r="E37" s="17">
        <v>0.449188232421875</v>
      </c>
      <c r="F37" s="15">
        <f t="shared" si="1"/>
        <v>0.54</v>
      </c>
      <c r="G37" s="18">
        <f t="shared" si="2"/>
        <v>9.0811767578125036E-2</v>
      </c>
      <c r="H37" s="15"/>
      <c r="I37" s="15"/>
      <c r="K37" s="30">
        <f>IF(D37&gt;$N$16,1,0)</f>
        <v>1</v>
      </c>
      <c r="L37" s="30">
        <f t="shared" si="3"/>
        <v>1</v>
      </c>
      <c r="M37" s="50"/>
      <c r="N37" s="50"/>
      <c r="T37" s="17">
        <v>0.609649658203125</v>
      </c>
      <c r="U37" s="15" t="s">
        <v>24</v>
      </c>
      <c r="V37" s="15"/>
      <c r="W37" s="15"/>
      <c r="X37" s="15"/>
      <c r="Y37" s="15"/>
    </row>
    <row r="38" spans="1:25" x14ac:dyDescent="0.25">
      <c r="A38">
        <v>1582</v>
      </c>
      <c r="C38" s="15">
        <v>28</v>
      </c>
      <c r="D38" s="17">
        <f t="shared" si="0"/>
        <v>4.827880859375E-2</v>
      </c>
      <c r="E38" s="17">
        <v>0.45111083984375</v>
      </c>
      <c r="F38" s="15">
        <f t="shared" si="1"/>
        <v>0.56000000000000005</v>
      </c>
      <c r="G38" s="18">
        <f t="shared" si="2"/>
        <v>0.10888916015625005</v>
      </c>
      <c r="H38" s="15"/>
      <c r="I38" s="15"/>
      <c r="K38" s="30">
        <f>IF(D38&gt;$N$16,1,0)</f>
        <v>0</v>
      </c>
      <c r="L38" s="30">
        <f t="shared" si="3"/>
        <v>0</v>
      </c>
      <c r="M38" s="50"/>
      <c r="N38" s="50"/>
      <c r="T38" s="17">
        <v>4.827880859375E-2</v>
      </c>
      <c r="U38" s="15" t="s">
        <v>24</v>
      </c>
      <c r="V38" s="15"/>
      <c r="W38" s="15"/>
      <c r="X38" s="15"/>
      <c r="Y38" s="15"/>
    </row>
    <row r="39" spans="1:25" x14ac:dyDescent="0.25">
      <c r="A39">
        <v>7911</v>
      </c>
      <c r="C39" s="15">
        <v>29</v>
      </c>
      <c r="D39" s="17">
        <f t="shared" si="0"/>
        <v>0.241424560546875</v>
      </c>
      <c r="E39" s="17">
        <v>0.451263427734375</v>
      </c>
      <c r="F39" s="15">
        <f t="shared" si="1"/>
        <v>0.57999999999999996</v>
      </c>
      <c r="G39" s="18">
        <f t="shared" si="2"/>
        <v>0.12873657226562496</v>
      </c>
      <c r="H39" s="15"/>
      <c r="I39" s="15"/>
      <c r="K39" s="30">
        <f>IF(D39&gt;$N$16,1,0)</f>
        <v>0</v>
      </c>
      <c r="L39" s="30">
        <f t="shared" si="3"/>
        <v>0</v>
      </c>
      <c r="M39" s="50"/>
      <c r="N39" s="50"/>
      <c r="T39" s="17">
        <v>0.241424560546875</v>
      </c>
      <c r="U39" s="15" t="s">
        <v>37</v>
      </c>
      <c r="V39" s="15"/>
      <c r="W39" s="15"/>
      <c r="X39" s="15"/>
      <c r="Y39" s="15"/>
    </row>
    <row r="40" spans="1:25" x14ac:dyDescent="0.25">
      <c r="A40">
        <v>6788</v>
      </c>
      <c r="C40" s="15">
        <v>30</v>
      </c>
      <c r="D40" s="17">
        <f t="shared" si="0"/>
        <v>0.2071533203125</v>
      </c>
      <c r="E40" s="17">
        <v>0.4755859375</v>
      </c>
      <c r="F40" s="15">
        <f t="shared" si="1"/>
        <v>0.6</v>
      </c>
      <c r="G40" s="18">
        <f t="shared" si="2"/>
        <v>0.12441406249999998</v>
      </c>
      <c r="H40" s="15"/>
      <c r="I40" s="15"/>
      <c r="K40" s="30">
        <f>IF(D40&gt;$N$16,1,0)</f>
        <v>0</v>
      </c>
      <c r="L40" s="30">
        <f t="shared" si="3"/>
        <v>0</v>
      </c>
      <c r="M40" s="50"/>
      <c r="N40" s="50"/>
      <c r="T40" s="17">
        <v>0.2071533203125</v>
      </c>
      <c r="U40" s="15" t="s">
        <v>26</v>
      </c>
      <c r="V40" s="15"/>
      <c r="W40" s="15"/>
      <c r="X40" s="15"/>
      <c r="Y40" s="15"/>
    </row>
    <row r="41" spans="1:25" x14ac:dyDescent="0.25">
      <c r="A41">
        <v>1173</v>
      </c>
      <c r="C41" s="15">
        <v>31</v>
      </c>
      <c r="D41" s="17">
        <f t="shared" si="0"/>
        <v>3.5797119140625E-2</v>
      </c>
      <c r="E41" s="17">
        <v>0.609649658203125</v>
      </c>
      <c r="F41" s="15">
        <f t="shared" si="1"/>
        <v>0.62</v>
      </c>
      <c r="G41" s="18">
        <f t="shared" si="2"/>
        <v>1.0350341796874996E-2</v>
      </c>
      <c r="H41" s="15"/>
      <c r="I41" s="15"/>
      <c r="K41" s="30">
        <f>IF(D41&gt;$N$16,1,0)</f>
        <v>0</v>
      </c>
      <c r="L41" s="30">
        <f t="shared" si="3"/>
        <v>0</v>
      </c>
      <c r="M41" s="50"/>
      <c r="N41" s="50"/>
      <c r="T41" s="17">
        <v>3.5797119140625E-2</v>
      </c>
      <c r="U41" s="15" t="s">
        <v>24</v>
      </c>
      <c r="V41" s="15"/>
      <c r="W41" s="15"/>
      <c r="X41" s="15"/>
      <c r="Y41" s="15"/>
    </row>
    <row r="42" spans="1:25" x14ac:dyDescent="0.25">
      <c r="A42">
        <v>5866</v>
      </c>
      <c r="C42" s="15">
        <v>32</v>
      </c>
      <c r="D42" s="17">
        <f t="shared" si="0"/>
        <v>0.17901611328125</v>
      </c>
      <c r="E42" s="17">
        <v>0.630401611328125</v>
      </c>
      <c r="F42" s="15">
        <f t="shared" si="1"/>
        <v>0.64</v>
      </c>
      <c r="G42" s="18">
        <f t="shared" si="2"/>
        <v>9.5983886718750133E-3</v>
      </c>
      <c r="H42" s="15"/>
      <c r="I42" s="15"/>
      <c r="K42" s="30">
        <f>IF(D42&gt;$N$16,1,0)</f>
        <v>0</v>
      </c>
      <c r="L42" s="30">
        <f t="shared" si="3"/>
        <v>1</v>
      </c>
      <c r="M42" s="50"/>
      <c r="N42" s="50"/>
      <c r="T42" s="17">
        <v>0.17901611328125</v>
      </c>
      <c r="U42" s="15" t="s">
        <v>26</v>
      </c>
      <c r="V42" s="15"/>
      <c r="W42" s="15"/>
      <c r="X42" s="15"/>
      <c r="Y42" s="15"/>
    </row>
    <row r="43" spans="1:25" x14ac:dyDescent="0.25">
      <c r="A43">
        <v>29331</v>
      </c>
      <c r="C43" s="15">
        <v>33</v>
      </c>
      <c r="D43" s="17">
        <f t="shared" si="0"/>
        <v>0.895111083984375</v>
      </c>
      <c r="E43" s="17">
        <v>0.6676025390625</v>
      </c>
      <c r="F43" s="15">
        <f t="shared" si="1"/>
        <v>0.66</v>
      </c>
      <c r="G43" s="18">
        <f t="shared" si="2"/>
        <v>7.6025390624999689E-3</v>
      </c>
      <c r="H43" s="15"/>
      <c r="I43" s="15"/>
      <c r="K43" s="30">
        <f>IF(D43&gt;$N$16,1,0)</f>
        <v>1</v>
      </c>
      <c r="L43" s="30">
        <f t="shared" si="3"/>
        <v>0</v>
      </c>
      <c r="M43" s="50"/>
      <c r="N43" s="50"/>
      <c r="T43" s="17">
        <v>0.895111083984375</v>
      </c>
      <c r="U43" s="15" t="s">
        <v>26</v>
      </c>
      <c r="V43" s="15"/>
      <c r="W43" s="15"/>
      <c r="X43" s="15"/>
      <c r="Y43" s="15"/>
    </row>
    <row r="44" spans="1:25" x14ac:dyDescent="0.25">
      <c r="A44">
        <v>15584</v>
      </c>
      <c r="C44" s="15">
        <v>34</v>
      </c>
      <c r="D44" s="17">
        <f t="shared" si="0"/>
        <v>0.4755859375</v>
      </c>
      <c r="E44" s="17">
        <v>0.685333251953125</v>
      </c>
      <c r="F44" s="15">
        <f t="shared" si="1"/>
        <v>0.68</v>
      </c>
      <c r="G44" s="18">
        <f t="shared" si="2"/>
        <v>5.3332519531249512E-3</v>
      </c>
      <c r="H44" s="15"/>
      <c r="I44" s="15"/>
      <c r="K44" s="30">
        <f>IF(D44&gt;$N$16,1,0)</f>
        <v>1</v>
      </c>
      <c r="L44" s="30">
        <f t="shared" si="3"/>
        <v>1</v>
      </c>
      <c r="M44" s="50"/>
      <c r="N44" s="50"/>
      <c r="T44" s="17">
        <v>0.4755859375</v>
      </c>
      <c r="U44" s="15" t="s">
        <v>24</v>
      </c>
      <c r="V44" s="15"/>
      <c r="W44" s="15"/>
      <c r="X44" s="15"/>
      <c r="Y44" s="15"/>
    </row>
    <row r="45" spans="1:25" x14ac:dyDescent="0.25">
      <c r="A45">
        <v>12385</v>
      </c>
      <c r="C45" s="15">
        <v>35</v>
      </c>
      <c r="D45" s="17">
        <f t="shared" si="0"/>
        <v>0.377960205078125</v>
      </c>
      <c r="E45" s="17">
        <v>0.690216064453125</v>
      </c>
      <c r="F45" s="15">
        <f t="shared" si="1"/>
        <v>0.7</v>
      </c>
      <c r="G45" s="18">
        <f t="shared" si="2"/>
        <v>9.7839355468749556E-3</v>
      </c>
      <c r="H45" s="15"/>
      <c r="I45" s="15"/>
      <c r="K45" s="30">
        <f>IF(D45&gt;$N$16,1,0)</f>
        <v>0</v>
      </c>
      <c r="L45" s="30">
        <f t="shared" si="3"/>
        <v>1</v>
      </c>
      <c r="M45" s="50"/>
      <c r="N45" s="50"/>
      <c r="T45" s="17">
        <v>0.377960205078125</v>
      </c>
      <c r="U45" s="15" t="s">
        <v>24</v>
      </c>
      <c r="V45" s="15"/>
      <c r="W45" s="15"/>
      <c r="X45" s="15"/>
      <c r="Y45" s="15"/>
    </row>
    <row r="46" spans="1:25" x14ac:dyDescent="0.25">
      <c r="A46">
        <v>29158</v>
      </c>
      <c r="C46" s="15">
        <v>36</v>
      </c>
      <c r="D46" s="17">
        <f t="shared" si="0"/>
        <v>0.88983154296875</v>
      </c>
      <c r="E46" s="17">
        <v>0.69024658203125</v>
      </c>
      <c r="F46" s="15">
        <f t="shared" si="1"/>
        <v>0.72</v>
      </c>
      <c r="G46" s="18">
        <f t="shared" si="2"/>
        <v>2.9753417968749973E-2</v>
      </c>
      <c r="H46" s="15"/>
      <c r="I46" s="15"/>
      <c r="K46" s="30">
        <f>IF(D46&gt;$N$16,1,0)</f>
        <v>1</v>
      </c>
      <c r="L46" s="30">
        <f t="shared" si="3"/>
        <v>0</v>
      </c>
      <c r="M46" s="50"/>
      <c r="N46" s="50"/>
      <c r="T46" s="17">
        <v>0.88983154296875</v>
      </c>
      <c r="U46" s="15" t="s">
        <v>35</v>
      </c>
      <c r="V46" s="15"/>
      <c r="W46" s="15"/>
      <c r="X46" s="15"/>
      <c r="Y46" s="15"/>
    </row>
    <row r="47" spans="1:25" x14ac:dyDescent="0.25">
      <c r="A47">
        <v>14719</v>
      </c>
      <c r="C47" s="15">
        <v>37</v>
      </c>
      <c r="D47" s="17">
        <f t="shared" si="0"/>
        <v>0.449188232421875</v>
      </c>
      <c r="E47" s="17">
        <v>0.721923828125</v>
      </c>
      <c r="F47" s="15">
        <f t="shared" si="1"/>
        <v>0.74</v>
      </c>
      <c r="G47" s="18">
        <f t="shared" si="2"/>
        <v>1.8076171874999991E-2</v>
      </c>
      <c r="H47" s="15"/>
      <c r="I47" s="15"/>
      <c r="K47" s="30">
        <f>IF(D47&gt;$N$16,1,0)</f>
        <v>1</v>
      </c>
      <c r="L47" s="30">
        <f t="shared" si="3"/>
        <v>1</v>
      </c>
      <c r="T47" s="17">
        <v>0.449188232421875</v>
      </c>
      <c r="U47" s="15" t="s">
        <v>37</v>
      </c>
      <c r="V47" s="15"/>
      <c r="W47" s="15"/>
      <c r="X47" s="15"/>
      <c r="Y47" s="15"/>
    </row>
    <row r="48" spans="1:25" x14ac:dyDescent="0.25">
      <c r="A48">
        <v>8060</v>
      </c>
      <c r="C48" s="15">
        <v>38</v>
      </c>
      <c r="D48" s="17">
        <f t="shared" si="0"/>
        <v>0.2459716796875</v>
      </c>
      <c r="E48" s="17">
        <v>0.72607421875</v>
      </c>
      <c r="F48" s="15">
        <f t="shared" si="1"/>
        <v>0.76</v>
      </c>
      <c r="G48" s="18">
        <f t="shared" si="2"/>
        <v>3.3925781250000009E-2</v>
      </c>
      <c r="H48" s="15"/>
      <c r="I48" s="15"/>
      <c r="K48" s="30">
        <f>IF(D48&gt;$N$16,1,0)</f>
        <v>0</v>
      </c>
      <c r="L48" s="30">
        <f t="shared" si="3"/>
        <v>0</v>
      </c>
      <c r="T48" s="17">
        <v>0.2459716796875</v>
      </c>
      <c r="U48" s="15" t="s">
        <v>26</v>
      </c>
      <c r="V48" s="15"/>
      <c r="W48" s="15"/>
      <c r="X48" s="15"/>
      <c r="Y48" s="15"/>
    </row>
    <row r="49" spans="1:25" x14ac:dyDescent="0.25">
      <c r="A49">
        <v>7533</v>
      </c>
      <c r="C49" s="15">
        <v>39</v>
      </c>
      <c r="D49" s="17">
        <f t="shared" si="0"/>
        <v>0.229888916015625</v>
      </c>
      <c r="E49" s="17">
        <v>0.737060546875</v>
      </c>
      <c r="F49" s="15">
        <f t="shared" si="1"/>
        <v>0.78</v>
      </c>
      <c r="G49" s="18">
        <f t="shared" si="2"/>
        <v>4.2939453125000027E-2</v>
      </c>
      <c r="H49" s="15"/>
      <c r="I49" s="15"/>
      <c r="K49" s="30">
        <f>IF(D49&gt;$N$16,1,0)</f>
        <v>0</v>
      </c>
      <c r="L49" s="30">
        <f t="shared" si="3"/>
        <v>0</v>
      </c>
      <c r="T49" s="17">
        <v>0.229888916015625</v>
      </c>
      <c r="U49" s="15" t="s">
        <v>37</v>
      </c>
      <c r="V49" s="15"/>
      <c r="W49" s="15"/>
      <c r="X49" s="15"/>
      <c r="Y49" s="15"/>
    </row>
    <row r="50" spans="1:25" x14ac:dyDescent="0.25">
      <c r="A50">
        <v>4898</v>
      </c>
      <c r="C50" s="15">
        <v>40</v>
      </c>
      <c r="D50" s="17">
        <f t="shared" si="0"/>
        <v>0.14947509765625</v>
      </c>
      <c r="E50" s="17">
        <v>0.738037109375</v>
      </c>
      <c r="F50" s="15">
        <f t="shared" si="1"/>
        <v>0.8</v>
      </c>
      <c r="G50" s="18">
        <f t="shared" si="2"/>
        <v>6.1962890625000044E-2</v>
      </c>
      <c r="H50" s="15"/>
      <c r="I50" s="15"/>
      <c r="K50" s="30">
        <f>IF(D50&gt;$N$16,1,0)</f>
        <v>0</v>
      </c>
      <c r="L50" s="30">
        <f t="shared" si="3"/>
        <v>1</v>
      </c>
      <c r="T50" s="17">
        <v>0.14947509765625</v>
      </c>
      <c r="U50" s="15" t="s">
        <v>24</v>
      </c>
      <c r="V50" s="15"/>
      <c r="W50" s="15"/>
      <c r="X50" s="15"/>
      <c r="Y50" s="15"/>
    </row>
    <row r="51" spans="1:25" x14ac:dyDescent="0.25">
      <c r="A51">
        <v>24491</v>
      </c>
      <c r="C51" s="15">
        <v>41</v>
      </c>
      <c r="D51" s="17">
        <f t="shared" si="0"/>
        <v>0.747406005859375</v>
      </c>
      <c r="E51" s="17">
        <v>0.745208740234375</v>
      </c>
      <c r="F51" s="15">
        <f t="shared" si="1"/>
        <v>0.82</v>
      </c>
      <c r="G51" s="18">
        <f t="shared" si="2"/>
        <v>7.4791259765624951E-2</v>
      </c>
      <c r="H51" s="15"/>
      <c r="I51" s="15"/>
      <c r="K51" s="30">
        <f>IF(D51&gt;$N$16,1,0)</f>
        <v>1</v>
      </c>
      <c r="L51" s="30">
        <f t="shared" si="3"/>
        <v>0</v>
      </c>
      <c r="T51" s="17">
        <v>0.747406005859375</v>
      </c>
      <c r="U51" s="15" t="s">
        <v>37</v>
      </c>
      <c r="V51" s="15"/>
      <c r="W51" s="15"/>
      <c r="X51" s="15"/>
      <c r="Y51" s="15"/>
    </row>
    <row r="52" spans="1:25" x14ac:dyDescent="0.25">
      <c r="A52">
        <v>24152</v>
      </c>
      <c r="C52" s="15">
        <v>42</v>
      </c>
      <c r="D52" s="17">
        <f t="shared" si="0"/>
        <v>0.737060546875</v>
      </c>
      <c r="E52" s="17">
        <v>0.747406005859375</v>
      </c>
      <c r="F52" s="15">
        <f t="shared" si="1"/>
        <v>0.84</v>
      </c>
      <c r="G52" s="18">
        <f t="shared" si="2"/>
        <v>9.2593994140624969E-2</v>
      </c>
      <c r="H52" s="15"/>
      <c r="I52" s="15"/>
      <c r="K52" s="30">
        <f>IF(D52&gt;$N$16,1,0)</f>
        <v>1</v>
      </c>
      <c r="L52" s="30">
        <f t="shared" si="3"/>
        <v>0</v>
      </c>
      <c r="T52" s="17">
        <v>0.737060546875</v>
      </c>
      <c r="U52" s="15" t="s">
        <v>24</v>
      </c>
      <c r="V52" s="15"/>
      <c r="W52" s="15"/>
      <c r="X52" s="15"/>
      <c r="Y52" s="15"/>
    </row>
    <row r="53" spans="1:25" x14ac:dyDescent="0.25">
      <c r="A53">
        <v>22457</v>
      </c>
      <c r="C53" s="15">
        <v>43</v>
      </c>
      <c r="D53" s="17">
        <f t="shared" si="0"/>
        <v>0.685333251953125</v>
      </c>
      <c r="E53" s="17">
        <v>0.760223388671875</v>
      </c>
      <c r="F53" s="15">
        <f t="shared" si="1"/>
        <v>0.86</v>
      </c>
      <c r="G53" s="18">
        <f t="shared" si="2"/>
        <v>9.9776611328124987E-2</v>
      </c>
      <c r="H53" s="15"/>
      <c r="I53" s="15"/>
      <c r="K53" s="30">
        <f>IF(D53&gt;$N$16,1,0)</f>
        <v>1</v>
      </c>
      <c r="L53" s="30">
        <f t="shared" si="3"/>
        <v>1</v>
      </c>
      <c r="T53" s="17">
        <v>0.685333251953125</v>
      </c>
      <c r="U53" s="15" t="s">
        <v>24</v>
      </c>
      <c r="V53" s="15"/>
      <c r="W53" s="15"/>
      <c r="X53" s="15"/>
      <c r="Y53" s="15"/>
    </row>
    <row r="54" spans="1:25" x14ac:dyDescent="0.25">
      <c r="A54">
        <v>13982</v>
      </c>
      <c r="C54" s="15">
        <v>44</v>
      </c>
      <c r="D54" s="17">
        <f t="shared" si="0"/>
        <v>0.42669677734375</v>
      </c>
      <c r="E54" s="17">
        <v>0.8011474609375</v>
      </c>
      <c r="F54" s="15">
        <f t="shared" si="1"/>
        <v>0.88</v>
      </c>
      <c r="G54" s="18">
        <f t="shared" si="2"/>
        <v>7.8852539062500004E-2</v>
      </c>
      <c r="H54" s="15"/>
      <c r="I54" s="15"/>
      <c r="K54" s="30">
        <f>IF(D54&gt;$N$16,1,0)</f>
        <v>0</v>
      </c>
      <c r="L54" s="30">
        <f t="shared" si="3"/>
        <v>0</v>
      </c>
      <c r="M54" s="50"/>
      <c r="N54" s="50"/>
      <c r="T54" s="17">
        <v>0.42669677734375</v>
      </c>
      <c r="U54" s="15" t="s">
        <v>26</v>
      </c>
      <c r="V54" s="15"/>
      <c r="W54" s="15"/>
      <c r="X54" s="15"/>
      <c r="Y54" s="15"/>
    </row>
    <row r="55" spans="1:25" x14ac:dyDescent="0.25">
      <c r="A55">
        <v>4375</v>
      </c>
      <c r="C55" s="15">
        <v>45</v>
      </c>
      <c r="D55" s="17">
        <f t="shared" si="0"/>
        <v>0.133514404296875</v>
      </c>
      <c r="E55" s="17">
        <v>0.8875732421875</v>
      </c>
      <c r="F55" s="15">
        <f t="shared" si="1"/>
        <v>0.9</v>
      </c>
      <c r="G55" s="18">
        <f t="shared" si="2"/>
        <v>1.2426757812500022E-2</v>
      </c>
      <c r="H55" s="15"/>
      <c r="I55" s="15"/>
      <c r="K55" s="30">
        <f>IF(D55&gt;$N$16,1,0)</f>
        <v>0</v>
      </c>
      <c r="L55" s="30">
        <f t="shared" si="3"/>
        <v>1</v>
      </c>
      <c r="M55" s="50"/>
      <c r="N55" s="50"/>
      <c r="T55" s="17">
        <v>0.133514404296875</v>
      </c>
      <c r="U55" s="15" t="s">
        <v>24</v>
      </c>
      <c r="V55" s="15"/>
      <c r="W55" s="15"/>
      <c r="X55" s="15"/>
      <c r="Y55" s="15"/>
    </row>
    <row r="56" spans="1:25" x14ac:dyDescent="0.25">
      <c r="A56">
        <v>21876</v>
      </c>
      <c r="C56" s="15">
        <v>46</v>
      </c>
      <c r="D56" s="17">
        <f t="shared" si="0"/>
        <v>0.6676025390625</v>
      </c>
      <c r="E56" s="17">
        <v>0.88983154296875</v>
      </c>
      <c r="F56" s="15">
        <f t="shared" si="1"/>
        <v>0.92</v>
      </c>
      <c r="G56" s="18">
        <f t="shared" si="2"/>
        <v>3.016845703125004E-2</v>
      </c>
      <c r="H56" s="15"/>
      <c r="I56" s="15"/>
      <c r="K56" s="30">
        <f>IF(D56&gt;$N$16,1,0)</f>
        <v>1</v>
      </c>
      <c r="L56" s="30">
        <f t="shared" si="3"/>
        <v>1</v>
      </c>
      <c r="M56" s="50"/>
      <c r="N56" s="50"/>
      <c r="T56" s="17">
        <v>0.6676025390625</v>
      </c>
      <c r="U56" s="15" t="s">
        <v>35</v>
      </c>
      <c r="V56" s="15"/>
      <c r="W56" s="15"/>
      <c r="X56" s="15"/>
      <c r="Y56" s="15"/>
    </row>
    <row r="57" spans="1:25" x14ac:dyDescent="0.25">
      <c r="A57">
        <v>11077</v>
      </c>
      <c r="C57" s="15">
        <v>47</v>
      </c>
      <c r="D57" s="17">
        <f t="shared" si="0"/>
        <v>0.338043212890625</v>
      </c>
      <c r="E57" s="17">
        <v>0.895111083984375</v>
      </c>
      <c r="F57" s="15">
        <f t="shared" si="1"/>
        <v>0.94</v>
      </c>
      <c r="G57" s="18">
        <f t="shared" si="2"/>
        <v>4.4888916015624947E-2</v>
      </c>
      <c r="H57" s="15"/>
      <c r="I57" s="15"/>
      <c r="K57" s="30">
        <f>IF(D57&gt;$N$16,1,0)</f>
        <v>0</v>
      </c>
      <c r="L57" s="30">
        <f t="shared" si="3"/>
        <v>1</v>
      </c>
      <c r="M57" s="50"/>
      <c r="N57" s="50"/>
      <c r="T57" s="17">
        <v>0.338043212890625</v>
      </c>
      <c r="U57" s="15" t="s">
        <v>24</v>
      </c>
      <c r="V57" s="15"/>
      <c r="W57" s="15"/>
      <c r="X57" s="15"/>
      <c r="Y57" s="15"/>
    </row>
    <row r="58" spans="1:25" x14ac:dyDescent="0.25">
      <c r="A58">
        <v>22618</v>
      </c>
      <c r="C58" s="15">
        <v>48</v>
      </c>
      <c r="D58" s="17">
        <f t="shared" si="0"/>
        <v>0.69024658203125</v>
      </c>
      <c r="E58" s="17">
        <v>0.947601318359375</v>
      </c>
      <c r="F58" s="15">
        <f t="shared" si="1"/>
        <v>0.96</v>
      </c>
      <c r="G58" s="18">
        <f t="shared" si="2"/>
        <v>1.2398681640624964E-2</v>
      </c>
      <c r="H58" s="15"/>
      <c r="I58" s="15"/>
      <c r="K58" s="30">
        <f>IF(D58&gt;$N$16,1,0)</f>
        <v>1</v>
      </c>
      <c r="L58" s="30">
        <f t="shared" si="3"/>
        <v>0</v>
      </c>
      <c r="M58" s="50"/>
      <c r="N58" s="50"/>
      <c r="T58" s="17">
        <v>0.69024658203125</v>
      </c>
      <c r="U58" s="15" t="s">
        <v>26</v>
      </c>
      <c r="V58" s="15"/>
      <c r="W58" s="15"/>
      <c r="X58" s="15"/>
      <c r="Y58" s="15"/>
    </row>
    <row r="59" spans="1:25" x14ac:dyDescent="0.25">
      <c r="A59">
        <v>14787</v>
      </c>
      <c r="C59" s="15">
        <v>49</v>
      </c>
      <c r="D59" s="17">
        <f t="shared" si="0"/>
        <v>0.451263427734375</v>
      </c>
      <c r="E59" s="17">
        <v>0.94903564453125</v>
      </c>
      <c r="F59" s="15">
        <f t="shared" si="1"/>
        <v>0.98</v>
      </c>
      <c r="G59" s="18">
        <f t="shared" si="2"/>
        <v>3.0964355468749982E-2</v>
      </c>
      <c r="H59" s="15"/>
      <c r="I59" s="15"/>
      <c r="K59" s="30">
        <f>IF(D59&gt;$N$16,1,0)</f>
        <v>1</v>
      </c>
      <c r="L59" s="30">
        <f t="shared" si="3"/>
        <v>1</v>
      </c>
      <c r="M59" s="50"/>
      <c r="N59" s="50"/>
      <c r="T59" s="17">
        <v>0.451263427734375</v>
      </c>
      <c r="U59" s="15" t="s">
        <v>26</v>
      </c>
      <c r="V59" s="15"/>
      <c r="W59" s="15"/>
      <c r="X59" s="15"/>
      <c r="Y59" s="15"/>
    </row>
    <row r="60" spans="1:25" x14ac:dyDescent="0.25">
      <c r="A60">
        <v>8400</v>
      </c>
      <c r="C60" s="15">
        <v>50</v>
      </c>
      <c r="D60" s="17">
        <f t="shared" si="0"/>
        <v>0.25634765625</v>
      </c>
      <c r="E60" s="17">
        <v>0.977508544921875</v>
      </c>
      <c r="F60" s="15">
        <f t="shared" si="1"/>
        <v>1</v>
      </c>
      <c r="G60" s="18">
        <f t="shared" si="2"/>
        <v>2.2491455078125E-2</v>
      </c>
      <c r="H60" s="15"/>
      <c r="I60" s="15"/>
      <c r="K60" s="30">
        <f>IF(D60&gt;$N$16,1,0)</f>
        <v>0</v>
      </c>
      <c r="L60" s="30">
        <f>IF(Q16&lt;&gt;K60,1,0)</f>
        <v>1</v>
      </c>
      <c r="M60" s="50"/>
      <c r="N60" s="50"/>
      <c r="T60" s="17">
        <v>0.25634765625</v>
      </c>
      <c r="U60" s="15" t="s">
        <v>24</v>
      </c>
      <c r="V60" s="15"/>
      <c r="W60" s="15"/>
      <c r="X60" s="15"/>
      <c r="Y60" s="15"/>
    </row>
  </sheetData>
  <sortState ref="E11:E60">
    <sortCondition ref="E11:E60"/>
  </sortState>
  <pageMargins left="0.7" right="0.7" top="0.75" bottom="0.75" header="0.3" footer="0.3"/>
  <pageSetup paperSize="9" scale="68" orientation="portrait" r:id="rId1"/>
  <colBreaks count="2" manualBreakCount="2">
    <brk id="10" max="1048575" man="1"/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0"/>
  <sheetViews>
    <sheetView view="pageBreakPreview" zoomScale="60" zoomScaleNormal="71" workbookViewId="0">
      <selection activeCell="AF14" sqref="AF14"/>
    </sheetView>
  </sheetViews>
  <sheetFormatPr baseColWidth="10" defaultColWidth="9.140625" defaultRowHeight="15" x14ac:dyDescent="0.25"/>
  <cols>
    <col min="4" max="4" width="12.42578125" customWidth="1"/>
    <col min="5" max="5" width="16" customWidth="1"/>
    <col min="6" max="6" width="12" customWidth="1"/>
    <col min="7" max="7" width="11.28515625" customWidth="1"/>
    <col min="8" max="8" width="11.7109375" customWidth="1"/>
    <col min="9" max="9" width="12.28515625" customWidth="1"/>
    <col min="17" max="17" width="13.140625" customWidth="1"/>
    <col min="18" max="18" width="18.140625" customWidth="1"/>
    <col min="19" max="19" width="10.85546875" customWidth="1"/>
    <col min="20" max="20" width="11.85546875" customWidth="1"/>
    <col min="21" max="21" width="20.5703125" customWidth="1"/>
    <col min="22" max="22" width="20.42578125" customWidth="1"/>
    <col min="23" max="23" width="17.7109375" bestFit="1" customWidth="1"/>
    <col min="24" max="24" width="11.28515625" bestFit="1" customWidth="1"/>
    <col min="25" max="25" width="21.28515625" bestFit="1" customWidth="1"/>
    <col min="26" max="26" width="20.42578125" bestFit="1" customWidth="1"/>
    <col min="27" max="27" width="18.85546875" bestFit="1" customWidth="1"/>
  </cols>
  <sheetData>
    <row r="4" spans="1:26" x14ac:dyDescent="0.25">
      <c r="L4" t="s">
        <v>0</v>
      </c>
      <c r="Q4" s="15"/>
      <c r="R4" s="15"/>
      <c r="S4" s="15"/>
      <c r="T4" s="15"/>
      <c r="U4" s="15"/>
      <c r="V4" s="15"/>
      <c r="W4" s="15"/>
    </row>
    <row r="5" spans="1:26" x14ac:dyDescent="0.25">
      <c r="E5" s="4" t="s">
        <v>1</v>
      </c>
      <c r="K5" s="30"/>
      <c r="L5" s="44" t="str">
        <f>IF(AND(L7&gt;=K7,L7&lt;=M7),"No se rechaza Ho","Se Rechaza Ho")</f>
        <v>No se rechaza Ho</v>
      </c>
      <c r="M5" s="44"/>
      <c r="V5" s="4" t="s">
        <v>1</v>
      </c>
      <c r="X5" s="15"/>
      <c r="Y5" s="15"/>
      <c r="Z5" s="15"/>
    </row>
    <row r="6" spans="1:26" x14ac:dyDescent="0.25">
      <c r="E6" s="4" t="s">
        <v>3</v>
      </c>
      <c r="K6" s="43" t="s">
        <v>4</v>
      </c>
      <c r="L6" s="43" t="s">
        <v>5</v>
      </c>
      <c r="M6" s="43" t="s">
        <v>6</v>
      </c>
      <c r="V6" s="4" t="s">
        <v>3</v>
      </c>
      <c r="X6" s="15"/>
      <c r="Y6" s="15"/>
      <c r="Z6" s="15"/>
    </row>
    <row r="7" spans="1:26" x14ac:dyDescent="0.25">
      <c r="D7" s="11" t="s">
        <v>71</v>
      </c>
      <c r="E7" s="11" t="s">
        <v>57</v>
      </c>
      <c r="F7" s="11" t="s">
        <v>72</v>
      </c>
      <c r="K7" s="30">
        <f>N17*-1</f>
        <v>-1.96</v>
      </c>
      <c r="L7" s="30">
        <f>R19</f>
        <v>0.44081164972656012</v>
      </c>
      <c r="M7" s="30">
        <f>K7*-1</f>
        <v>1.96</v>
      </c>
      <c r="U7" s="11" t="s">
        <v>71</v>
      </c>
      <c r="V7" s="11" t="s">
        <v>57</v>
      </c>
      <c r="W7" s="11" t="s">
        <v>72</v>
      </c>
      <c r="X7" s="15"/>
      <c r="Y7" s="15"/>
      <c r="Z7" s="15"/>
    </row>
    <row r="8" spans="1:26" x14ac:dyDescent="0.25">
      <c r="U8" s="15"/>
      <c r="V8" s="15"/>
      <c r="W8" s="15"/>
      <c r="X8" s="15"/>
      <c r="Y8" s="15"/>
      <c r="Z8" s="15"/>
    </row>
    <row r="9" spans="1:26" x14ac:dyDescent="0.25">
      <c r="U9" s="15"/>
      <c r="V9" s="15"/>
      <c r="W9" s="15"/>
      <c r="X9" s="15"/>
      <c r="Y9" s="15"/>
      <c r="Z9" s="15"/>
    </row>
    <row r="10" spans="1:26" ht="60" x14ac:dyDescent="0.25">
      <c r="A10" s="12" t="s">
        <v>11</v>
      </c>
      <c r="C10" s="15"/>
      <c r="D10" s="15" t="s">
        <v>59</v>
      </c>
      <c r="E10" s="16" t="s">
        <v>60</v>
      </c>
      <c r="F10" s="16" t="s">
        <v>61</v>
      </c>
      <c r="G10" s="16" t="s">
        <v>15</v>
      </c>
      <c r="H10" s="16" t="s">
        <v>16</v>
      </c>
      <c r="I10" s="16" t="s">
        <v>17</v>
      </c>
      <c r="K10" s="52" t="s">
        <v>80</v>
      </c>
      <c r="L10" s="31" t="s">
        <v>18</v>
      </c>
      <c r="M10" s="49"/>
      <c r="U10" s="15" t="s">
        <v>19</v>
      </c>
      <c r="V10" s="15" t="s">
        <v>20</v>
      </c>
      <c r="W10" s="15" t="s">
        <v>21</v>
      </c>
      <c r="X10" s="15"/>
      <c r="Y10" s="15" t="s">
        <v>22</v>
      </c>
      <c r="Z10" s="15" t="s">
        <v>23</v>
      </c>
    </row>
    <row r="11" spans="1:26" x14ac:dyDescent="0.25">
      <c r="A11">
        <v>373</v>
      </c>
      <c r="C11" s="15">
        <v>1</v>
      </c>
      <c r="D11" s="17">
        <f>A11/32768</f>
        <v>1.1383056640625E-2</v>
      </c>
      <c r="E11" s="17">
        <v>4.33349609375E-3</v>
      </c>
      <c r="F11" s="15">
        <f>C11/50</f>
        <v>0.02</v>
      </c>
      <c r="G11" s="18">
        <f>ABS(E11-F11)</f>
        <v>1.566650390625E-2</v>
      </c>
      <c r="H11" s="18">
        <f>MAX(G11:G60)</f>
        <v>8.2806396484375044E-2</v>
      </c>
      <c r="I11" s="15">
        <v>0.188</v>
      </c>
      <c r="K11" s="30">
        <f>IF(D11&gt;$N$13,1,0)</f>
        <v>0</v>
      </c>
      <c r="L11" s="30">
        <f>K11</f>
        <v>0</v>
      </c>
      <c r="M11" s="50"/>
      <c r="U11" s="17">
        <v>1.1383056640625E-2</v>
      </c>
      <c r="V11" s="15" t="s">
        <v>24</v>
      </c>
      <c r="W11" s="15">
        <v>16</v>
      </c>
      <c r="X11" s="15" t="s">
        <v>25</v>
      </c>
      <c r="Y11" s="15">
        <v>15.120000000000001</v>
      </c>
      <c r="Z11" s="40">
        <f>ABS((W11-15.12)^2/15.12)</f>
        <v>5.1216931216931313E-2</v>
      </c>
    </row>
    <row r="12" spans="1:26" x14ac:dyDescent="0.25">
      <c r="A12">
        <v>10842</v>
      </c>
      <c r="C12" s="15">
        <v>2</v>
      </c>
      <c r="D12" s="17">
        <f t="shared" ref="D12:D60" si="0">A12/32768</f>
        <v>0.33087158203125</v>
      </c>
      <c r="E12" s="17">
        <v>1.1383056640625E-2</v>
      </c>
      <c r="F12" s="15">
        <f t="shared" ref="F12:F60" si="1">C12/50</f>
        <v>0.04</v>
      </c>
      <c r="G12" s="18">
        <f t="shared" ref="G12:G60" si="2">ABS(E12-F12)</f>
        <v>2.8616943359375001E-2</v>
      </c>
      <c r="H12" s="15"/>
      <c r="I12" s="15"/>
      <c r="K12" s="30">
        <f>IF(D12&gt;$N$13,1,0)</f>
        <v>0</v>
      </c>
      <c r="L12" s="30">
        <f>IF(K13&lt;&gt;K12,1,0)</f>
        <v>1</v>
      </c>
      <c r="M12" s="50"/>
      <c r="U12" s="17">
        <v>0.33087158203125</v>
      </c>
      <c r="V12" s="15" t="s">
        <v>24</v>
      </c>
      <c r="W12" s="15">
        <v>24</v>
      </c>
      <c r="X12" s="15" t="s">
        <v>27</v>
      </c>
      <c r="Y12" s="15">
        <v>25.2</v>
      </c>
      <c r="Z12" s="40">
        <f>ABS((W12-25.2)^2/25.2)</f>
        <v>5.7142857142857079E-2</v>
      </c>
    </row>
    <row r="13" spans="1:26" x14ac:dyDescent="0.25">
      <c r="A13">
        <v>19531</v>
      </c>
      <c r="C13" s="15">
        <v>3</v>
      </c>
      <c r="D13" s="17">
        <f t="shared" si="0"/>
        <v>0.596038818359375</v>
      </c>
      <c r="E13" s="17">
        <v>3.0670166015625E-2</v>
      </c>
      <c r="F13" s="15">
        <f t="shared" si="1"/>
        <v>0.06</v>
      </c>
      <c r="G13" s="18">
        <f t="shared" si="2"/>
        <v>2.9329833984374998E-2</v>
      </c>
      <c r="H13" s="15"/>
      <c r="I13" s="15"/>
      <c r="K13" s="30">
        <f>IF(D13&gt;$N$13,1,0)</f>
        <v>1</v>
      </c>
      <c r="L13" s="30">
        <f t="shared" ref="L13:L59" si="3">IF(K14&lt;&gt;K13,1,0)</f>
        <v>1</v>
      </c>
      <c r="M13" t="s">
        <v>38</v>
      </c>
      <c r="N13" s="13">
        <f>AVERAGE(D11:D60)</f>
        <v>0.47846130371093748</v>
      </c>
      <c r="Q13" t="s">
        <v>39</v>
      </c>
      <c r="R13" s="32">
        <f>SUM(L11:L60)</f>
        <v>27</v>
      </c>
      <c r="U13" s="17">
        <v>0.596038818359375</v>
      </c>
      <c r="V13" s="15" t="s">
        <v>26</v>
      </c>
      <c r="W13" s="15">
        <v>5</v>
      </c>
      <c r="X13" s="15" t="s">
        <v>28</v>
      </c>
      <c r="Y13" s="15">
        <v>5.4</v>
      </c>
      <c r="Z13" s="40">
        <f>ABS((W13-5.4)^2/5.4)</f>
        <v>2.9629629629629679E-2</v>
      </c>
    </row>
    <row r="14" spans="1:26" x14ac:dyDescent="0.25">
      <c r="A14">
        <v>9368</v>
      </c>
      <c r="C14" s="15">
        <v>4</v>
      </c>
      <c r="D14" s="17">
        <f t="shared" si="0"/>
        <v>0.285888671875</v>
      </c>
      <c r="E14" s="17">
        <v>7.89794921875E-2</v>
      </c>
      <c r="F14" s="15">
        <f t="shared" si="1"/>
        <v>0.08</v>
      </c>
      <c r="G14" s="18">
        <f t="shared" si="2"/>
        <v>1.0205078125000017E-3</v>
      </c>
      <c r="H14" s="15"/>
      <c r="I14" s="15"/>
      <c r="K14" s="30">
        <f>IF(D14&gt;$N$13,1,0)</f>
        <v>0</v>
      </c>
      <c r="L14" s="30">
        <f t="shared" si="3"/>
        <v>0</v>
      </c>
      <c r="M14" t="s">
        <v>40</v>
      </c>
      <c r="N14">
        <f>_xlfn.STDEV.S(D11:D60)</f>
        <v>0.27584951059096352</v>
      </c>
      <c r="O14" t="s">
        <v>41</v>
      </c>
      <c r="P14" t="s">
        <v>42</v>
      </c>
      <c r="Q14" s="50"/>
      <c r="R14" s="50"/>
      <c r="U14" s="17">
        <v>0.285888671875</v>
      </c>
      <c r="V14" s="15" t="s">
        <v>24</v>
      </c>
      <c r="W14" s="15">
        <v>4</v>
      </c>
      <c r="X14" s="15" t="s">
        <v>29</v>
      </c>
      <c r="Y14" s="15">
        <v>3.5999999999999996</v>
      </c>
      <c r="Z14" s="40">
        <f>ABS((W14-3.6)^2/3.6)</f>
        <v>4.4444444444444418E-2</v>
      </c>
    </row>
    <row r="15" spans="1:26" x14ac:dyDescent="0.25">
      <c r="A15">
        <v>9553</v>
      </c>
      <c r="C15" s="15">
        <v>5</v>
      </c>
      <c r="D15" s="17">
        <f t="shared" si="0"/>
        <v>0.291534423828125</v>
      </c>
      <c r="E15" s="17">
        <v>0.11041259765625</v>
      </c>
      <c r="F15" s="15">
        <f t="shared" si="1"/>
        <v>0.1</v>
      </c>
      <c r="G15" s="18">
        <f t="shared" si="2"/>
        <v>1.0412597656249994E-2</v>
      </c>
      <c r="H15" s="15"/>
      <c r="I15" s="15"/>
      <c r="K15" s="30">
        <f>IF(D15&gt;$N$13,1,0)</f>
        <v>0</v>
      </c>
      <c r="L15" s="30">
        <f t="shared" si="3"/>
        <v>0</v>
      </c>
      <c r="M15" s="27" t="s">
        <v>43</v>
      </c>
      <c r="N15">
        <v>0.05</v>
      </c>
      <c r="O15">
        <f>COUNTIF(K11:K60,1)</f>
        <v>24</v>
      </c>
      <c r="P15">
        <f>COUNTIF(K11:K60,0)</f>
        <v>26</v>
      </c>
      <c r="Q15" s="50"/>
      <c r="R15" s="50"/>
      <c r="U15" s="17">
        <v>0.291534423828125</v>
      </c>
      <c r="V15" s="15" t="s">
        <v>26</v>
      </c>
      <c r="W15" s="15">
        <v>1</v>
      </c>
      <c r="X15" s="15" t="s">
        <v>30</v>
      </c>
      <c r="Y15" s="15">
        <v>0.22499999999999998</v>
      </c>
      <c r="Z15" s="40">
        <f>ABS((W15-0.225)^2/0.225)</f>
        <v>2.6694444444444447</v>
      </c>
    </row>
    <row r="16" spans="1:26" x14ac:dyDescent="0.25">
      <c r="A16">
        <v>14918</v>
      </c>
      <c r="C16" s="15">
        <v>6</v>
      </c>
      <c r="D16" s="17">
        <f t="shared" si="0"/>
        <v>0.45526123046875</v>
      </c>
      <c r="E16" s="17">
        <v>0.126434326171875</v>
      </c>
      <c r="F16" s="15">
        <f t="shared" si="1"/>
        <v>0.12</v>
      </c>
      <c r="G16" s="18">
        <f t="shared" si="2"/>
        <v>6.4343261718750044E-3</v>
      </c>
      <c r="H16" s="15"/>
      <c r="I16" s="15"/>
      <c r="K16" s="30">
        <f>IF(D16&gt;$N$13,1,0)</f>
        <v>0</v>
      </c>
      <c r="L16" s="30">
        <f t="shared" si="3"/>
        <v>0</v>
      </c>
      <c r="M16" s="27" t="s">
        <v>44</v>
      </c>
      <c r="N16">
        <f>N15/2</f>
        <v>2.5000000000000001E-2</v>
      </c>
      <c r="U16" s="17">
        <v>0.45526123046875</v>
      </c>
      <c r="V16" s="15" t="s">
        <v>24</v>
      </c>
      <c r="W16" s="15">
        <v>0</v>
      </c>
      <c r="X16" s="15" t="s">
        <v>31</v>
      </c>
      <c r="Y16" s="15">
        <v>0.44999999999999996</v>
      </c>
      <c r="Z16" s="40">
        <f>ABS((W16-0.45)^2/0.45)</f>
        <v>0.45</v>
      </c>
    </row>
    <row r="17" spans="1:26" x14ac:dyDescent="0.25">
      <c r="A17">
        <v>6663</v>
      </c>
      <c r="C17" s="15">
        <v>7</v>
      </c>
      <c r="D17" s="17">
        <f t="shared" si="0"/>
        <v>0.203338623046875</v>
      </c>
      <c r="E17" s="17">
        <v>0.182708740234375</v>
      </c>
      <c r="F17" s="15">
        <f t="shared" si="1"/>
        <v>0.14000000000000001</v>
      </c>
      <c r="G17" s="18">
        <f t="shared" si="2"/>
        <v>4.2708740234374987E-2</v>
      </c>
      <c r="H17" s="15"/>
      <c r="I17" s="15"/>
      <c r="K17" s="30">
        <f>IF(D17&gt;$N$13,1,0)</f>
        <v>0</v>
      </c>
      <c r="L17" s="30">
        <f t="shared" si="3"/>
        <v>1</v>
      </c>
      <c r="M17" t="s">
        <v>6</v>
      </c>
      <c r="N17">
        <f>1.96</f>
        <v>1.96</v>
      </c>
      <c r="Q17" t="s">
        <v>45</v>
      </c>
      <c r="R17" s="33">
        <f>((2*O15*P15))/(O15+P15)+(1/2)</f>
        <v>25.46</v>
      </c>
      <c r="U17" s="17">
        <v>0.203338623046875</v>
      </c>
      <c r="V17" s="15" t="s">
        <v>24</v>
      </c>
      <c r="W17" s="15">
        <v>0</v>
      </c>
      <c r="X17" s="15" t="s">
        <v>32</v>
      </c>
      <c r="Y17" s="15">
        <v>5.0000000000000001E-3</v>
      </c>
      <c r="Z17" s="40">
        <f>ABS((W17-0.005)^2/0.005)</f>
        <v>5.0000000000000001E-3</v>
      </c>
    </row>
    <row r="18" spans="1:26" x14ac:dyDescent="0.25">
      <c r="A18">
        <v>29412</v>
      </c>
      <c r="C18" s="15">
        <v>8</v>
      </c>
      <c r="D18" s="17">
        <f t="shared" si="0"/>
        <v>0.8975830078125</v>
      </c>
      <c r="E18" s="17">
        <v>0.187255859375</v>
      </c>
      <c r="F18" s="15">
        <f t="shared" si="1"/>
        <v>0.16</v>
      </c>
      <c r="G18" s="18">
        <f t="shared" si="2"/>
        <v>2.7255859374999997E-2</v>
      </c>
      <c r="H18" s="15"/>
      <c r="I18" s="15"/>
      <c r="K18" s="30">
        <f>IF(D18&gt;$N$13,1,0)</f>
        <v>1</v>
      </c>
      <c r="L18" s="30">
        <f t="shared" si="3"/>
        <v>1</v>
      </c>
      <c r="Q18" t="s">
        <v>46</v>
      </c>
      <c r="R18">
        <f>(2*O15*P15*(2*O15*P15 -C60))/(C60*C60*(C60-1))</f>
        <v>12.204930612244898</v>
      </c>
      <c r="U18" s="17">
        <v>0.8975830078125</v>
      </c>
      <c r="V18" s="15" t="s">
        <v>24</v>
      </c>
      <c r="W18" s="15"/>
      <c r="X18" s="15"/>
      <c r="Y18" s="15"/>
      <c r="Z18" s="40"/>
    </row>
    <row r="19" spans="1:26" x14ac:dyDescent="0.25">
      <c r="A19">
        <v>1005</v>
      </c>
      <c r="C19" s="15">
        <v>9</v>
      </c>
      <c r="D19" s="17">
        <f t="shared" si="0"/>
        <v>3.0670166015625E-2</v>
      </c>
      <c r="E19" s="17">
        <v>0.189483642578125</v>
      </c>
      <c r="F19" s="15">
        <f t="shared" si="1"/>
        <v>0.18</v>
      </c>
      <c r="G19" s="18">
        <f t="shared" si="2"/>
        <v>9.4836425781250067E-3</v>
      </c>
      <c r="H19" s="15"/>
      <c r="I19" s="15"/>
      <c r="K19" s="30">
        <f>IF(D19&gt;$N$13,1,0)</f>
        <v>0</v>
      </c>
      <c r="L19" s="30">
        <f t="shared" si="3"/>
        <v>1</v>
      </c>
      <c r="Q19" t="s">
        <v>5</v>
      </c>
      <c r="R19">
        <f>(R13-R17)/SQRT(R18)</f>
        <v>0.44081164972656012</v>
      </c>
      <c r="U19" s="17">
        <v>3.0670166015625E-2</v>
      </c>
      <c r="V19" s="15" t="s">
        <v>24</v>
      </c>
      <c r="W19" s="15"/>
      <c r="X19" s="15"/>
      <c r="Y19" s="15" t="s">
        <v>33</v>
      </c>
      <c r="Z19" s="40">
        <f>SUM(Z11:Z17)</f>
        <v>3.3068783068783074</v>
      </c>
    </row>
    <row r="20" spans="1:26" x14ac:dyDescent="0.25">
      <c r="A20">
        <v>29170</v>
      </c>
      <c r="C20" s="15">
        <v>10</v>
      </c>
      <c r="D20" s="17">
        <f t="shared" si="0"/>
        <v>0.89019775390625</v>
      </c>
      <c r="E20" s="17">
        <v>0.202728271484375</v>
      </c>
      <c r="F20" s="15">
        <f t="shared" si="1"/>
        <v>0.2</v>
      </c>
      <c r="G20" s="18">
        <f t="shared" si="2"/>
        <v>2.7282714843749889E-3</v>
      </c>
      <c r="H20" s="15"/>
      <c r="I20" s="15"/>
      <c r="K20" s="30">
        <f>IF(D20&gt;$N$13,1,0)</f>
        <v>1</v>
      </c>
      <c r="L20" s="30">
        <f t="shared" si="3"/>
        <v>0</v>
      </c>
      <c r="M20" s="50"/>
      <c r="U20" s="17">
        <v>0.89019775390625</v>
      </c>
      <c r="V20" s="15" t="s">
        <v>24</v>
      </c>
      <c r="W20" s="15"/>
      <c r="X20" s="15"/>
      <c r="Y20" s="15" t="s">
        <v>34</v>
      </c>
      <c r="Z20" s="48">
        <v>12.59</v>
      </c>
    </row>
    <row r="21" spans="1:26" x14ac:dyDescent="0.25">
      <c r="A21">
        <v>26755</v>
      </c>
      <c r="C21" s="15">
        <v>11</v>
      </c>
      <c r="D21" s="17">
        <f t="shared" si="0"/>
        <v>0.816497802734375</v>
      </c>
      <c r="E21" s="17">
        <v>0.203338623046875</v>
      </c>
      <c r="F21" s="15">
        <f t="shared" si="1"/>
        <v>0.22</v>
      </c>
      <c r="G21" s="18">
        <f t="shared" si="2"/>
        <v>1.6661376953125001E-2</v>
      </c>
      <c r="H21" s="15"/>
      <c r="I21" s="15"/>
      <c r="K21" s="30">
        <f>IF(D21&gt;$N$13,1,0)</f>
        <v>1</v>
      </c>
      <c r="L21" s="30">
        <f t="shared" si="3"/>
        <v>0</v>
      </c>
      <c r="M21" s="50"/>
      <c r="U21" s="17">
        <v>0.816497802734375</v>
      </c>
      <c r="V21" s="15" t="s">
        <v>26</v>
      </c>
      <c r="W21" s="15"/>
      <c r="X21" s="15"/>
      <c r="Y21" s="15"/>
      <c r="Z21" s="15"/>
    </row>
    <row r="22" spans="1:26" x14ac:dyDescent="0.25">
      <c r="A22">
        <v>22256</v>
      </c>
      <c r="C22" s="15">
        <v>12</v>
      </c>
      <c r="D22" s="17">
        <f t="shared" si="0"/>
        <v>0.67919921875</v>
      </c>
      <c r="E22" s="17">
        <v>0.22943115234375</v>
      </c>
      <c r="F22" s="15">
        <f t="shared" si="1"/>
        <v>0.24</v>
      </c>
      <c r="G22" s="18">
        <f t="shared" si="2"/>
        <v>1.0568847656249991E-2</v>
      </c>
      <c r="H22" s="15"/>
      <c r="I22" s="15"/>
      <c r="K22" s="30">
        <f>IF(D22&gt;$N$13,1,0)</f>
        <v>1</v>
      </c>
      <c r="L22" s="30">
        <f t="shared" si="3"/>
        <v>0</v>
      </c>
      <c r="M22" s="50"/>
      <c r="U22" s="17">
        <v>0.67919921875</v>
      </c>
      <c r="V22" s="15" t="s">
        <v>26</v>
      </c>
      <c r="W22" s="15"/>
      <c r="X22" s="15"/>
      <c r="Y22" s="15"/>
      <c r="Z22" s="15"/>
    </row>
    <row r="23" spans="1:26" x14ac:dyDescent="0.25">
      <c r="A23">
        <v>22857</v>
      </c>
      <c r="C23" s="15">
        <v>13</v>
      </c>
      <c r="D23" s="17">
        <f t="shared" si="0"/>
        <v>0.697540283203125</v>
      </c>
      <c r="E23" s="17">
        <v>0.260894775390625</v>
      </c>
      <c r="F23" s="15">
        <f t="shared" si="1"/>
        <v>0.26</v>
      </c>
      <c r="G23" s="18">
        <f t="shared" si="2"/>
        <v>8.9477539062499112E-4</v>
      </c>
      <c r="H23" s="15"/>
      <c r="I23" s="15"/>
      <c r="K23" s="30">
        <f>IF(D23&gt;$N$13,1,0)</f>
        <v>1</v>
      </c>
      <c r="L23" s="30">
        <f t="shared" si="3"/>
        <v>1</v>
      </c>
      <c r="M23" s="50"/>
      <c r="U23" s="17">
        <v>0.697540283203125</v>
      </c>
      <c r="V23" s="15" t="s">
        <v>26</v>
      </c>
      <c r="W23" s="15"/>
      <c r="X23" s="15"/>
      <c r="Y23" s="15"/>
      <c r="Z23" s="15"/>
    </row>
    <row r="24" spans="1:26" x14ac:dyDescent="0.25">
      <c r="A24">
        <v>7518</v>
      </c>
      <c r="C24" s="15">
        <v>14</v>
      </c>
      <c r="D24" s="17">
        <f t="shared" si="0"/>
        <v>0.22943115234375</v>
      </c>
      <c r="E24" s="17">
        <v>0.27130126953125</v>
      </c>
      <c r="F24" s="15">
        <f t="shared" si="1"/>
        <v>0.28000000000000003</v>
      </c>
      <c r="G24" s="18">
        <f t="shared" si="2"/>
        <v>8.6987304687500266E-3</v>
      </c>
      <c r="H24" s="15"/>
      <c r="I24" s="15"/>
      <c r="K24" s="30">
        <f>IF(D24&gt;$N$13,1,0)</f>
        <v>0</v>
      </c>
      <c r="L24" s="30">
        <f t="shared" si="3"/>
        <v>1</v>
      </c>
      <c r="M24" s="50"/>
      <c r="U24" s="17">
        <v>0.22943115234375</v>
      </c>
      <c r="V24" s="15" t="s">
        <v>24</v>
      </c>
      <c r="W24" s="15"/>
      <c r="X24" s="15"/>
      <c r="Y24" s="15"/>
      <c r="Z24" s="15"/>
    </row>
    <row r="25" spans="1:26" x14ac:dyDescent="0.25">
      <c r="A25">
        <v>21439</v>
      </c>
      <c r="C25" s="15">
        <v>15</v>
      </c>
      <c r="D25" s="17">
        <f t="shared" si="0"/>
        <v>0.654266357421875</v>
      </c>
      <c r="E25" s="17">
        <v>0.285888671875</v>
      </c>
      <c r="F25" s="15">
        <f t="shared" si="1"/>
        <v>0.3</v>
      </c>
      <c r="G25" s="18">
        <f t="shared" si="2"/>
        <v>1.4111328124999989E-2</v>
      </c>
      <c r="H25" s="15"/>
      <c r="I25" s="15"/>
      <c r="K25" s="30">
        <f>IF(D25&gt;$N$13,1,0)</f>
        <v>1</v>
      </c>
      <c r="L25" s="30">
        <f t="shared" si="3"/>
        <v>0</v>
      </c>
      <c r="M25" s="50"/>
      <c r="U25" s="17">
        <v>0.654266357421875</v>
      </c>
      <c r="V25" s="15" t="s">
        <v>26</v>
      </c>
      <c r="W25" s="15"/>
      <c r="X25" s="15"/>
      <c r="Y25" s="15"/>
      <c r="Z25" s="15"/>
    </row>
    <row r="26" spans="1:26" x14ac:dyDescent="0.25">
      <c r="A26">
        <v>31932</v>
      </c>
      <c r="C26" s="15">
        <v>16</v>
      </c>
      <c r="D26" s="17">
        <f t="shared" si="0"/>
        <v>0.9744873046875</v>
      </c>
      <c r="E26" s="17">
        <v>0.291168212890625</v>
      </c>
      <c r="F26" s="15">
        <f t="shared" si="1"/>
        <v>0.32</v>
      </c>
      <c r="G26" s="18">
        <f t="shared" si="2"/>
        <v>2.8831787109375007E-2</v>
      </c>
      <c r="H26" s="15"/>
      <c r="I26" s="15"/>
      <c r="K26" s="30">
        <f>IF(D26&gt;$N$13,1,0)</f>
        <v>1</v>
      </c>
      <c r="L26" s="30">
        <f t="shared" si="3"/>
        <v>1</v>
      </c>
      <c r="M26" s="50"/>
      <c r="U26" s="17">
        <v>0.9744873046875</v>
      </c>
      <c r="V26" s="15" t="s">
        <v>24</v>
      </c>
      <c r="W26" s="15"/>
      <c r="X26" s="15"/>
      <c r="Y26" s="15"/>
      <c r="Z26" s="15"/>
    </row>
    <row r="27" spans="1:26" x14ac:dyDescent="0.25">
      <c r="A27">
        <v>8549</v>
      </c>
      <c r="C27" s="15">
        <v>17</v>
      </c>
      <c r="D27" s="17">
        <f t="shared" si="0"/>
        <v>0.260894775390625</v>
      </c>
      <c r="E27" s="17">
        <v>0.291534423828125</v>
      </c>
      <c r="F27" s="15">
        <f t="shared" si="1"/>
        <v>0.34</v>
      </c>
      <c r="G27" s="18">
        <f t="shared" si="2"/>
        <v>4.8465576171875024E-2</v>
      </c>
      <c r="H27" s="15"/>
      <c r="I27" s="15"/>
      <c r="K27" s="30">
        <f>IF(D27&gt;$N$13,1,0)</f>
        <v>0</v>
      </c>
      <c r="L27" s="30">
        <f t="shared" si="3"/>
        <v>1</v>
      </c>
      <c r="M27" s="50"/>
      <c r="U27" s="17">
        <v>0.260894775390625</v>
      </c>
      <c r="V27" s="15" t="s">
        <v>26</v>
      </c>
      <c r="W27" s="15"/>
      <c r="X27" s="15"/>
      <c r="Y27" s="15"/>
      <c r="Z27" s="15"/>
    </row>
    <row r="28" spans="1:26" x14ac:dyDescent="0.25">
      <c r="A28">
        <v>18570</v>
      </c>
      <c r="C28" s="15">
        <v>18</v>
      </c>
      <c r="D28" s="17">
        <f t="shared" si="0"/>
        <v>0.56671142578125</v>
      </c>
      <c r="E28" s="17">
        <v>0.29931640625</v>
      </c>
      <c r="F28" s="15">
        <f t="shared" si="1"/>
        <v>0.36</v>
      </c>
      <c r="G28" s="18">
        <f t="shared" si="2"/>
        <v>6.0683593749999987E-2</v>
      </c>
      <c r="H28" s="15"/>
      <c r="I28" s="15"/>
      <c r="K28" s="30">
        <f>IF(D28&gt;$N$13,1,0)</f>
        <v>1</v>
      </c>
      <c r="L28" s="30">
        <f t="shared" si="3"/>
        <v>1</v>
      </c>
      <c r="M28" s="50"/>
      <c r="U28" s="17">
        <v>0.56671142578125</v>
      </c>
      <c r="V28" s="15" t="s">
        <v>24</v>
      </c>
      <c r="W28" s="15"/>
      <c r="X28" s="15"/>
      <c r="Y28" s="15"/>
      <c r="Z28" s="15"/>
    </row>
    <row r="29" spans="1:26" x14ac:dyDescent="0.25">
      <c r="A29">
        <v>14267</v>
      </c>
      <c r="C29" s="15">
        <v>19</v>
      </c>
      <c r="D29" s="17">
        <f t="shared" si="0"/>
        <v>0.435394287109375</v>
      </c>
      <c r="E29" s="17">
        <v>0.33087158203125</v>
      </c>
      <c r="F29" s="15">
        <f t="shared" si="1"/>
        <v>0.38</v>
      </c>
      <c r="G29" s="18">
        <f t="shared" si="2"/>
        <v>4.9128417968750004E-2</v>
      </c>
      <c r="H29" s="15"/>
      <c r="I29" s="15"/>
      <c r="K29" s="30">
        <f>IF(D29&gt;$N$13,1,0)</f>
        <v>0</v>
      </c>
      <c r="L29" s="30">
        <f t="shared" si="3"/>
        <v>1</v>
      </c>
      <c r="M29" s="50"/>
      <c r="U29" s="17">
        <v>0.435394287109375</v>
      </c>
      <c r="V29" s="15" t="s">
        <v>24</v>
      </c>
      <c r="W29" s="15"/>
      <c r="X29" s="15"/>
      <c r="Y29" s="15"/>
      <c r="Z29" s="15"/>
    </row>
    <row r="30" spans="1:26" x14ac:dyDescent="0.25">
      <c r="A30">
        <v>20552</v>
      </c>
      <c r="C30" s="15">
        <v>20</v>
      </c>
      <c r="D30" s="17">
        <f t="shared" si="0"/>
        <v>0.627197265625</v>
      </c>
      <c r="E30" s="17">
        <v>0.354156494140625</v>
      </c>
      <c r="F30" s="15">
        <f t="shared" si="1"/>
        <v>0.4</v>
      </c>
      <c r="G30" s="18">
        <f t="shared" si="2"/>
        <v>4.5843505859375022E-2</v>
      </c>
      <c r="H30" s="15"/>
      <c r="I30" s="15"/>
      <c r="K30" s="30">
        <f>IF(D30&gt;$N$13,1,0)</f>
        <v>1</v>
      </c>
      <c r="L30" s="30">
        <f t="shared" si="3"/>
        <v>1</v>
      </c>
      <c r="M30" s="50"/>
      <c r="U30" s="17">
        <v>0.627197265625</v>
      </c>
      <c r="V30" s="15" t="s">
        <v>24</v>
      </c>
      <c r="W30" s="15"/>
      <c r="X30" s="15"/>
      <c r="Y30" s="15"/>
      <c r="Z30" s="15"/>
    </row>
    <row r="31" spans="1:26" x14ac:dyDescent="0.25">
      <c r="A31">
        <v>6209</v>
      </c>
      <c r="C31" s="15">
        <v>21</v>
      </c>
      <c r="D31" s="17">
        <f t="shared" si="0"/>
        <v>0.189483642578125</v>
      </c>
      <c r="E31" s="17">
        <v>0.378631591796875</v>
      </c>
      <c r="F31" s="15">
        <f t="shared" si="1"/>
        <v>0.42</v>
      </c>
      <c r="G31" s="18">
        <f t="shared" si="2"/>
        <v>4.1368408203124984E-2</v>
      </c>
      <c r="H31" s="15"/>
      <c r="I31" s="15"/>
      <c r="K31" s="30">
        <f>IF(D31&gt;$N$13,1,0)</f>
        <v>0</v>
      </c>
      <c r="L31" s="30">
        <f t="shared" si="3"/>
        <v>1</v>
      </c>
      <c r="M31" s="50"/>
      <c r="U31" s="17">
        <v>0.189483642578125</v>
      </c>
      <c r="V31" s="15" t="s">
        <v>24</v>
      </c>
      <c r="W31" s="15"/>
      <c r="X31" s="15"/>
      <c r="Y31" s="15"/>
      <c r="Z31" s="15"/>
    </row>
    <row r="32" spans="1:26" x14ac:dyDescent="0.25">
      <c r="A32">
        <v>16246</v>
      </c>
      <c r="C32" s="15">
        <v>22</v>
      </c>
      <c r="D32" s="17">
        <f t="shared" si="0"/>
        <v>0.49578857421875</v>
      </c>
      <c r="E32" s="17">
        <v>0.431182861328125</v>
      </c>
      <c r="F32" s="15">
        <f t="shared" si="1"/>
        <v>0.44</v>
      </c>
      <c r="G32" s="18">
        <f t="shared" si="2"/>
        <v>8.8171386718750022E-3</v>
      </c>
      <c r="H32" s="15"/>
      <c r="I32" s="15"/>
      <c r="K32" s="30">
        <f>IF(D32&gt;$N$13,1,0)</f>
        <v>1</v>
      </c>
      <c r="L32" s="30">
        <f t="shared" si="3"/>
        <v>1</v>
      </c>
      <c r="M32" s="50"/>
      <c r="U32" s="17">
        <v>0.49578857421875</v>
      </c>
      <c r="V32" s="15" t="s">
        <v>24</v>
      </c>
      <c r="W32" s="15"/>
      <c r="X32" s="15"/>
      <c r="Y32" s="15"/>
      <c r="Z32" s="15"/>
    </row>
    <row r="33" spans="1:26" x14ac:dyDescent="0.25">
      <c r="A33">
        <v>12407</v>
      </c>
      <c r="C33" s="15">
        <v>23</v>
      </c>
      <c r="D33" s="17">
        <f t="shared" si="0"/>
        <v>0.378631591796875</v>
      </c>
      <c r="E33" s="17">
        <v>0.435394287109375</v>
      </c>
      <c r="F33" s="15">
        <f t="shared" si="1"/>
        <v>0.46</v>
      </c>
      <c r="G33" s="18">
        <f t="shared" si="2"/>
        <v>2.460571289062502E-2</v>
      </c>
      <c r="H33" s="15"/>
      <c r="I33" s="15"/>
      <c r="K33" s="30">
        <f>IF(D33&gt;$N$13,1,0)</f>
        <v>0</v>
      </c>
      <c r="L33" s="30">
        <f t="shared" si="3"/>
        <v>1</v>
      </c>
      <c r="M33" s="50"/>
      <c r="U33" s="17">
        <v>0.378631591796875</v>
      </c>
      <c r="V33" s="15" t="s">
        <v>24</v>
      </c>
      <c r="W33" s="15"/>
      <c r="X33" s="15"/>
      <c r="Y33" s="15"/>
      <c r="Z33" s="15"/>
    </row>
    <row r="34" spans="1:26" x14ac:dyDescent="0.25">
      <c r="A34">
        <v>32148</v>
      </c>
      <c r="C34" s="15">
        <v>24</v>
      </c>
      <c r="D34" s="17">
        <f t="shared" si="0"/>
        <v>0.9810791015625</v>
      </c>
      <c r="E34" s="17">
        <v>0.44464111328125</v>
      </c>
      <c r="F34" s="15">
        <f t="shared" si="1"/>
        <v>0.48</v>
      </c>
      <c r="G34" s="18">
        <f t="shared" si="2"/>
        <v>3.5358886718749982E-2</v>
      </c>
      <c r="H34" s="15"/>
      <c r="I34" s="15"/>
      <c r="K34" s="30">
        <f>IF(D34&gt;$N$13,1,0)</f>
        <v>1</v>
      </c>
      <c r="L34" s="30">
        <f t="shared" si="3"/>
        <v>1</v>
      </c>
      <c r="M34" s="50"/>
      <c r="U34" s="17">
        <v>0.9810791015625</v>
      </c>
      <c r="V34" s="15" t="s">
        <v>24</v>
      </c>
      <c r="W34" s="15"/>
      <c r="X34" s="15"/>
      <c r="Y34" s="15"/>
      <c r="Z34" s="15"/>
    </row>
    <row r="35" spans="1:26" x14ac:dyDescent="0.25">
      <c r="A35">
        <v>14813</v>
      </c>
      <c r="C35" s="15">
        <v>25</v>
      </c>
      <c r="D35" s="17">
        <f t="shared" si="0"/>
        <v>0.452056884765625</v>
      </c>
      <c r="E35" s="17">
        <v>0.452056884765625</v>
      </c>
      <c r="F35" s="15">
        <f t="shared" si="1"/>
        <v>0.5</v>
      </c>
      <c r="G35" s="18">
        <f t="shared" si="2"/>
        <v>4.7943115234375E-2</v>
      </c>
      <c r="H35" s="15"/>
      <c r="I35" s="15"/>
      <c r="K35" s="30">
        <f>IF(D35&gt;$N$13,1,0)</f>
        <v>0</v>
      </c>
      <c r="L35" s="30">
        <f t="shared" si="3"/>
        <v>0</v>
      </c>
      <c r="M35" s="50"/>
      <c r="U35" s="17">
        <v>0.452056884765625</v>
      </c>
      <c r="V35" s="15" t="s">
        <v>26</v>
      </c>
      <c r="W35" s="15"/>
      <c r="X35" s="15"/>
      <c r="Y35" s="15"/>
      <c r="Z35" s="15"/>
    </row>
    <row r="36" spans="1:26" x14ac:dyDescent="0.25">
      <c r="A36">
        <v>3618</v>
      </c>
      <c r="C36" s="15">
        <v>26</v>
      </c>
      <c r="D36" s="17">
        <f t="shared" si="0"/>
        <v>0.11041259765625</v>
      </c>
      <c r="E36" s="17">
        <v>0.45526123046875</v>
      </c>
      <c r="F36" s="15">
        <f t="shared" si="1"/>
        <v>0.52</v>
      </c>
      <c r="G36" s="18">
        <f t="shared" si="2"/>
        <v>6.4738769531250018E-2</v>
      </c>
      <c r="H36" s="15"/>
      <c r="I36" s="15"/>
      <c r="K36" s="30">
        <f>IF(D36&gt;$N$13,1,0)</f>
        <v>0</v>
      </c>
      <c r="L36" s="30">
        <f t="shared" si="3"/>
        <v>0</v>
      </c>
      <c r="M36" s="50"/>
      <c r="U36" s="17">
        <v>0.11041259765625</v>
      </c>
      <c r="V36" s="15" t="s">
        <v>35</v>
      </c>
      <c r="W36" s="15"/>
      <c r="X36" s="15"/>
      <c r="Y36" s="15"/>
      <c r="Z36" s="15"/>
    </row>
    <row r="37" spans="1:26" x14ac:dyDescent="0.25">
      <c r="A37">
        <v>6643</v>
      </c>
      <c r="C37" s="15">
        <v>27</v>
      </c>
      <c r="D37" s="17">
        <f t="shared" si="0"/>
        <v>0.202728271484375</v>
      </c>
      <c r="E37" s="17">
        <v>0.49578857421875</v>
      </c>
      <c r="F37" s="15">
        <f t="shared" si="1"/>
        <v>0.54</v>
      </c>
      <c r="G37" s="18">
        <f t="shared" si="2"/>
        <v>4.4211425781250036E-2</v>
      </c>
      <c r="H37" s="15"/>
      <c r="I37" s="15"/>
      <c r="K37" s="30">
        <f>IF(D37&gt;$N$13,1,0)</f>
        <v>0</v>
      </c>
      <c r="L37" s="30">
        <f t="shared" si="3"/>
        <v>1</v>
      </c>
      <c r="M37" s="50"/>
      <c r="U37" s="17">
        <v>0.202728271484375</v>
      </c>
      <c r="V37" s="15" t="s">
        <v>24</v>
      </c>
      <c r="W37" s="15"/>
      <c r="X37" s="15"/>
      <c r="Y37" s="15"/>
      <c r="Z37" s="15"/>
    </row>
    <row r="38" spans="1:26" x14ac:dyDescent="0.25">
      <c r="A38">
        <v>28832</v>
      </c>
      <c r="C38" s="15">
        <v>28</v>
      </c>
      <c r="D38" s="17">
        <f t="shared" si="0"/>
        <v>0.8798828125</v>
      </c>
      <c r="E38" s="17">
        <v>0.50506591796875</v>
      </c>
      <c r="F38" s="15">
        <f t="shared" si="1"/>
        <v>0.56000000000000005</v>
      </c>
      <c r="G38" s="18">
        <f t="shared" si="2"/>
        <v>5.4934082031250053E-2</v>
      </c>
      <c r="H38" s="15"/>
      <c r="I38" s="15"/>
      <c r="K38" s="30">
        <f>IF(D38&gt;$N$13,1,0)</f>
        <v>1</v>
      </c>
      <c r="L38" s="30">
        <f t="shared" si="3"/>
        <v>0</v>
      </c>
      <c r="M38" s="50"/>
      <c r="U38" s="17">
        <v>0.8798828125</v>
      </c>
      <c r="V38" s="15" t="s">
        <v>35</v>
      </c>
      <c r="W38" s="15"/>
      <c r="X38" s="15"/>
      <c r="Y38" s="15"/>
      <c r="Z38" s="15"/>
    </row>
    <row r="39" spans="1:26" x14ac:dyDescent="0.25">
      <c r="A39">
        <v>16953</v>
      </c>
      <c r="C39" s="15">
        <v>29</v>
      </c>
      <c r="D39" s="17">
        <f t="shared" si="0"/>
        <v>0.517364501953125</v>
      </c>
      <c r="E39" s="17">
        <v>0.517364501953125</v>
      </c>
      <c r="F39" s="15">
        <f t="shared" si="1"/>
        <v>0.57999999999999996</v>
      </c>
      <c r="G39" s="18">
        <f t="shared" si="2"/>
        <v>6.263549804687496E-2</v>
      </c>
      <c r="H39" s="15"/>
      <c r="I39" s="15"/>
      <c r="K39" s="30">
        <f>IF(D39&gt;$N$13,1,0)</f>
        <v>1</v>
      </c>
      <c r="L39" s="30">
        <f t="shared" si="3"/>
        <v>1</v>
      </c>
      <c r="M39" s="50"/>
      <c r="U39" s="17">
        <v>0.517364501953125</v>
      </c>
      <c r="V39" s="15" t="s">
        <v>26</v>
      </c>
      <c r="W39" s="15"/>
      <c r="X39" s="15"/>
      <c r="Y39" s="15"/>
      <c r="Z39" s="15"/>
    </row>
    <row r="40" spans="1:26" x14ac:dyDescent="0.25">
      <c r="A40">
        <v>142</v>
      </c>
      <c r="C40" s="15">
        <v>30</v>
      </c>
      <c r="D40" s="17">
        <f t="shared" si="0"/>
        <v>4.33349609375E-3</v>
      </c>
      <c r="E40" s="17">
        <v>0.56671142578125</v>
      </c>
      <c r="F40" s="15">
        <f t="shared" si="1"/>
        <v>0.6</v>
      </c>
      <c r="G40" s="18">
        <f t="shared" si="2"/>
        <v>3.3288574218749978E-2</v>
      </c>
      <c r="H40" s="15"/>
      <c r="I40" s="15"/>
      <c r="K40" s="30">
        <f>IF(D40&gt;$N$13,1,0)</f>
        <v>0</v>
      </c>
      <c r="L40" s="30">
        <f t="shared" si="3"/>
        <v>0</v>
      </c>
      <c r="M40" s="50"/>
      <c r="U40" s="17">
        <v>4.33349609375E-3</v>
      </c>
      <c r="V40" s="15" t="s">
        <v>37</v>
      </c>
      <c r="W40" s="15"/>
      <c r="X40" s="15"/>
      <c r="Y40" s="15"/>
      <c r="Z40" s="15"/>
    </row>
    <row r="41" spans="1:26" x14ac:dyDescent="0.25">
      <c r="A41">
        <v>4143</v>
      </c>
      <c r="C41" s="15">
        <v>31</v>
      </c>
      <c r="D41" s="17">
        <f t="shared" si="0"/>
        <v>0.126434326171875</v>
      </c>
      <c r="E41" s="17">
        <v>0.596038818359375</v>
      </c>
      <c r="F41" s="15">
        <f t="shared" si="1"/>
        <v>0.62</v>
      </c>
      <c r="G41" s="18">
        <f t="shared" si="2"/>
        <v>2.3961181640624996E-2</v>
      </c>
      <c r="H41" s="15"/>
      <c r="I41" s="15"/>
      <c r="K41" s="30">
        <f>IF(D41&gt;$N$13,1,0)</f>
        <v>0</v>
      </c>
      <c r="L41" s="30">
        <f t="shared" si="3"/>
        <v>1</v>
      </c>
      <c r="M41" s="50"/>
      <c r="U41" s="17">
        <v>0.126434326171875</v>
      </c>
      <c r="V41" s="15" t="s">
        <v>26</v>
      </c>
      <c r="W41" s="15"/>
      <c r="X41" s="15"/>
      <c r="Y41" s="15"/>
      <c r="Z41" s="15"/>
    </row>
    <row r="42" spans="1:26" x14ac:dyDescent="0.25">
      <c r="A42">
        <v>21868</v>
      </c>
      <c r="C42" s="15">
        <v>32</v>
      </c>
      <c r="D42" s="17">
        <f t="shared" si="0"/>
        <v>0.6673583984375</v>
      </c>
      <c r="E42" s="17">
        <v>0.627197265625</v>
      </c>
      <c r="F42" s="15">
        <f t="shared" si="1"/>
        <v>0.64</v>
      </c>
      <c r="G42" s="18">
        <f t="shared" si="2"/>
        <v>1.2802734375000013E-2</v>
      </c>
      <c r="H42" s="15"/>
      <c r="I42" s="15"/>
      <c r="K42" s="30">
        <f>IF(D42&gt;$N$13,1,0)</f>
        <v>1</v>
      </c>
      <c r="L42" s="30">
        <f t="shared" si="3"/>
        <v>1</v>
      </c>
      <c r="M42" s="50"/>
      <c r="U42" s="17">
        <v>0.6673583984375</v>
      </c>
      <c r="V42" s="15" t="s">
        <v>35</v>
      </c>
      <c r="W42" s="15"/>
      <c r="X42" s="15"/>
      <c r="Y42" s="15"/>
      <c r="Z42" s="15"/>
    </row>
    <row r="43" spans="1:26" x14ac:dyDescent="0.25">
      <c r="A43">
        <v>11605</v>
      </c>
      <c r="C43" s="15">
        <v>33</v>
      </c>
      <c r="D43" s="17">
        <f t="shared" si="0"/>
        <v>0.354156494140625</v>
      </c>
      <c r="E43" s="17">
        <v>0.647674560546875</v>
      </c>
      <c r="F43" s="15">
        <f t="shared" si="1"/>
        <v>0.66</v>
      </c>
      <c r="G43" s="18">
        <f t="shared" si="2"/>
        <v>1.2325439453125031E-2</v>
      </c>
      <c r="H43" s="15"/>
      <c r="I43" s="15"/>
      <c r="K43" s="30">
        <f>IF(D43&gt;$N$13,1,0)</f>
        <v>0</v>
      </c>
      <c r="L43" s="30">
        <f t="shared" si="3"/>
        <v>0</v>
      </c>
      <c r="M43" s="50"/>
      <c r="U43" s="17">
        <v>0.354156494140625</v>
      </c>
      <c r="V43" s="15" t="s">
        <v>26</v>
      </c>
      <c r="W43" s="15"/>
      <c r="X43" s="15"/>
      <c r="Y43" s="15"/>
      <c r="Z43" s="15"/>
    </row>
    <row r="44" spans="1:26" x14ac:dyDescent="0.25">
      <c r="A44">
        <v>8890</v>
      </c>
      <c r="C44" s="15">
        <v>34</v>
      </c>
      <c r="D44" s="17">
        <f t="shared" si="0"/>
        <v>0.27130126953125</v>
      </c>
      <c r="E44" s="17">
        <v>0.654266357421875</v>
      </c>
      <c r="F44" s="15">
        <f t="shared" si="1"/>
        <v>0.68</v>
      </c>
      <c r="G44" s="18">
        <f t="shared" si="2"/>
        <v>2.5733642578125049E-2</v>
      </c>
      <c r="H44" s="15"/>
      <c r="I44" s="15"/>
      <c r="K44" s="30">
        <f>IF(D44&gt;$N$13,1,0)</f>
        <v>0</v>
      </c>
      <c r="L44" s="30">
        <f t="shared" si="3"/>
        <v>1</v>
      </c>
      <c r="M44" s="50"/>
      <c r="U44" s="17">
        <v>0.27130126953125</v>
      </c>
      <c r="V44" s="15" t="s">
        <v>26</v>
      </c>
      <c r="W44" s="15"/>
      <c r="X44" s="15"/>
      <c r="Y44" s="15"/>
      <c r="Z44" s="15"/>
    </row>
    <row r="45" spans="1:26" x14ac:dyDescent="0.25">
      <c r="A45">
        <v>28459</v>
      </c>
      <c r="C45" s="15">
        <v>35</v>
      </c>
      <c r="D45" s="17">
        <f t="shared" si="0"/>
        <v>0.868499755859375</v>
      </c>
      <c r="E45" s="17">
        <v>0.6673583984375</v>
      </c>
      <c r="F45" s="15">
        <f t="shared" si="1"/>
        <v>0.7</v>
      </c>
      <c r="G45" s="18">
        <f t="shared" si="2"/>
        <v>3.2641601562499956E-2</v>
      </c>
      <c r="H45" s="15"/>
      <c r="I45" s="15"/>
      <c r="K45" s="30">
        <f>IF(D45&gt;$N$13,1,0)</f>
        <v>1</v>
      </c>
      <c r="L45" s="30">
        <f t="shared" si="3"/>
        <v>1</v>
      </c>
      <c r="M45" s="50"/>
      <c r="U45" s="17">
        <v>0.868499755859375</v>
      </c>
      <c r="V45" s="15" t="s">
        <v>24</v>
      </c>
      <c r="W45" s="15"/>
      <c r="X45" s="15"/>
      <c r="Y45" s="15"/>
      <c r="Z45" s="15"/>
    </row>
    <row r="46" spans="1:26" x14ac:dyDescent="0.25">
      <c r="A46">
        <v>6136</v>
      </c>
      <c r="C46" s="15">
        <v>36</v>
      </c>
      <c r="D46" s="17">
        <f t="shared" si="0"/>
        <v>0.187255859375</v>
      </c>
      <c r="E46" s="17">
        <v>0.67919921875</v>
      </c>
      <c r="F46" s="15">
        <f t="shared" si="1"/>
        <v>0.72</v>
      </c>
      <c r="G46" s="18">
        <f t="shared" si="2"/>
        <v>4.0800781249999973E-2</v>
      </c>
      <c r="H46" s="15"/>
      <c r="I46" s="15"/>
      <c r="K46" s="30">
        <f>IF(D46&gt;$N$13,1,0)</f>
        <v>0</v>
      </c>
      <c r="L46" s="30">
        <f t="shared" si="3"/>
        <v>0</v>
      </c>
      <c r="M46" s="50"/>
      <c r="U46" s="17">
        <v>0.187255859375</v>
      </c>
      <c r="V46" s="15" t="s">
        <v>26</v>
      </c>
      <c r="W46" s="15"/>
      <c r="X46" s="15"/>
      <c r="Y46" s="15"/>
      <c r="Z46" s="15"/>
    </row>
    <row r="47" spans="1:26" x14ac:dyDescent="0.25">
      <c r="A47">
        <v>14129</v>
      </c>
      <c r="C47" s="15">
        <v>37</v>
      </c>
      <c r="D47" s="17">
        <f t="shared" si="0"/>
        <v>0.431182861328125</v>
      </c>
      <c r="E47" s="17">
        <v>0.680938720703125</v>
      </c>
      <c r="F47" s="15">
        <f t="shared" si="1"/>
        <v>0.74</v>
      </c>
      <c r="G47" s="18">
        <f t="shared" si="2"/>
        <v>5.9061279296874991E-2</v>
      </c>
      <c r="H47" s="15"/>
      <c r="I47" s="15"/>
      <c r="K47" s="30">
        <f>IF(D47&gt;$N$13,1,0)</f>
        <v>0</v>
      </c>
      <c r="L47" s="30">
        <f t="shared" si="3"/>
        <v>1</v>
      </c>
      <c r="M47" s="50"/>
      <c r="U47" s="17">
        <v>0.431182861328125</v>
      </c>
      <c r="V47" s="15" t="s">
        <v>24</v>
      </c>
      <c r="W47" s="15"/>
      <c r="X47" s="15"/>
      <c r="Y47" s="15"/>
      <c r="Z47" s="15"/>
    </row>
    <row r="48" spans="1:26" x14ac:dyDescent="0.25">
      <c r="A48">
        <v>16550</v>
      </c>
      <c r="C48" s="15">
        <v>38</v>
      </c>
      <c r="D48" s="17">
        <f t="shared" si="0"/>
        <v>0.50506591796875</v>
      </c>
      <c r="E48" s="17">
        <v>0.692352294921875</v>
      </c>
      <c r="F48" s="15">
        <f t="shared" si="1"/>
        <v>0.76</v>
      </c>
      <c r="G48" s="18">
        <f t="shared" si="2"/>
        <v>6.7647705078125009E-2</v>
      </c>
      <c r="H48" s="15"/>
      <c r="I48" s="15"/>
      <c r="K48" s="30">
        <f>IF(D48&gt;$N$13,1,0)</f>
        <v>1</v>
      </c>
      <c r="L48" s="30">
        <f t="shared" si="3"/>
        <v>0</v>
      </c>
      <c r="M48" s="50"/>
      <c r="U48" s="17">
        <v>0.50506591796875</v>
      </c>
      <c r="V48" s="15" t="s">
        <v>37</v>
      </c>
      <c r="W48" s="15"/>
      <c r="X48" s="15"/>
      <c r="Y48" s="15"/>
      <c r="Z48" s="15"/>
    </row>
    <row r="49" spans="1:26" x14ac:dyDescent="0.25">
      <c r="A49">
        <v>21223</v>
      </c>
      <c r="C49" s="15">
        <v>39</v>
      </c>
      <c r="D49" s="17">
        <f t="shared" si="0"/>
        <v>0.647674560546875</v>
      </c>
      <c r="E49" s="17">
        <v>0.697540283203125</v>
      </c>
      <c r="F49" s="15">
        <f t="shared" si="1"/>
        <v>0.78</v>
      </c>
      <c r="G49" s="18">
        <f t="shared" si="2"/>
        <v>8.2459716796875027E-2</v>
      </c>
      <c r="H49" s="15"/>
      <c r="I49" s="15"/>
      <c r="K49" s="30">
        <f>IF(D49&gt;$N$13,1,0)</f>
        <v>1</v>
      </c>
      <c r="L49" s="30">
        <f t="shared" si="3"/>
        <v>0</v>
      </c>
      <c r="M49" s="50"/>
      <c r="U49" s="17">
        <v>0.647674560546875</v>
      </c>
      <c r="V49" s="15" t="s">
        <v>37</v>
      </c>
      <c r="W49" s="15"/>
      <c r="X49" s="15"/>
      <c r="Y49" s="15"/>
      <c r="Z49" s="15"/>
    </row>
    <row r="50" spans="1:26" x14ac:dyDescent="0.25">
      <c r="A50">
        <v>25668</v>
      </c>
      <c r="C50" s="15">
        <v>40</v>
      </c>
      <c r="D50" s="17">
        <f t="shared" si="0"/>
        <v>0.7833251953125</v>
      </c>
      <c r="E50" s="17">
        <v>0.717193603515625</v>
      </c>
      <c r="F50" s="15">
        <f t="shared" si="1"/>
        <v>0.8</v>
      </c>
      <c r="G50" s="18">
        <f t="shared" si="2"/>
        <v>8.2806396484375044E-2</v>
      </c>
      <c r="H50" s="15"/>
      <c r="I50" s="15"/>
      <c r="K50" s="30">
        <f>IF(D50&gt;$N$13,1,0)</f>
        <v>1</v>
      </c>
      <c r="L50" s="30">
        <f t="shared" si="3"/>
        <v>0</v>
      </c>
      <c r="M50" s="50"/>
      <c r="U50" s="17">
        <v>0.7833251953125</v>
      </c>
      <c r="V50" s="15" t="s">
        <v>35</v>
      </c>
      <c r="W50" s="15"/>
      <c r="X50" s="15"/>
      <c r="Y50" s="15"/>
      <c r="Z50" s="15"/>
    </row>
    <row r="51" spans="1:26" x14ac:dyDescent="0.25">
      <c r="A51">
        <v>23501</v>
      </c>
      <c r="C51" s="15">
        <v>41</v>
      </c>
      <c r="D51" s="17">
        <f t="shared" si="0"/>
        <v>0.717193603515625</v>
      </c>
      <c r="E51" s="17">
        <v>0.74798583984375</v>
      </c>
      <c r="F51" s="15">
        <f t="shared" si="1"/>
        <v>0.82</v>
      </c>
      <c r="G51" s="18">
        <f t="shared" si="2"/>
        <v>7.2014160156249951E-2</v>
      </c>
      <c r="H51" s="15"/>
      <c r="I51" s="15"/>
      <c r="K51" s="30">
        <f>IF(D51&gt;$N$13,1,0)</f>
        <v>1</v>
      </c>
      <c r="L51" s="30">
        <f t="shared" si="3"/>
        <v>0</v>
      </c>
      <c r="M51" s="50"/>
      <c r="U51" s="17">
        <v>0.717193603515625</v>
      </c>
      <c r="V51" s="15" t="s">
        <v>37</v>
      </c>
      <c r="W51" s="15"/>
      <c r="X51" s="15"/>
      <c r="Y51" s="15"/>
      <c r="Z51" s="15"/>
    </row>
    <row r="52" spans="1:26" x14ac:dyDescent="0.25">
      <c r="A52">
        <v>26194</v>
      </c>
      <c r="C52" s="15">
        <v>42</v>
      </c>
      <c r="D52" s="17">
        <f t="shared" si="0"/>
        <v>0.79937744140625</v>
      </c>
      <c r="E52" s="17">
        <v>0.7833251953125</v>
      </c>
      <c r="F52" s="15">
        <f t="shared" si="1"/>
        <v>0.84</v>
      </c>
      <c r="G52" s="18">
        <f t="shared" si="2"/>
        <v>5.6674804687499969E-2</v>
      </c>
      <c r="H52" s="15"/>
      <c r="I52" s="15"/>
      <c r="K52" s="30">
        <f>IF(D52&gt;$N$13,1,0)</f>
        <v>1</v>
      </c>
      <c r="L52" s="30">
        <f t="shared" si="3"/>
        <v>1</v>
      </c>
      <c r="M52" s="50"/>
      <c r="U52" s="17">
        <v>0.79937744140625</v>
      </c>
      <c r="V52" s="15" t="s">
        <v>24</v>
      </c>
      <c r="W52" s="15"/>
      <c r="X52" s="15"/>
      <c r="Y52" s="15"/>
      <c r="Z52" s="15"/>
    </row>
    <row r="53" spans="1:26" x14ac:dyDescent="0.25">
      <c r="A53">
        <v>5987</v>
      </c>
      <c r="C53" s="15">
        <v>43</v>
      </c>
      <c r="D53" s="17">
        <f t="shared" si="0"/>
        <v>0.182708740234375</v>
      </c>
      <c r="E53" s="17">
        <v>0.79937744140625</v>
      </c>
      <c r="F53" s="15">
        <f t="shared" si="1"/>
        <v>0.86</v>
      </c>
      <c r="G53" s="18">
        <f t="shared" si="2"/>
        <v>6.0622558593749987E-2</v>
      </c>
      <c r="H53" s="15"/>
      <c r="I53" s="15"/>
      <c r="K53" s="30">
        <f>IF(D53&gt;$N$13,1,0)</f>
        <v>0</v>
      </c>
      <c r="L53" s="30">
        <f t="shared" si="3"/>
        <v>0</v>
      </c>
      <c r="M53" s="50"/>
      <c r="U53" s="17">
        <v>0.182708740234375</v>
      </c>
      <c r="V53" s="15" t="s">
        <v>26</v>
      </c>
      <c r="W53" s="15"/>
      <c r="X53" s="15"/>
      <c r="Y53" s="15"/>
      <c r="Z53" s="15"/>
    </row>
    <row r="54" spans="1:26" x14ac:dyDescent="0.25">
      <c r="A54">
        <v>9808</v>
      </c>
      <c r="C54" s="15">
        <v>44</v>
      </c>
      <c r="D54" s="17">
        <f t="shared" si="0"/>
        <v>0.29931640625</v>
      </c>
      <c r="E54" s="17">
        <v>0.816497802734375</v>
      </c>
      <c r="F54" s="15">
        <f t="shared" si="1"/>
        <v>0.88</v>
      </c>
      <c r="G54" s="18">
        <f t="shared" si="2"/>
        <v>6.3502197265625004E-2</v>
      </c>
      <c r="H54" s="15"/>
      <c r="I54" s="15"/>
      <c r="K54" s="30">
        <f>IF(D54&gt;$N$13,1,0)</f>
        <v>0</v>
      </c>
      <c r="L54" s="30">
        <f t="shared" si="3"/>
        <v>1</v>
      </c>
      <c r="M54" s="50"/>
      <c r="U54" s="17">
        <v>0.29931640625</v>
      </c>
      <c r="V54" s="15" t="s">
        <v>24</v>
      </c>
      <c r="W54" s="15"/>
      <c r="X54" s="15"/>
      <c r="Y54" s="15"/>
      <c r="Z54" s="15"/>
    </row>
    <row r="55" spans="1:26" x14ac:dyDescent="0.25">
      <c r="A55">
        <v>22313</v>
      </c>
      <c r="C55" s="15">
        <v>45</v>
      </c>
      <c r="D55" s="17">
        <f t="shared" si="0"/>
        <v>0.680938720703125</v>
      </c>
      <c r="E55" s="17">
        <v>0.868499755859375</v>
      </c>
      <c r="F55" s="15">
        <f t="shared" si="1"/>
        <v>0.9</v>
      </c>
      <c r="G55" s="18">
        <f t="shared" si="2"/>
        <v>3.1500244140625022E-2</v>
      </c>
      <c r="H55" s="15"/>
      <c r="I55" s="15"/>
      <c r="K55" s="30">
        <f>IF(D55&gt;$N$13,1,0)</f>
        <v>1</v>
      </c>
      <c r="L55" s="30">
        <f t="shared" si="3"/>
        <v>0</v>
      </c>
      <c r="M55" s="50"/>
      <c r="U55" s="17">
        <v>0.680938720703125</v>
      </c>
      <c r="V55" s="15" t="s">
        <v>26</v>
      </c>
      <c r="W55" s="15"/>
      <c r="X55" s="15"/>
      <c r="Y55" s="15"/>
      <c r="Z55" s="15"/>
    </row>
    <row r="56" spans="1:26" x14ac:dyDescent="0.25">
      <c r="A56">
        <v>24510</v>
      </c>
      <c r="C56" s="15">
        <v>46</v>
      </c>
      <c r="D56" s="17">
        <f t="shared" si="0"/>
        <v>0.74798583984375</v>
      </c>
      <c r="E56" s="17">
        <v>0.8798828125</v>
      </c>
      <c r="F56" s="15">
        <f t="shared" si="1"/>
        <v>0.92</v>
      </c>
      <c r="G56" s="18">
        <f t="shared" si="2"/>
        <v>4.011718750000004E-2</v>
      </c>
      <c r="H56" s="15"/>
      <c r="I56" s="15"/>
      <c r="K56" s="30">
        <f>IF(D56&gt;$N$13,1,0)</f>
        <v>1</v>
      </c>
      <c r="L56" s="30">
        <f t="shared" si="3"/>
        <v>0</v>
      </c>
      <c r="M56" s="50"/>
      <c r="U56" s="17">
        <v>0.74798583984375</v>
      </c>
      <c r="V56" s="15" t="s">
        <v>37</v>
      </c>
      <c r="W56" s="15"/>
      <c r="X56" s="15"/>
      <c r="Y56" s="15"/>
      <c r="Z56" s="15"/>
    </row>
    <row r="57" spans="1:26" x14ac:dyDescent="0.25">
      <c r="A57">
        <v>22687</v>
      </c>
      <c r="C57" s="15">
        <v>47</v>
      </c>
      <c r="D57" s="17">
        <f t="shared" si="0"/>
        <v>0.692352294921875</v>
      </c>
      <c r="E57" s="17">
        <v>0.89019775390625</v>
      </c>
      <c r="F57" s="15">
        <f t="shared" si="1"/>
        <v>0.94</v>
      </c>
      <c r="G57" s="18">
        <f t="shared" si="2"/>
        <v>4.9802246093749947E-2</v>
      </c>
      <c r="H57" s="15"/>
      <c r="I57" s="15"/>
      <c r="K57" s="30">
        <f>IF(D57&gt;$N$13,1,0)</f>
        <v>1</v>
      </c>
      <c r="L57" s="30">
        <f t="shared" si="3"/>
        <v>1</v>
      </c>
      <c r="M57" s="50"/>
      <c r="U57" s="17">
        <v>0.692352294921875</v>
      </c>
      <c r="V57" s="15" t="s">
        <v>26</v>
      </c>
      <c r="W57" s="15"/>
      <c r="X57" s="15"/>
      <c r="Y57" s="15"/>
      <c r="Z57" s="15"/>
    </row>
    <row r="58" spans="1:26" x14ac:dyDescent="0.25">
      <c r="A58">
        <v>2588</v>
      </c>
      <c r="C58" s="15">
        <v>48</v>
      </c>
      <c r="D58" s="17">
        <f t="shared" si="0"/>
        <v>7.89794921875E-2</v>
      </c>
      <c r="E58" s="17">
        <v>0.8975830078125</v>
      </c>
      <c r="F58" s="15">
        <f t="shared" si="1"/>
        <v>0.96</v>
      </c>
      <c r="G58" s="18">
        <f t="shared" si="2"/>
        <v>6.2416992187499964E-2</v>
      </c>
      <c r="H58" s="15"/>
      <c r="I58" s="15"/>
      <c r="K58" s="30">
        <f>IF(D58&gt;$N$13,1,0)</f>
        <v>0</v>
      </c>
      <c r="L58" s="30">
        <f t="shared" si="3"/>
        <v>0</v>
      </c>
      <c r="M58" s="50"/>
      <c r="U58" s="17">
        <v>7.89794921875E-2</v>
      </c>
      <c r="V58" s="15" t="s">
        <v>24</v>
      </c>
      <c r="W58" s="15"/>
      <c r="X58" s="15"/>
      <c r="Y58" s="15"/>
      <c r="Z58" s="15"/>
    </row>
    <row r="59" spans="1:26" x14ac:dyDescent="0.25">
      <c r="A59">
        <v>9541</v>
      </c>
      <c r="C59" s="15">
        <v>49</v>
      </c>
      <c r="D59" s="17">
        <f t="shared" si="0"/>
        <v>0.291168212890625</v>
      </c>
      <c r="E59" s="17">
        <v>0.9744873046875</v>
      </c>
      <c r="F59" s="15">
        <f t="shared" si="1"/>
        <v>0.98</v>
      </c>
      <c r="G59" s="18">
        <f t="shared" si="2"/>
        <v>5.5126953124999822E-3</v>
      </c>
      <c r="H59" s="15"/>
      <c r="I59" s="15"/>
      <c r="K59" s="30">
        <f>IF(D59&gt;$N$13,1,0)</f>
        <v>0</v>
      </c>
      <c r="L59" s="30">
        <f t="shared" si="3"/>
        <v>0</v>
      </c>
      <c r="M59" s="50"/>
      <c r="U59" s="17">
        <v>0.291168212890625</v>
      </c>
      <c r="V59" s="15" t="s">
        <v>24</v>
      </c>
      <c r="W59" s="15"/>
      <c r="X59" s="15"/>
      <c r="Y59" s="15"/>
      <c r="Z59" s="15"/>
    </row>
    <row r="60" spans="1:26" x14ac:dyDescent="0.25">
      <c r="A60">
        <v>14570</v>
      </c>
      <c r="C60" s="15">
        <v>50</v>
      </c>
      <c r="D60" s="17">
        <f t="shared" si="0"/>
        <v>0.44464111328125</v>
      </c>
      <c r="E60" s="17">
        <v>0.9810791015625</v>
      </c>
      <c r="F60" s="15">
        <f t="shared" si="1"/>
        <v>1</v>
      </c>
      <c r="G60" s="18">
        <f t="shared" si="2"/>
        <v>1.89208984375E-2</v>
      </c>
      <c r="H60" s="15"/>
      <c r="I60" s="15"/>
      <c r="K60" s="30">
        <f>IF(D60&gt;$N$13,1,0)</f>
        <v>0</v>
      </c>
      <c r="L60" s="30">
        <f>IF(Q13&lt;&gt;K60,1,0)</f>
        <v>1</v>
      </c>
      <c r="M60" s="50"/>
      <c r="U60" s="17">
        <v>0.44464111328125</v>
      </c>
      <c r="V60" s="15" t="s">
        <v>36</v>
      </c>
      <c r="W60" s="15"/>
      <c r="X60" s="15"/>
      <c r="Y60" s="15"/>
      <c r="Z60" s="15"/>
    </row>
  </sheetData>
  <sortState ref="E11:E60">
    <sortCondition ref="E11:E60"/>
  </sortState>
  <pageMargins left="0.7" right="0.7" top="0.75" bottom="0.75" header="0.3" footer="0.3"/>
  <pageSetup paperSize="9" scale="77" orientation="portrait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61"/>
  <sheetViews>
    <sheetView view="pageBreakPreview" zoomScale="60" zoomScaleNormal="93" workbookViewId="0">
      <selection activeCell="AA11" sqref="AA11"/>
    </sheetView>
  </sheetViews>
  <sheetFormatPr baseColWidth="10" defaultColWidth="9.140625" defaultRowHeight="15" x14ac:dyDescent="0.25"/>
  <cols>
    <col min="4" max="4" width="11.5703125" customWidth="1"/>
    <col min="5" max="5" width="15" customWidth="1"/>
    <col min="6" max="6" width="12.42578125" customWidth="1"/>
    <col min="7" max="7" width="12.85546875" customWidth="1"/>
    <col min="8" max="8" width="12.5703125" customWidth="1"/>
    <col min="9" max="9" width="12.42578125" customWidth="1"/>
    <col min="12" max="12" width="13.85546875" customWidth="1"/>
    <col min="14" max="14" width="18.85546875" bestFit="1" customWidth="1"/>
    <col min="16" max="16" width="14.140625" customWidth="1"/>
    <col min="17" max="17" width="15.28515625" customWidth="1"/>
    <col min="18" max="18" width="17.140625" customWidth="1"/>
    <col min="19" max="19" width="13" customWidth="1"/>
    <col min="20" max="20" width="20.140625" customWidth="1"/>
    <col min="21" max="21" width="20.7109375" customWidth="1"/>
    <col min="22" max="22" width="23.7109375" bestFit="1" customWidth="1"/>
    <col min="23" max="23" width="11.28515625" bestFit="1" customWidth="1"/>
    <col min="24" max="24" width="21.28515625" bestFit="1" customWidth="1"/>
    <col min="25" max="25" width="20.42578125" bestFit="1" customWidth="1"/>
    <col min="26" max="26" width="19" bestFit="1" customWidth="1"/>
    <col min="27" max="27" width="18.28515625" bestFit="1" customWidth="1"/>
  </cols>
  <sheetData>
    <row r="4" spans="1:25" x14ac:dyDescent="0.25">
      <c r="L4" t="s">
        <v>0</v>
      </c>
    </row>
    <row r="5" spans="1:25" x14ac:dyDescent="0.25">
      <c r="E5" s="4" t="s">
        <v>1</v>
      </c>
      <c r="K5" s="30"/>
      <c r="L5" s="44" t="str">
        <f>IF(AND(L7&gt;=K7,L7&lt;=M7),"No se rechaza Ho","Se Rechaza Ho")</f>
        <v>No se rechaza Ho</v>
      </c>
      <c r="M5" s="44"/>
      <c r="T5" s="15"/>
      <c r="V5" s="4" t="s">
        <v>2</v>
      </c>
      <c r="W5" s="15"/>
      <c r="X5" s="15"/>
      <c r="Y5" s="15"/>
    </row>
    <row r="6" spans="1:25" x14ac:dyDescent="0.25">
      <c r="E6" s="4" t="s">
        <v>3</v>
      </c>
      <c r="K6" s="43" t="s">
        <v>4</v>
      </c>
      <c r="L6" s="43" t="s">
        <v>5</v>
      </c>
      <c r="M6" s="43" t="s">
        <v>6</v>
      </c>
      <c r="T6" s="15"/>
      <c r="V6" s="4" t="s">
        <v>7</v>
      </c>
      <c r="W6" s="15"/>
      <c r="X6" s="15"/>
      <c r="Y6" s="15"/>
    </row>
    <row r="7" spans="1:25" x14ac:dyDescent="0.25">
      <c r="D7" s="11" t="s">
        <v>73</v>
      </c>
      <c r="E7" s="11" t="s">
        <v>74</v>
      </c>
      <c r="F7" s="11" t="s">
        <v>10</v>
      </c>
      <c r="K7" s="30">
        <f>O17*-1</f>
        <v>-1.96</v>
      </c>
      <c r="L7" s="30">
        <f>S19</f>
        <v>1.585776973691652</v>
      </c>
      <c r="M7" s="30">
        <f>K7*-1</f>
        <v>1.96</v>
      </c>
      <c r="T7" s="15"/>
      <c r="U7" s="11" t="s">
        <v>73</v>
      </c>
      <c r="V7" s="11" t="s">
        <v>74</v>
      </c>
      <c r="W7" s="11" t="s">
        <v>10</v>
      </c>
      <c r="X7" s="15"/>
      <c r="Y7" s="15"/>
    </row>
    <row r="8" spans="1:25" x14ac:dyDescent="0.25">
      <c r="T8" s="15"/>
      <c r="U8" s="15"/>
      <c r="V8" s="15"/>
      <c r="W8" s="15"/>
      <c r="X8" s="15"/>
      <c r="Y8" s="15"/>
    </row>
    <row r="9" spans="1:25" x14ac:dyDescent="0.25">
      <c r="T9" s="15"/>
      <c r="U9" s="15"/>
      <c r="V9" s="15"/>
      <c r="W9" s="15"/>
      <c r="X9" s="15"/>
      <c r="Y9" s="15"/>
    </row>
    <row r="10" spans="1:25" ht="60" x14ac:dyDescent="0.25">
      <c r="A10" s="12" t="s">
        <v>11</v>
      </c>
      <c r="C10" s="15"/>
      <c r="D10" s="15" t="s">
        <v>59</v>
      </c>
      <c r="E10" s="16" t="s">
        <v>60</v>
      </c>
      <c r="F10" s="16" t="s">
        <v>61</v>
      </c>
      <c r="G10" s="16" t="s">
        <v>15</v>
      </c>
      <c r="H10" s="16" t="s">
        <v>16</v>
      </c>
      <c r="I10" s="16" t="s">
        <v>17</v>
      </c>
      <c r="L10" s="52" t="s">
        <v>80</v>
      </c>
      <c r="M10" s="31" t="s">
        <v>18</v>
      </c>
      <c r="N10" s="49"/>
      <c r="T10" s="15" t="s">
        <v>19</v>
      </c>
      <c r="U10" s="15" t="s">
        <v>20</v>
      </c>
      <c r="V10" s="15" t="s">
        <v>21</v>
      </c>
      <c r="W10" s="15"/>
      <c r="X10" s="15" t="s">
        <v>22</v>
      </c>
      <c r="Y10" s="15" t="s">
        <v>23</v>
      </c>
    </row>
    <row r="11" spans="1:25" x14ac:dyDescent="0.25">
      <c r="A11">
        <v>506</v>
      </c>
      <c r="C11">
        <v>1</v>
      </c>
      <c r="D11" s="13">
        <f>A11/32768</f>
        <v>1.544189453125E-2</v>
      </c>
      <c r="E11" s="13">
        <v>1.544189453125E-2</v>
      </c>
      <c r="F11">
        <f>C11/50</f>
        <v>0.02</v>
      </c>
      <c r="G11" s="14">
        <f>ABS(E11-F11)</f>
        <v>4.5581054687500004E-3</v>
      </c>
      <c r="H11" s="14">
        <f>MAX(G11:G60)</f>
        <v>0.13717529296874997</v>
      </c>
      <c r="I11">
        <v>0.188</v>
      </c>
      <c r="L11" s="30">
        <f>IF(D11&gt;$O$13,1,0)</f>
        <v>0</v>
      </c>
      <c r="M11" s="30">
        <f>L11</f>
        <v>0</v>
      </c>
      <c r="N11" s="50"/>
      <c r="T11" s="17">
        <v>1.544189453125E-2</v>
      </c>
      <c r="U11" s="15" t="s">
        <v>24</v>
      </c>
      <c r="V11" s="15">
        <v>18</v>
      </c>
      <c r="W11" s="15" t="s">
        <v>25</v>
      </c>
      <c r="X11" s="15">
        <v>15.120000000000001</v>
      </c>
      <c r="Y11" s="15">
        <f>ABS((V11-15.12)^2/15.12)</f>
        <v>0.54857142857142893</v>
      </c>
    </row>
    <row r="12" spans="1:25" x14ac:dyDescent="0.25">
      <c r="A12">
        <v>8615</v>
      </c>
      <c r="C12">
        <v>2</v>
      </c>
      <c r="D12" s="13">
        <f t="shared" ref="D12:D60" si="0">A12/32768</f>
        <v>0.262908935546875</v>
      </c>
      <c r="E12" s="13">
        <v>2.899169921875E-2</v>
      </c>
      <c r="F12">
        <f t="shared" ref="F12:F60" si="1">C12/50</f>
        <v>0.04</v>
      </c>
      <c r="G12" s="14">
        <f t="shared" ref="G12:G60" si="2">ABS(E12-F12)</f>
        <v>1.1008300781250001E-2</v>
      </c>
      <c r="L12" s="30">
        <f>IF(D12&gt;$O$13,1,0)</f>
        <v>0</v>
      </c>
      <c r="M12" s="30">
        <f>IF(L13&lt;&gt;L12,1,0)</f>
        <v>1</v>
      </c>
      <c r="N12" s="50"/>
      <c r="T12" s="17">
        <v>0.262908935546875</v>
      </c>
      <c r="U12" s="15" t="s">
        <v>24</v>
      </c>
      <c r="V12" s="15">
        <v>26</v>
      </c>
      <c r="W12" s="15" t="s">
        <v>27</v>
      </c>
      <c r="X12" s="15">
        <v>25.2</v>
      </c>
      <c r="Y12" s="15">
        <f>ABS((V12-25.2)^2/25.2)</f>
        <v>2.5396825396825442E-2</v>
      </c>
    </row>
    <row r="13" spans="1:25" x14ac:dyDescent="0.25">
      <c r="A13">
        <v>15396</v>
      </c>
      <c r="C13">
        <v>3</v>
      </c>
      <c r="D13" s="13">
        <f t="shared" si="0"/>
        <v>0.4698486328125</v>
      </c>
      <c r="E13" s="13">
        <v>3.387451171875E-2</v>
      </c>
      <c r="F13">
        <f t="shared" si="1"/>
        <v>0.06</v>
      </c>
      <c r="G13" s="14">
        <f t="shared" si="2"/>
        <v>2.6125488281249998E-2</v>
      </c>
      <c r="L13" s="30">
        <f>IF(D13&gt;$O$13,1,0)</f>
        <v>1</v>
      </c>
      <c r="M13" s="30">
        <f t="shared" ref="M13:M59" si="3">IF(L14&lt;&gt;L13,1,0)</f>
        <v>0</v>
      </c>
      <c r="N13" t="s">
        <v>38</v>
      </c>
      <c r="O13" s="13">
        <f>AVERAGE(D11:D60)</f>
        <v>0.46854064941406248</v>
      </c>
      <c r="R13" t="s">
        <v>39</v>
      </c>
      <c r="S13" s="32">
        <f>SUM(M11:M60)</f>
        <v>31</v>
      </c>
      <c r="T13" s="17">
        <v>0.4698486328125</v>
      </c>
      <c r="U13" s="15" t="s">
        <v>26</v>
      </c>
      <c r="V13" s="15">
        <v>3</v>
      </c>
      <c r="W13" s="15" t="s">
        <v>28</v>
      </c>
      <c r="X13" s="15">
        <v>5.4</v>
      </c>
      <c r="Y13" s="15">
        <f>ABS((V13-5.4)^2/5.4)</f>
        <v>1.0666666666666669</v>
      </c>
    </row>
    <row r="14" spans="1:25" x14ac:dyDescent="0.25">
      <c r="A14">
        <v>32369</v>
      </c>
      <c r="C14">
        <v>4</v>
      </c>
      <c r="D14" s="13">
        <f t="shared" si="0"/>
        <v>0.987823486328125</v>
      </c>
      <c r="E14" s="13">
        <v>6.4910888671875E-2</v>
      </c>
      <c r="F14">
        <f t="shared" si="1"/>
        <v>0.08</v>
      </c>
      <c r="G14" s="14">
        <f t="shared" si="2"/>
        <v>1.5089111328125002E-2</v>
      </c>
      <c r="L14" s="30">
        <f>IF(D14&gt;$O$13,1,0)</f>
        <v>1</v>
      </c>
      <c r="M14" s="30">
        <f t="shared" si="3"/>
        <v>0</v>
      </c>
      <c r="N14" t="s">
        <v>40</v>
      </c>
      <c r="O14">
        <f>_xlfn.STDEV.S(D11:D60)</f>
        <v>0.28558197893664411</v>
      </c>
      <c r="P14" t="s">
        <v>41</v>
      </c>
      <c r="Q14" t="s">
        <v>42</v>
      </c>
      <c r="R14" s="50"/>
      <c r="S14" s="50"/>
      <c r="T14" s="17">
        <v>0.987823486328125</v>
      </c>
      <c r="U14" s="15" t="s">
        <v>24</v>
      </c>
      <c r="V14" s="15">
        <v>3</v>
      </c>
      <c r="W14" s="15" t="s">
        <v>29</v>
      </c>
      <c r="X14" s="15">
        <v>3.5999999999999996</v>
      </c>
      <c r="Y14" s="15">
        <f>ABS((V14-3.6)^2/3.6)</f>
        <v>0.10000000000000002</v>
      </c>
    </row>
    <row r="15" spans="1:25" x14ac:dyDescent="0.25">
      <c r="A15">
        <v>25998</v>
      </c>
      <c r="C15">
        <v>5</v>
      </c>
      <c r="D15" s="13">
        <f t="shared" si="0"/>
        <v>0.79339599609375</v>
      </c>
      <c r="E15" s="13">
        <v>7.6324462890625E-2</v>
      </c>
      <c r="F15">
        <f t="shared" si="1"/>
        <v>0.1</v>
      </c>
      <c r="G15" s="14">
        <f t="shared" si="2"/>
        <v>2.3675537109375006E-2</v>
      </c>
      <c r="L15" s="30">
        <f>IF(D15&gt;$O$13,1,0)</f>
        <v>1</v>
      </c>
      <c r="M15" s="30">
        <f t="shared" si="3"/>
        <v>0</v>
      </c>
      <c r="N15" s="27" t="s">
        <v>43</v>
      </c>
      <c r="O15">
        <v>0.05</v>
      </c>
      <c r="P15">
        <f>COUNTIF(L11:L60,1)</f>
        <v>26</v>
      </c>
      <c r="Q15">
        <f>COUNTIF(L11:L60,0)</f>
        <v>24</v>
      </c>
      <c r="R15" s="50"/>
      <c r="S15" s="50"/>
      <c r="T15" s="17">
        <v>0.79339599609375</v>
      </c>
      <c r="U15" s="15" t="s">
        <v>26</v>
      </c>
      <c r="V15" s="15">
        <v>0</v>
      </c>
      <c r="W15" s="15" t="s">
        <v>30</v>
      </c>
      <c r="X15" s="15">
        <v>0.22499999999999998</v>
      </c>
      <c r="Y15" s="15">
        <f>ABS((V15-0.225)^2/0.225)</f>
        <v>0.22500000000000001</v>
      </c>
    </row>
    <row r="16" spans="1:25" x14ac:dyDescent="0.25">
      <c r="A16">
        <v>15995</v>
      </c>
      <c r="C16">
        <v>6</v>
      </c>
      <c r="D16" s="13">
        <f t="shared" si="0"/>
        <v>0.488128662109375</v>
      </c>
      <c r="E16" s="13">
        <v>8.4716796875E-2</v>
      </c>
      <c r="F16">
        <f t="shared" si="1"/>
        <v>0.12</v>
      </c>
      <c r="G16" s="14">
        <f t="shared" si="2"/>
        <v>3.5283203124999996E-2</v>
      </c>
      <c r="L16" s="30">
        <f>IF(D16&gt;$O$13,1,0)</f>
        <v>1</v>
      </c>
      <c r="M16" s="30">
        <f t="shared" si="3"/>
        <v>1</v>
      </c>
      <c r="N16" s="27" t="s">
        <v>44</v>
      </c>
      <c r="O16">
        <f>O15/2</f>
        <v>2.5000000000000001E-2</v>
      </c>
      <c r="T16" s="17">
        <v>0.488128662109375</v>
      </c>
      <c r="U16" s="15" t="s">
        <v>24</v>
      </c>
      <c r="V16" s="15">
        <v>0</v>
      </c>
      <c r="W16" s="15" t="s">
        <v>31</v>
      </c>
      <c r="X16" s="15">
        <v>0.44999999999999996</v>
      </c>
      <c r="Y16" s="15">
        <f>ABS((V16-0.45)^2/0.45)</f>
        <v>0.45</v>
      </c>
    </row>
    <row r="17" spans="1:25" x14ac:dyDescent="0.25">
      <c r="A17">
        <v>9784</v>
      </c>
      <c r="C17">
        <v>7</v>
      </c>
      <c r="D17" s="13">
        <f t="shared" si="0"/>
        <v>0.298583984375</v>
      </c>
      <c r="E17" s="13">
        <v>9.06982421875E-2</v>
      </c>
      <c r="F17">
        <f t="shared" si="1"/>
        <v>0.14000000000000001</v>
      </c>
      <c r="G17" s="14">
        <f t="shared" si="2"/>
        <v>4.9301757812500013E-2</v>
      </c>
      <c r="L17" s="30">
        <f>IF(D17&gt;$O$13,1,0)</f>
        <v>0</v>
      </c>
      <c r="M17" s="30">
        <f t="shared" si="3"/>
        <v>0</v>
      </c>
      <c r="N17" t="s">
        <v>6</v>
      </c>
      <c r="O17">
        <f>1.96</f>
        <v>1.96</v>
      </c>
      <c r="R17" t="s">
        <v>45</v>
      </c>
      <c r="S17" s="33">
        <f>((2*P15*Q15))/(P15+Q15)+(1/2)</f>
        <v>25.46</v>
      </c>
      <c r="T17" s="17">
        <v>0.298583984375</v>
      </c>
      <c r="U17" s="15" t="s">
        <v>24</v>
      </c>
      <c r="V17" s="15">
        <v>0</v>
      </c>
      <c r="W17" s="15" t="s">
        <v>32</v>
      </c>
      <c r="X17" s="15">
        <v>5.0000000000000001E-3</v>
      </c>
      <c r="Y17" s="15">
        <f>ABS((V17-0.005)^2/0.005)</f>
        <v>5.0000000000000001E-3</v>
      </c>
    </row>
    <row r="18" spans="1:25" x14ac:dyDescent="0.25">
      <c r="A18">
        <v>2501</v>
      </c>
      <c r="C18">
        <v>8</v>
      </c>
      <c r="D18" s="13">
        <f t="shared" si="0"/>
        <v>7.6324462890625E-2</v>
      </c>
      <c r="E18" s="13">
        <v>0.1038818359375</v>
      </c>
      <c r="F18">
        <f t="shared" si="1"/>
        <v>0.16</v>
      </c>
      <c r="G18" s="14">
        <f t="shared" si="2"/>
        <v>5.6118164062500003E-2</v>
      </c>
      <c r="L18" s="30">
        <f>IF(D18&gt;$O$13,1,0)</f>
        <v>0</v>
      </c>
      <c r="M18" s="30">
        <f t="shared" si="3"/>
        <v>0</v>
      </c>
      <c r="R18" t="s">
        <v>46</v>
      </c>
      <c r="S18">
        <f>(2*P15*Q15*(2*P15*Q15 -C60))/(C60*C60*(C60-1))</f>
        <v>12.204930612244898</v>
      </c>
      <c r="T18" s="17">
        <v>7.6324462890625E-2</v>
      </c>
      <c r="U18" s="15" t="s">
        <v>26</v>
      </c>
      <c r="V18" s="15"/>
      <c r="W18" s="15"/>
      <c r="X18" s="15"/>
      <c r="Y18" s="15"/>
    </row>
    <row r="19" spans="1:25" x14ac:dyDescent="0.25">
      <c r="A19">
        <v>9762</v>
      </c>
      <c r="C19">
        <v>9</v>
      </c>
      <c r="D19" s="13">
        <f t="shared" si="0"/>
        <v>0.29791259765625</v>
      </c>
      <c r="E19" s="13">
        <v>0.168670654296875</v>
      </c>
      <c r="F19">
        <f t="shared" si="1"/>
        <v>0.18</v>
      </c>
      <c r="G19" s="14">
        <f t="shared" si="2"/>
        <v>1.1329345703124993E-2</v>
      </c>
      <c r="L19" s="30">
        <f>IF(D19&gt;$O$13,1,0)</f>
        <v>0</v>
      </c>
      <c r="M19" s="30">
        <f t="shared" si="3"/>
        <v>0</v>
      </c>
      <c r="R19" t="s">
        <v>5</v>
      </c>
      <c r="S19">
        <f>(S13-S17)/SQRT(S18)</f>
        <v>1.585776973691652</v>
      </c>
      <c r="T19" s="17">
        <v>0.29791259765625</v>
      </c>
      <c r="U19" s="15" t="s">
        <v>24</v>
      </c>
      <c r="V19" s="15"/>
      <c r="W19" s="15"/>
      <c r="X19" s="15" t="s">
        <v>33</v>
      </c>
      <c r="Y19" s="15">
        <f>SUM(Y11:Y17)</f>
        <v>2.4206349206349214</v>
      </c>
    </row>
    <row r="20" spans="1:25" x14ac:dyDescent="0.25">
      <c r="A20">
        <v>2127</v>
      </c>
      <c r="C20">
        <v>10</v>
      </c>
      <c r="D20" s="13">
        <f t="shared" si="0"/>
        <v>6.4910888671875E-2</v>
      </c>
      <c r="E20" s="13">
        <v>0.17083740234375</v>
      </c>
      <c r="F20">
        <f t="shared" si="1"/>
        <v>0.2</v>
      </c>
      <c r="G20" s="14">
        <f t="shared" si="2"/>
        <v>2.9162597656250011E-2</v>
      </c>
      <c r="L20" s="30">
        <f>IF(D20&gt;$O$13,1,0)</f>
        <v>0</v>
      </c>
      <c r="M20" s="30">
        <f t="shared" si="3"/>
        <v>0</v>
      </c>
      <c r="N20" s="50"/>
      <c r="T20" s="17">
        <v>6.4910888671875E-2</v>
      </c>
      <c r="U20" s="15" t="s">
        <v>26</v>
      </c>
      <c r="V20" s="15"/>
      <c r="W20" s="15"/>
      <c r="X20" s="15" t="s">
        <v>34</v>
      </c>
      <c r="Y20" s="15">
        <v>12.59</v>
      </c>
    </row>
    <row r="21" spans="1:25" x14ac:dyDescent="0.25">
      <c r="A21">
        <v>3404</v>
      </c>
      <c r="C21">
        <v>11</v>
      </c>
      <c r="D21" s="13">
        <f t="shared" si="0"/>
        <v>0.1038818359375</v>
      </c>
      <c r="E21" s="13">
        <v>0.17327880859375</v>
      </c>
      <c r="F21">
        <f t="shared" si="1"/>
        <v>0.22</v>
      </c>
      <c r="G21" s="14">
        <f t="shared" si="2"/>
        <v>4.6721191406250001E-2</v>
      </c>
      <c r="L21" s="30">
        <f>IF(D21&gt;$O$13,1,0)</f>
        <v>0</v>
      </c>
      <c r="M21" s="30">
        <f t="shared" si="3"/>
        <v>1</v>
      </c>
      <c r="N21" s="50"/>
      <c r="T21" s="17">
        <v>0.1038818359375</v>
      </c>
      <c r="U21" s="15" t="s">
        <v>24</v>
      </c>
      <c r="V21" s="15"/>
      <c r="W21" s="15"/>
      <c r="X21" s="15"/>
      <c r="Y21" s="15"/>
    </row>
    <row r="22" spans="1:25" x14ac:dyDescent="0.25">
      <c r="A22">
        <v>25113</v>
      </c>
      <c r="C22">
        <v>12</v>
      </c>
      <c r="D22" s="13">
        <f t="shared" si="0"/>
        <v>0.766387939453125</v>
      </c>
      <c r="E22" s="13">
        <v>0.21893310546875</v>
      </c>
      <c r="F22">
        <f t="shared" si="1"/>
        <v>0.24</v>
      </c>
      <c r="G22" s="14">
        <f t="shared" si="2"/>
        <v>2.1066894531249991E-2</v>
      </c>
      <c r="L22" s="30">
        <f>IF(D22&gt;$O$13,1,0)</f>
        <v>1</v>
      </c>
      <c r="M22" s="30">
        <f t="shared" si="3"/>
        <v>1</v>
      </c>
      <c r="N22" s="50"/>
      <c r="T22" s="17">
        <v>0.766387939453125</v>
      </c>
      <c r="U22" s="15" t="s">
        <v>24</v>
      </c>
      <c r="V22" s="15"/>
      <c r="W22" s="15"/>
      <c r="X22" s="15"/>
      <c r="Y22" s="15"/>
    </row>
    <row r="23" spans="1:25" x14ac:dyDescent="0.25">
      <c r="A23">
        <v>950</v>
      </c>
      <c r="C23">
        <v>13</v>
      </c>
      <c r="D23" s="13">
        <f t="shared" si="0"/>
        <v>2.899169921875E-2</v>
      </c>
      <c r="E23" s="13">
        <v>0.262908935546875</v>
      </c>
      <c r="F23">
        <f t="shared" si="1"/>
        <v>0.26</v>
      </c>
      <c r="G23" s="14">
        <f t="shared" si="2"/>
        <v>2.9089355468749911E-3</v>
      </c>
      <c r="L23" s="30">
        <f>IF(D23&gt;$O$13,1,0)</f>
        <v>0</v>
      </c>
      <c r="M23" s="30">
        <f t="shared" si="3"/>
        <v>1</v>
      </c>
      <c r="N23" s="50"/>
      <c r="T23" s="17">
        <v>2.899169921875E-2</v>
      </c>
      <c r="U23" s="15" t="s">
        <v>24</v>
      </c>
      <c r="V23" s="15"/>
      <c r="W23" s="15"/>
      <c r="X23" s="15"/>
      <c r="Y23" s="15"/>
    </row>
    <row r="24" spans="1:25" x14ac:dyDescent="0.25">
      <c r="A24">
        <v>16163</v>
      </c>
      <c r="C24">
        <v>14</v>
      </c>
      <c r="D24" s="13">
        <f t="shared" si="0"/>
        <v>0.493255615234375</v>
      </c>
      <c r="E24" s="13">
        <v>0.273162841796875</v>
      </c>
      <c r="F24">
        <f t="shared" si="1"/>
        <v>0.28000000000000003</v>
      </c>
      <c r="G24" s="14">
        <f t="shared" si="2"/>
        <v>6.8371582031250266E-3</v>
      </c>
      <c r="L24" s="30">
        <f>IF(D24&gt;$O$13,1,0)</f>
        <v>1</v>
      </c>
      <c r="M24" s="30">
        <f t="shared" si="3"/>
        <v>1</v>
      </c>
      <c r="N24" s="50"/>
      <c r="T24" s="17">
        <v>0.493255615234375</v>
      </c>
      <c r="U24" s="15" t="s">
        <v>26</v>
      </c>
      <c r="V24" s="15"/>
      <c r="W24" s="15"/>
      <c r="X24" s="15"/>
      <c r="Y24" s="15"/>
    </row>
    <row r="25" spans="1:25" x14ac:dyDescent="0.25">
      <c r="A25">
        <v>12640</v>
      </c>
      <c r="C25">
        <v>15</v>
      </c>
      <c r="D25" s="13">
        <f t="shared" si="0"/>
        <v>0.3857421875</v>
      </c>
      <c r="E25" s="13">
        <v>0.27880859375</v>
      </c>
      <c r="F25">
        <f t="shared" si="1"/>
        <v>0.3</v>
      </c>
      <c r="G25" s="14">
        <f t="shared" si="2"/>
        <v>2.1191406249999989E-2</v>
      </c>
      <c r="L25" s="30">
        <f>IF(D25&gt;$O$13,1,0)</f>
        <v>0</v>
      </c>
      <c r="M25" s="30">
        <f t="shared" si="3"/>
        <v>1</v>
      </c>
      <c r="N25" s="50"/>
      <c r="T25" s="17">
        <v>0.3857421875</v>
      </c>
      <c r="U25" s="15" t="s">
        <v>26</v>
      </c>
      <c r="V25" s="15"/>
      <c r="W25" s="15"/>
      <c r="X25" s="15"/>
      <c r="Y25" s="15"/>
    </row>
    <row r="26" spans="1:25" x14ac:dyDescent="0.25">
      <c r="A26">
        <v>18285</v>
      </c>
      <c r="C26">
        <v>16</v>
      </c>
      <c r="D26" s="13">
        <f t="shared" si="0"/>
        <v>0.558013916015625</v>
      </c>
      <c r="E26" s="13">
        <v>0.29791259765625</v>
      </c>
      <c r="F26">
        <f t="shared" si="1"/>
        <v>0.32</v>
      </c>
      <c r="G26" s="14">
        <f t="shared" si="2"/>
        <v>2.2087402343750007E-2</v>
      </c>
      <c r="L26" s="30">
        <f>IF(D26&gt;$O$13,1,0)</f>
        <v>1</v>
      </c>
      <c r="M26" s="30">
        <f t="shared" si="3"/>
        <v>0</v>
      </c>
      <c r="N26" s="50"/>
      <c r="T26" s="17">
        <v>0.558013916015625</v>
      </c>
      <c r="U26" s="15" t="s">
        <v>24</v>
      </c>
      <c r="V26" s="15"/>
      <c r="W26" s="15"/>
      <c r="X26" s="15"/>
      <c r="Y26" s="15"/>
    </row>
    <row r="27" spans="1:25" x14ac:dyDescent="0.25">
      <c r="A27">
        <v>15946</v>
      </c>
      <c r="C27">
        <v>17</v>
      </c>
      <c r="D27" s="13">
        <f t="shared" si="0"/>
        <v>0.48663330078125</v>
      </c>
      <c r="E27" s="13">
        <v>0.298583984375</v>
      </c>
      <c r="F27">
        <f t="shared" si="1"/>
        <v>0.34</v>
      </c>
      <c r="G27" s="14">
        <f t="shared" si="2"/>
        <v>4.1416015625000024E-2</v>
      </c>
      <c r="L27" s="30">
        <f>IF(D27&gt;$O$13,1,0)</f>
        <v>1</v>
      </c>
      <c r="M27" s="30">
        <f t="shared" si="3"/>
        <v>1</v>
      </c>
      <c r="N27" s="50"/>
      <c r="T27" s="17">
        <v>0.48663330078125</v>
      </c>
      <c r="U27" s="15" t="s">
        <v>24</v>
      </c>
      <c r="V27" s="15"/>
      <c r="W27" s="15"/>
      <c r="X27" s="15"/>
      <c r="Y27" s="15"/>
    </row>
    <row r="28" spans="1:25" x14ac:dyDescent="0.25">
      <c r="A28">
        <v>8951</v>
      </c>
      <c r="C28">
        <v>18</v>
      </c>
      <c r="D28" s="13">
        <f t="shared" si="0"/>
        <v>0.273162841796875</v>
      </c>
      <c r="E28" s="13">
        <v>0.30401611328125</v>
      </c>
      <c r="F28">
        <f t="shared" si="1"/>
        <v>0.36</v>
      </c>
      <c r="G28" s="14">
        <f t="shared" si="2"/>
        <v>5.5983886718749987E-2</v>
      </c>
      <c r="L28" s="30">
        <f>IF(D28&gt;$O$13,1,0)</f>
        <v>0</v>
      </c>
      <c r="M28" s="30">
        <f t="shared" si="3"/>
        <v>1</v>
      </c>
      <c r="N28" s="50"/>
      <c r="T28" s="17">
        <v>0.273162841796875</v>
      </c>
      <c r="U28" s="15" t="s">
        <v>26</v>
      </c>
      <c r="V28" s="15"/>
      <c r="W28" s="15"/>
      <c r="X28" s="15"/>
      <c r="Y28" s="15"/>
    </row>
    <row r="29" spans="1:25" x14ac:dyDescent="0.25">
      <c r="A29">
        <v>21108</v>
      </c>
      <c r="C29">
        <v>19</v>
      </c>
      <c r="D29" s="13">
        <f t="shared" si="0"/>
        <v>0.6441650390625</v>
      </c>
      <c r="E29" s="13">
        <v>0.335418701171875</v>
      </c>
      <c r="F29">
        <f t="shared" si="1"/>
        <v>0.38</v>
      </c>
      <c r="G29" s="14">
        <f t="shared" si="2"/>
        <v>4.4581298828125004E-2</v>
      </c>
      <c r="L29" s="30">
        <f>IF(D29&gt;$O$13,1,0)</f>
        <v>1</v>
      </c>
      <c r="M29" s="30">
        <f t="shared" si="3"/>
        <v>0</v>
      </c>
      <c r="N29" s="50"/>
      <c r="T29" s="17">
        <v>0.6441650390625</v>
      </c>
      <c r="U29" s="15" t="s">
        <v>24</v>
      </c>
      <c r="V29" s="15"/>
      <c r="W29" s="15"/>
      <c r="X29" s="15"/>
      <c r="Y29" s="15"/>
    </row>
    <row r="30" spans="1:25" x14ac:dyDescent="0.25">
      <c r="A30">
        <v>31169</v>
      </c>
      <c r="C30">
        <v>20</v>
      </c>
      <c r="D30" s="13">
        <f t="shared" si="0"/>
        <v>0.951202392578125</v>
      </c>
      <c r="E30" s="13">
        <v>0.379150390625</v>
      </c>
      <c r="F30">
        <f t="shared" si="1"/>
        <v>0.4</v>
      </c>
      <c r="G30" s="14">
        <f t="shared" si="2"/>
        <v>2.0849609375000022E-2</v>
      </c>
      <c r="L30" s="30">
        <f>IF(D30&gt;$O$13,1,0)</f>
        <v>1</v>
      </c>
      <c r="M30" s="30">
        <f t="shared" si="3"/>
        <v>1</v>
      </c>
      <c r="N30" s="50"/>
      <c r="T30" s="17">
        <v>0.951202392578125</v>
      </c>
      <c r="U30" s="15" t="s">
        <v>26</v>
      </c>
      <c r="V30" s="15"/>
      <c r="W30" s="15"/>
      <c r="X30" s="15"/>
      <c r="Y30" s="15"/>
    </row>
    <row r="31" spans="1:25" x14ac:dyDescent="0.25">
      <c r="A31">
        <v>5598</v>
      </c>
      <c r="C31">
        <v>21</v>
      </c>
      <c r="D31" s="13">
        <f t="shared" si="0"/>
        <v>0.17083740234375</v>
      </c>
      <c r="E31" s="13">
        <v>0.3857421875</v>
      </c>
      <c r="F31">
        <f t="shared" si="1"/>
        <v>0.42</v>
      </c>
      <c r="G31" s="14">
        <f t="shared" si="2"/>
        <v>3.4257812499999984E-2</v>
      </c>
      <c r="L31" s="30">
        <f>IF(D31&gt;$O$13,1,0)</f>
        <v>0</v>
      </c>
      <c r="M31" s="30">
        <f t="shared" si="3"/>
        <v>1</v>
      </c>
      <c r="N31" s="50"/>
      <c r="T31" s="17">
        <v>0.17083740234375</v>
      </c>
      <c r="U31" s="15" t="s">
        <v>26</v>
      </c>
      <c r="V31" s="15"/>
      <c r="W31" s="15"/>
      <c r="X31" s="15"/>
      <c r="Y31" s="15"/>
    </row>
    <row r="32" spans="1:25" x14ac:dyDescent="0.25">
      <c r="A32">
        <v>29643</v>
      </c>
      <c r="C32">
        <v>22</v>
      </c>
      <c r="D32" s="13">
        <f t="shared" si="0"/>
        <v>0.904632568359375</v>
      </c>
      <c r="E32" s="13">
        <v>0.440582275390625</v>
      </c>
      <c r="F32">
        <f t="shared" si="1"/>
        <v>0.44</v>
      </c>
      <c r="G32" s="14">
        <f t="shared" si="2"/>
        <v>5.8227539062499778E-4</v>
      </c>
      <c r="L32" s="30">
        <f>IF(D32&gt;$O$13,1,0)</f>
        <v>1</v>
      </c>
      <c r="M32" s="30">
        <f t="shared" si="3"/>
        <v>1</v>
      </c>
      <c r="N32" s="50"/>
      <c r="T32" s="17">
        <v>0.904632568359375</v>
      </c>
      <c r="U32" s="15" t="s">
        <v>26</v>
      </c>
      <c r="V32" s="15"/>
      <c r="W32" s="15"/>
      <c r="X32" s="15"/>
      <c r="Y32" s="15"/>
    </row>
    <row r="33" spans="1:25" x14ac:dyDescent="0.25">
      <c r="A33">
        <v>12424</v>
      </c>
      <c r="C33">
        <v>23</v>
      </c>
      <c r="D33" s="13">
        <f t="shared" si="0"/>
        <v>0.379150390625</v>
      </c>
      <c r="E33" s="13">
        <v>0.4434814453125</v>
      </c>
      <c r="F33">
        <f t="shared" si="1"/>
        <v>0.46</v>
      </c>
      <c r="G33" s="14">
        <f t="shared" si="2"/>
        <v>1.651855468750002E-2</v>
      </c>
      <c r="L33" s="30">
        <f>IF(D33&gt;$O$13,1,0)</f>
        <v>0</v>
      </c>
      <c r="M33" s="30">
        <f t="shared" si="3"/>
        <v>0</v>
      </c>
      <c r="N33" s="50"/>
      <c r="T33" s="17">
        <v>0.379150390625</v>
      </c>
      <c r="U33" s="15" t="s">
        <v>26</v>
      </c>
      <c r="V33" s="15"/>
      <c r="W33" s="15"/>
      <c r="X33" s="15"/>
      <c r="Y33" s="15"/>
    </row>
    <row r="34" spans="1:25" x14ac:dyDescent="0.25">
      <c r="A34">
        <v>14613</v>
      </c>
      <c r="C34">
        <v>24</v>
      </c>
      <c r="D34" s="13">
        <f t="shared" si="0"/>
        <v>0.445953369140625</v>
      </c>
      <c r="E34" s="13">
        <v>0.445953369140625</v>
      </c>
      <c r="F34">
        <f t="shared" si="1"/>
        <v>0.48</v>
      </c>
      <c r="G34" s="14">
        <f t="shared" si="2"/>
        <v>3.4046630859374982E-2</v>
      </c>
      <c r="L34" s="30">
        <f>IF(D34&gt;$O$13,1,0)</f>
        <v>0</v>
      </c>
      <c r="M34" s="30">
        <f t="shared" si="3"/>
        <v>1</v>
      </c>
      <c r="N34" s="50"/>
      <c r="T34" s="17">
        <v>0.445953369140625</v>
      </c>
      <c r="U34" s="15" t="s">
        <v>37</v>
      </c>
      <c r="V34" s="15"/>
      <c r="W34" s="15"/>
      <c r="X34" s="15"/>
      <c r="Y34" s="15"/>
    </row>
    <row r="35" spans="1:25" x14ac:dyDescent="0.25">
      <c r="A35">
        <v>19058</v>
      </c>
      <c r="C35">
        <v>25</v>
      </c>
      <c r="D35" s="13">
        <f t="shared" si="0"/>
        <v>0.58160400390625</v>
      </c>
      <c r="E35" s="13">
        <v>0.4698486328125</v>
      </c>
      <c r="F35">
        <f t="shared" si="1"/>
        <v>0.5</v>
      </c>
      <c r="G35" s="14">
        <f t="shared" si="2"/>
        <v>3.01513671875E-2</v>
      </c>
      <c r="L35" s="30">
        <f>IF(D35&gt;$O$13,1,0)</f>
        <v>1</v>
      </c>
      <c r="M35" s="30">
        <f t="shared" si="3"/>
        <v>0</v>
      </c>
      <c r="N35" s="50"/>
      <c r="T35" s="17">
        <v>0.58160400390625</v>
      </c>
      <c r="U35" s="15" t="s">
        <v>26</v>
      </c>
      <c r="V35" s="15"/>
      <c r="W35" s="15"/>
      <c r="X35" s="15"/>
      <c r="Y35" s="15"/>
    </row>
    <row r="36" spans="1:25" x14ac:dyDescent="0.25">
      <c r="A36">
        <v>29087</v>
      </c>
      <c r="C36">
        <v>26</v>
      </c>
      <c r="D36" s="13">
        <f t="shared" si="0"/>
        <v>0.887664794921875</v>
      </c>
      <c r="E36" s="13">
        <v>0.48663330078125</v>
      </c>
      <c r="F36">
        <f t="shared" si="1"/>
        <v>0.52</v>
      </c>
      <c r="G36" s="14">
        <f t="shared" si="2"/>
        <v>3.3366699218750018E-2</v>
      </c>
      <c r="L36" s="30">
        <f>IF(D36&gt;$O$13,1,0)</f>
        <v>1</v>
      </c>
      <c r="M36" s="30">
        <f t="shared" si="3"/>
        <v>1</v>
      </c>
      <c r="N36" s="50"/>
      <c r="T36" s="17">
        <v>0.887664794921875</v>
      </c>
      <c r="U36" s="15" t="s">
        <v>37</v>
      </c>
      <c r="V36" s="15"/>
      <c r="W36" s="15"/>
      <c r="X36" s="15"/>
      <c r="Y36" s="15"/>
    </row>
    <row r="37" spans="1:25" x14ac:dyDescent="0.25">
      <c r="A37">
        <v>2972</v>
      </c>
      <c r="C37">
        <v>27</v>
      </c>
      <c r="D37" s="13">
        <f t="shared" si="0"/>
        <v>9.06982421875E-2</v>
      </c>
      <c r="E37" s="13">
        <v>0.488128662109375</v>
      </c>
      <c r="F37">
        <f t="shared" si="1"/>
        <v>0.54</v>
      </c>
      <c r="G37" s="14">
        <f t="shared" si="2"/>
        <v>5.1871337890625036E-2</v>
      </c>
      <c r="L37" s="30">
        <f>IF(D37&gt;$O$13,1,0)</f>
        <v>0</v>
      </c>
      <c r="M37" s="30">
        <f t="shared" si="3"/>
        <v>1</v>
      </c>
      <c r="N37" s="50"/>
      <c r="T37" s="17">
        <v>9.06982421875E-2</v>
      </c>
      <c r="U37" s="15" t="s">
        <v>35</v>
      </c>
      <c r="V37" s="15"/>
      <c r="W37" s="15"/>
      <c r="X37" s="15"/>
      <c r="Y37" s="15"/>
    </row>
    <row r="38" spans="1:25" x14ac:dyDescent="0.25">
      <c r="A38">
        <v>17769</v>
      </c>
      <c r="C38">
        <v>28</v>
      </c>
      <c r="D38" s="13">
        <f t="shared" si="0"/>
        <v>0.542266845703125</v>
      </c>
      <c r="E38" s="13">
        <v>0.49029541015625</v>
      </c>
      <c r="F38">
        <f t="shared" si="1"/>
        <v>0.56000000000000005</v>
      </c>
      <c r="G38" s="14">
        <f t="shared" si="2"/>
        <v>6.9704589843750053E-2</v>
      </c>
      <c r="L38" s="30">
        <f>IF(D38&gt;$O$13,1,0)</f>
        <v>1</v>
      </c>
      <c r="M38" s="30">
        <f t="shared" si="3"/>
        <v>1</v>
      </c>
      <c r="N38" s="50"/>
      <c r="T38" s="17">
        <v>0.542266845703125</v>
      </c>
      <c r="U38" s="15" t="s">
        <v>24</v>
      </c>
      <c r="V38" s="15"/>
      <c r="W38" s="15"/>
      <c r="X38" s="15"/>
      <c r="Y38" s="15"/>
    </row>
    <row r="39" spans="1:25" x14ac:dyDescent="0.25">
      <c r="A39">
        <v>7174</v>
      </c>
      <c r="C39">
        <v>29</v>
      </c>
      <c r="D39" s="13">
        <f t="shared" si="0"/>
        <v>0.21893310546875</v>
      </c>
      <c r="E39" s="13">
        <v>0.493255615234375</v>
      </c>
      <c r="F39">
        <f t="shared" si="1"/>
        <v>0.57999999999999996</v>
      </c>
      <c r="G39" s="14">
        <f t="shared" si="2"/>
        <v>8.674438476562496E-2</v>
      </c>
      <c r="L39" s="30">
        <f>IF(D39&gt;$O$13,1,0)</f>
        <v>0</v>
      </c>
      <c r="M39" s="30">
        <f t="shared" si="3"/>
        <v>1</v>
      </c>
      <c r="N39" s="50"/>
      <c r="T39" s="17">
        <v>0.21893310546875</v>
      </c>
      <c r="U39" s="15" t="s">
        <v>26</v>
      </c>
      <c r="V39" s="15"/>
      <c r="W39" s="15"/>
      <c r="X39" s="15"/>
      <c r="Y39" s="15"/>
    </row>
    <row r="40" spans="1:25" x14ac:dyDescent="0.25">
      <c r="A40">
        <v>23667</v>
      </c>
      <c r="C40">
        <v>30</v>
      </c>
      <c r="D40" s="13">
        <f t="shared" si="0"/>
        <v>0.722259521484375</v>
      </c>
      <c r="E40" s="13">
        <v>0.539581298828125</v>
      </c>
      <c r="F40">
        <f t="shared" si="1"/>
        <v>0.6</v>
      </c>
      <c r="G40" s="14">
        <f t="shared" si="2"/>
        <v>6.0418701171874978E-2</v>
      </c>
      <c r="L40" s="30">
        <f>IF(D40&gt;$O$13,1,0)</f>
        <v>1</v>
      </c>
      <c r="M40" s="30">
        <f t="shared" si="3"/>
        <v>1</v>
      </c>
      <c r="N40" s="50"/>
      <c r="T40" s="17">
        <v>0.722259521484375</v>
      </c>
      <c r="U40" s="15" t="s">
        <v>35</v>
      </c>
      <c r="V40" s="15"/>
      <c r="W40" s="15"/>
      <c r="X40" s="15"/>
      <c r="Y40" s="15"/>
    </row>
    <row r="41" spans="1:25" x14ac:dyDescent="0.25">
      <c r="A41">
        <v>9136</v>
      </c>
      <c r="C41">
        <v>31</v>
      </c>
      <c r="D41" s="13">
        <f t="shared" si="0"/>
        <v>0.27880859375</v>
      </c>
      <c r="E41" s="13">
        <v>0.542266845703125</v>
      </c>
      <c r="F41">
        <f t="shared" si="1"/>
        <v>0.62</v>
      </c>
      <c r="G41" s="14">
        <f t="shared" si="2"/>
        <v>7.7733154296874996E-2</v>
      </c>
      <c r="L41" s="30">
        <f>IF(D41&gt;$O$13,1,0)</f>
        <v>0</v>
      </c>
      <c r="M41" s="30">
        <f t="shared" si="3"/>
        <v>1</v>
      </c>
      <c r="N41" s="50"/>
      <c r="T41" s="17">
        <v>0.27880859375</v>
      </c>
      <c r="U41" s="15" t="s">
        <v>24</v>
      </c>
      <c r="V41" s="15"/>
      <c r="W41" s="15"/>
      <c r="X41" s="15"/>
      <c r="Y41" s="15"/>
    </row>
    <row r="42" spans="1:25" x14ac:dyDescent="0.25">
      <c r="A42">
        <v>24253</v>
      </c>
      <c r="C42">
        <v>32</v>
      </c>
      <c r="D42" s="13">
        <f t="shared" si="0"/>
        <v>0.740142822265625</v>
      </c>
      <c r="E42" s="13">
        <v>0.547271728515625</v>
      </c>
      <c r="F42">
        <f t="shared" si="1"/>
        <v>0.64</v>
      </c>
      <c r="G42" s="14">
        <f t="shared" si="2"/>
        <v>9.2728271484375013E-2</v>
      </c>
      <c r="L42" s="30">
        <f>IF(D42&gt;$O$13,1,0)</f>
        <v>1</v>
      </c>
      <c r="M42" s="30">
        <f t="shared" si="3"/>
        <v>0</v>
      </c>
      <c r="T42" s="17">
        <v>0.740142822265625</v>
      </c>
      <c r="U42" s="15" t="s">
        <v>24</v>
      </c>
      <c r="V42" s="15"/>
      <c r="W42" s="15"/>
      <c r="X42" s="15"/>
      <c r="Y42" s="15"/>
    </row>
    <row r="43" spans="1:25" x14ac:dyDescent="0.25">
      <c r="A43">
        <v>19098</v>
      </c>
      <c r="C43">
        <v>33</v>
      </c>
      <c r="D43" s="13">
        <f t="shared" si="0"/>
        <v>0.58282470703125</v>
      </c>
      <c r="E43" s="13">
        <v>0.558013916015625</v>
      </c>
      <c r="F43">
        <f t="shared" si="1"/>
        <v>0.66</v>
      </c>
      <c r="G43" s="14">
        <f t="shared" si="2"/>
        <v>0.10198608398437503</v>
      </c>
      <c r="L43" s="30">
        <f>IF(D43&gt;$O$13,1,0)</f>
        <v>1</v>
      </c>
      <c r="M43" s="30">
        <f t="shared" si="3"/>
        <v>0</v>
      </c>
      <c r="T43" s="17">
        <v>0.58282470703125</v>
      </c>
      <c r="U43" s="15" t="s">
        <v>37</v>
      </c>
      <c r="V43" s="15"/>
      <c r="W43" s="15"/>
      <c r="X43" s="15"/>
      <c r="Y43" s="15"/>
    </row>
    <row r="44" spans="1:25" x14ac:dyDescent="0.25">
      <c r="A44">
        <v>29767</v>
      </c>
      <c r="C44">
        <v>34</v>
      </c>
      <c r="D44" s="13">
        <f t="shared" si="0"/>
        <v>0.908416748046875</v>
      </c>
      <c r="E44" s="13">
        <v>0.576263427734375</v>
      </c>
      <c r="F44">
        <f t="shared" si="1"/>
        <v>0.68</v>
      </c>
      <c r="G44" s="14">
        <f t="shared" si="2"/>
        <v>0.10373657226562505</v>
      </c>
      <c r="L44" s="30">
        <f>IF(D44&gt;$O$13,1,0)</f>
        <v>1</v>
      </c>
      <c r="M44" s="30">
        <f t="shared" si="3"/>
        <v>1</v>
      </c>
      <c r="T44" s="17">
        <v>0.908416748046875</v>
      </c>
      <c r="U44" s="15" t="s">
        <v>24</v>
      </c>
      <c r="V44" s="15"/>
      <c r="W44" s="15"/>
      <c r="X44" s="15"/>
      <c r="Y44" s="15"/>
    </row>
    <row r="45" spans="1:25" x14ac:dyDescent="0.25">
      <c r="A45">
        <v>14532</v>
      </c>
      <c r="C45">
        <v>35</v>
      </c>
      <c r="D45" s="13">
        <f t="shared" si="0"/>
        <v>0.4434814453125</v>
      </c>
      <c r="E45" s="13">
        <v>0.58160400390625</v>
      </c>
      <c r="F45">
        <f t="shared" si="1"/>
        <v>0.7</v>
      </c>
      <c r="G45" s="14">
        <f t="shared" si="2"/>
        <v>0.11839599609374996</v>
      </c>
      <c r="L45" s="30">
        <f>IF(D45&gt;$O$13,1,0)</f>
        <v>0</v>
      </c>
      <c r="M45" s="30">
        <f t="shared" si="3"/>
        <v>1</v>
      </c>
      <c r="T45" s="17">
        <v>0.4434814453125</v>
      </c>
      <c r="U45" s="15" t="s">
        <v>35</v>
      </c>
      <c r="V45" s="15"/>
      <c r="W45" s="15"/>
      <c r="X45" s="15"/>
      <c r="Y45" s="15"/>
    </row>
    <row r="46" spans="1:25" x14ac:dyDescent="0.25">
      <c r="A46">
        <v>17681</v>
      </c>
      <c r="C46">
        <v>36</v>
      </c>
      <c r="D46" s="13">
        <f t="shared" si="0"/>
        <v>0.539581298828125</v>
      </c>
      <c r="E46" s="13">
        <v>0.58282470703125</v>
      </c>
      <c r="F46">
        <f t="shared" si="1"/>
        <v>0.72</v>
      </c>
      <c r="G46" s="14">
        <f t="shared" si="2"/>
        <v>0.13717529296874997</v>
      </c>
      <c r="L46" s="30">
        <f>IF(D46&gt;$O$13,1,0)</f>
        <v>1</v>
      </c>
      <c r="M46" s="30">
        <f t="shared" si="3"/>
        <v>1</v>
      </c>
      <c r="T46" s="17">
        <v>0.539581298828125</v>
      </c>
      <c r="U46" s="15" t="s">
        <v>24</v>
      </c>
      <c r="V46" s="15"/>
      <c r="W46" s="15"/>
      <c r="X46" s="15"/>
      <c r="Y46" s="15"/>
    </row>
    <row r="47" spans="1:25" x14ac:dyDescent="0.25">
      <c r="A47">
        <v>5678</v>
      </c>
      <c r="C47">
        <v>37</v>
      </c>
      <c r="D47" s="13">
        <f t="shared" si="0"/>
        <v>0.17327880859375</v>
      </c>
      <c r="E47" s="13">
        <v>0.6441650390625</v>
      </c>
      <c r="F47">
        <f t="shared" si="1"/>
        <v>0.74</v>
      </c>
      <c r="G47" s="14">
        <f t="shared" si="2"/>
        <v>9.5834960937499991E-2</v>
      </c>
      <c r="L47" s="30">
        <f>IF(D47&gt;$O$13,1,0)</f>
        <v>0</v>
      </c>
      <c r="M47" s="30">
        <f t="shared" si="3"/>
        <v>1</v>
      </c>
      <c r="T47" s="17">
        <v>0.17327880859375</v>
      </c>
      <c r="U47" s="15" t="s">
        <v>26</v>
      </c>
      <c r="V47" s="15"/>
      <c r="W47" s="15"/>
      <c r="X47" s="15"/>
      <c r="Y47" s="15"/>
    </row>
    <row r="48" spans="1:25" x14ac:dyDescent="0.25">
      <c r="A48">
        <v>31003</v>
      </c>
      <c r="C48">
        <v>38</v>
      </c>
      <c r="D48" s="13">
        <f t="shared" si="0"/>
        <v>0.946136474609375</v>
      </c>
      <c r="E48" s="13">
        <v>0.7025146484375</v>
      </c>
      <c r="F48">
        <f t="shared" si="1"/>
        <v>0.76</v>
      </c>
      <c r="G48" s="14">
        <f t="shared" si="2"/>
        <v>5.7485351562500009E-2</v>
      </c>
      <c r="L48" s="30">
        <f>IF(D48&gt;$O$13,1,0)</f>
        <v>1</v>
      </c>
      <c r="M48" s="30">
        <f t="shared" si="3"/>
        <v>1</v>
      </c>
      <c r="T48" s="17">
        <v>0.946136474609375</v>
      </c>
      <c r="U48" s="15" t="s">
        <v>26</v>
      </c>
      <c r="V48" s="15"/>
      <c r="W48" s="15"/>
      <c r="X48" s="15"/>
      <c r="Y48" s="15"/>
    </row>
    <row r="49" spans="1:25" x14ac:dyDescent="0.25">
      <c r="A49">
        <v>2776</v>
      </c>
      <c r="C49">
        <v>39</v>
      </c>
      <c r="D49" s="13">
        <f t="shared" si="0"/>
        <v>8.4716796875E-2</v>
      </c>
      <c r="E49" s="13">
        <v>0.722259521484375</v>
      </c>
      <c r="F49">
        <f t="shared" si="1"/>
        <v>0.78</v>
      </c>
      <c r="G49" s="14">
        <f t="shared" si="2"/>
        <v>5.7740478515625027E-2</v>
      </c>
      <c r="L49" s="30">
        <f>IF(D49&gt;$O$13,1,0)</f>
        <v>0</v>
      </c>
      <c r="M49" s="30">
        <f t="shared" si="3"/>
        <v>0</v>
      </c>
      <c r="N49" s="50"/>
      <c r="T49" s="17">
        <v>8.4716796875E-2</v>
      </c>
      <c r="U49" s="15" t="s">
        <v>26</v>
      </c>
      <c r="V49" s="15"/>
      <c r="W49" s="15"/>
      <c r="X49" s="15"/>
      <c r="Y49" s="15"/>
    </row>
    <row r="50" spans="1:25" x14ac:dyDescent="0.25">
      <c r="A50">
        <v>14437</v>
      </c>
      <c r="C50">
        <v>40</v>
      </c>
      <c r="D50" s="13">
        <f t="shared" si="0"/>
        <v>0.440582275390625</v>
      </c>
      <c r="E50" s="13">
        <v>0.740142822265625</v>
      </c>
      <c r="F50">
        <f t="shared" si="1"/>
        <v>0.8</v>
      </c>
      <c r="G50" s="14">
        <f t="shared" si="2"/>
        <v>5.9857177734375044E-2</v>
      </c>
      <c r="L50" s="30">
        <f>IF(D50&gt;$O$13,1,0)</f>
        <v>0</v>
      </c>
      <c r="M50" s="30">
        <f t="shared" si="3"/>
        <v>1</v>
      </c>
      <c r="N50" s="50"/>
      <c r="T50" s="17">
        <v>0.440582275390625</v>
      </c>
      <c r="U50" s="15" t="s">
        <v>24</v>
      </c>
      <c r="V50" s="15"/>
      <c r="W50" s="15"/>
      <c r="X50" s="15"/>
      <c r="Y50" s="15"/>
    </row>
    <row r="51" spans="1:25" x14ac:dyDescent="0.25">
      <c r="A51">
        <v>16066</v>
      </c>
      <c r="C51">
        <v>41</v>
      </c>
      <c r="D51" s="13">
        <f t="shared" si="0"/>
        <v>0.49029541015625</v>
      </c>
      <c r="E51" s="13">
        <v>0.766387939453125</v>
      </c>
      <c r="F51">
        <f t="shared" si="1"/>
        <v>0.82</v>
      </c>
      <c r="G51" s="14">
        <f t="shared" si="2"/>
        <v>5.3612060546874951E-2</v>
      </c>
      <c r="L51" s="30">
        <f>IF(D51&gt;$O$13,1,0)</f>
        <v>1</v>
      </c>
      <c r="M51" s="30">
        <f t="shared" si="3"/>
        <v>1</v>
      </c>
      <c r="N51" s="50"/>
      <c r="T51" s="17">
        <v>0.49029541015625</v>
      </c>
      <c r="U51" s="15" t="s">
        <v>24</v>
      </c>
      <c r="V51" s="15"/>
      <c r="W51" s="15"/>
      <c r="X51" s="15"/>
      <c r="Y51" s="15"/>
    </row>
    <row r="52" spans="1:25" x14ac:dyDescent="0.25">
      <c r="A52">
        <v>10991</v>
      </c>
      <c r="C52">
        <v>42</v>
      </c>
      <c r="D52" s="13">
        <f t="shared" si="0"/>
        <v>0.335418701171875</v>
      </c>
      <c r="E52" s="13">
        <v>0.79339599609375</v>
      </c>
      <c r="F52">
        <f t="shared" si="1"/>
        <v>0.84</v>
      </c>
      <c r="G52" s="14">
        <f t="shared" si="2"/>
        <v>4.6604003906249969E-2</v>
      </c>
      <c r="L52" s="30">
        <f>IF(D52&gt;$O$13,1,0)</f>
        <v>0</v>
      </c>
      <c r="M52" s="30">
        <f t="shared" si="3"/>
        <v>1</v>
      </c>
      <c r="N52" s="50"/>
      <c r="T52" s="17">
        <v>0.335418701171875</v>
      </c>
      <c r="U52" s="15" t="s">
        <v>24</v>
      </c>
      <c r="V52" s="15"/>
      <c r="W52" s="15"/>
      <c r="X52" s="15"/>
      <c r="Y52" s="15"/>
    </row>
    <row r="53" spans="1:25" x14ac:dyDescent="0.25">
      <c r="A53">
        <v>23020</v>
      </c>
      <c r="C53">
        <v>43</v>
      </c>
      <c r="D53" s="13">
        <f t="shared" si="0"/>
        <v>0.7025146484375</v>
      </c>
      <c r="E53" s="13">
        <v>0.796875</v>
      </c>
      <c r="F53">
        <f t="shared" si="1"/>
        <v>0.86</v>
      </c>
      <c r="G53" s="14">
        <f t="shared" si="2"/>
        <v>6.3124999999999987E-2</v>
      </c>
      <c r="L53" s="30">
        <f>IF(D53&gt;$O$13,1,0)</f>
        <v>1</v>
      </c>
      <c r="M53" s="30">
        <f t="shared" si="3"/>
        <v>0</v>
      </c>
      <c r="N53" s="50"/>
      <c r="T53" s="17">
        <v>0.7025146484375</v>
      </c>
      <c r="U53" s="15" t="s">
        <v>26</v>
      </c>
      <c r="V53" s="15"/>
      <c r="W53" s="15"/>
      <c r="X53" s="15"/>
      <c r="Y53" s="15"/>
    </row>
    <row r="54" spans="1:25" x14ac:dyDescent="0.25">
      <c r="A54">
        <v>30905</v>
      </c>
      <c r="C54">
        <v>44</v>
      </c>
      <c r="D54" s="13">
        <f t="shared" si="0"/>
        <v>0.943145751953125</v>
      </c>
      <c r="E54" s="13">
        <v>0.887664794921875</v>
      </c>
      <c r="F54">
        <f t="shared" si="1"/>
        <v>0.88</v>
      </c>
      <c r="G54" s="14">
        <f t="shared" si="2"/>
        <v>7.6647949218749956E-3</v>
      </c>
      <c r="L54" s="30">
        <f>IF(D54&gt;$O$13,1,0)</f>
        <v>1</v>
      </c>
      <c r="M54" s="30">
        <f t="shared" si="3"/>
        <v>1</v>
      </c>
      <c r="N54" s="50"/>
      <c r="T54" s="17">
        <v>0.943145751953125</v>
      </c>
      <c r="U54" s="15" t="s">
        <v>26</v>
      </c>
      <c r="V54" s="15"/>
      <c r="W54" s="15"/>
      <c r="X54" s="15"/>
      <c r="Y54" s="15"/>
    </row>
    <row r="55" spans="1:25" x14ac:dyDescent="0.25">
      <c r="A55">
        <v>1110</v>
      </c>
      <c r="C55">
        <v>45</v>
      </c>
      <c r="D55" s="13">
        <f t="shared" si="0"/>
        <v>3.387451171875E-2</v>
      </c>
      <c r="E55" s="13">
        <v>0.904632568359375</v>
      </c>
      <c r="F55">
        <f t="shared" si="1"/>
        <v>0.9</v>
      </c>
      <c r="G55" s="14">
        <f t="shared" si="2"/>
        <v>4.6325683593749778E-3</v>
      </c>
      <c r="L55" s="30">
        <f>IF(D55&gt;$O$13,1,0)</f>
        <v>0</v>
      </c>
      <c r="M55" s="30">
        <f t="shared" si="3"/>
        <v>1</v>
      </c>
      <c r="N55" s="50"/>
      <c r="T55" s="17">
        <v>3.387451171875E-2</v>
      </c>
      <c r="U55" s="15" t="s">
        <v>24</v>
      </c>
      <c r="V55" s="15"/>
      <c r="W55" s="15"/>
      <c r="X55" s="15"/>
      <c r="Y55" s="15"/>
    </row>
    <row r="56" spans="1:25" x14ac:dyDescent="0.25">
      <c r="A56">
        <v>18883</v>
      </c>
      <c r="C56">
        <v>46</v>
      </c>
      <c r="D56" s="13">
        <f t="shared" si="0"/>
        <v>0.576263427734375</v>
      </c>
      <c r="E56" s="13">
        <v>0.908416748046875</v>
      </c>
      <c r="F56">
        <f t="shared" si="1"/>
        <v>0.92</v>
      </c>
      <c r="G56" s="14">
        <f t="shared" si="2"/>
        <v>1.158325195312504E-2</v>
      </c>
      <c r="L56" s="30">
        <f>IF(D56&gt;$O$13,1,0)</f>
        <v>1</v>
      </c>
      <c r="M56" s="30">
        <f t="shared" si="3"/>
        <v>0</v>
      </c>
      <c r="N56" s="50"/>
      <c r="T56" s="17">
        <v>0.576263427734375</v>
      </c>
      <c r="U56" s="15" t="s">
        <v>24</v>
      </c>
      <c r="V56" s="15"/>
      <c r="W56" s="15"/>
      <c r="X56" s="15"/>
      <c r="Y56" s="15"/>
    </row>
    <row r="57" spans="1:25" x14ac:dyDescent="0.25">
      <c r="A57">
        <v>26112</v>
      </c>
      <c r="C57">
        <v>47</v>
      </c>
      <c r="D57" s="13">
        <f t="shared" si="0"/>
        <v>0.796875</v>
      </c>
      <c r="E57" s="13">
        <v>0.943145751953125</v>
      </c>
      <c r="F57">
        <f t="shared" si="1"/>
        <v>0.94</v>
      </c>
      <c r="G57" s="14">
        <f t="shared" si="2"/>
        <v>3.1457519531250533E-3</v>
      </c>
      <c r="L57" s="30">
        <f>IF(D57&gt;$O$13,1,0)</f>
        <v>1</v>
      </c>
      <c r="M57" s="30">
        <f t="shared" si="3"/>
        <v>0</v>
      </c>
      <c r="N57" s="50"/>
      <c r="T57" s="17">
        <v>0.796875</v>
      </c>
      <c r="U57" s="15" t="s">
        <v>24</v>
      </c>
      <c r="V57" s="15"/>
      <c r="W57" s="15"/>
      <c r="X57" s="15"/>
      <c r="Y57" s="15"/>
    </row>
    <row r="58" spans="1:25" x14ac:dyDescent="0.25">
      <c r="A58">
        <v>17933</v>
      </c>
      <c r="C58">
        <v>48</v>
      </c>
      <c r="D58" s="13">
        <f t="shared" si="0"/>
        <v>0.547271728515625</v>
      </c>
      <c r="E58" s="13">
        <v>0.946136474609375</v>
      </c>
      <c r="F58">
        <f t="shared" si="1"/>
        <v>0.96</v>
      </c>
      <c r="G58" s="14">
        <f t="shared" si="2"/>
        <v>1.3863525390624964E-2</v>
      </c>
      <c r="L58" s="30">
        <f>IF(D58&gt;$O$13,1,0)</f>
        <v>1</v>
      </c>
      <c r="M58" s="30">
        <f t="shared" si="3"/>
        <v>1</v>
      </c>
      <c r="N58" s="50"/>
      <c r="T58" s="17">
        <v>0.547271728515625</v>
      </c>
      <c r="U58" s="15" t="s">
        <v>24</v>
      </c>
      <c r="V58" s="15"/>
      <c r="W58" s="15"/>
      <c r="X58" s="15"/>
      <c r="Y58" s="15"/>
    </row>
    <row r="59" spans="1:25" x14ac:dyDescent="0.25">
      <c r="A59">
        <v>9962</v>
      </c>
      <c r="C59">
        <v>49</v>
      </c>
      <c r="D59" s="13">
        <f t="shared" si="0"/>
        <v>0.30401611328125</v>
      </c>
      <c r="E59" s="13">
        <v>0.951202392578125</v>
      </c>
      <c r="F59">
        <f t="shared" si="1"/>
        <v>0.98</v>
      </c>
      <c r="G59" s="14">
        <f t="shared" si="2"/>
        <v>2.8797607421874982E-2</v>
      </c>
      <c r="L59" s="30">
        <f>IF(D59&gt;$O$13,1,0)</f>
        <v>0</v>
      </c>
      <c r="M59" s="30">
        <f t="shared" si="3"/>
        <v>0</v>
      </c>
      <c r="N59" s="50"/>
      <c r="T59" s="17">
        <v>0.30401611328125</v>
      </c>
      <c r="U59" s="15" t="s">
        <v>24</v>
      </c>
      <c r="V59" s="15"/>
      <c r="W59" s="15"/>
      <c r="X59" s="15"/>
      <c r="Y59" s="15"/>
    </row>
    <row r="60" spans="1:25" x14ac:dyDescent="0.25">
      <c r="A60">
        <v>5527</v>
      </c>
      <c r="C60">
        <v>50</v>
      </c>
      <c r="D60" s="13">
        <f t="shared" si="0"/>
        <v>0.168670654296875</v>
      </c>
      <c r="E60" s="13">
        <v>0.987823486328125</v>
      </c>
      <c r="F60">
        <f t="shared" si="1"/>
        <v>1</v>
      </c>
      <c r="G60" s="14">
        <f t="shared" si="2"/>
        <v>1.2176513671875E-2</v>
      </c>
      <c r="L60" s="30">
        <f>IF(D60&gt;$O$13,1,0)</f>
        <v>0</v>
      </c>
      <c r="M60" s="30">
        <f>IF(R13&lt;&gt;L60,1,0)</f>
        <v>1</v>
      </c>
      <c r="N60" s="50"/>
      <c r="T60" s="17">
        <v>0.168670654296875</v>
      </c>
      <c r="U60" s="15" t="s">
        <v>24</v>
      </c>
      <c r="V60" s="15"/>
      <c r="W60" s="15"/>
      <c r="X60" s="15"/>
      <c r="Y60" s="15"/>
    </row>
    <row r="61" spans="1:25" x14ac:dyDescent="0.25">
      <c r="V61" s="15"/>
    </row>
  </sheetData>
  <sortState ref="E11:E60">
    <sortCondition ref="E11:E60"/>
  </sortState>
  <pageMargins left="0.7" right="0.7" top="0.75" bottom="0.75" header="0.3" footer="0.3"/>
  <pageSetup paperSize="9" scale="73" orientation="portrait" r:id="rId1"/>
  <colBreaks count="2" manualBreakCount="2">
    <brk id="10" max="1048575" man="1"/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61"/>
  <sheetViews>
    <sheetView view="pageBreakPreview" topLeftCell="G1" zoomScale="84" zoomScaleNormal="112" zoomScaleSheetLayoutView="84" workbookViewId="0">
      <selection activeCell="AA6" sqref="AA6"/>
    </sheetView>
  </sheetViews>
  <sheetFormatPr baseColWidth="10" defaultColWidth="9.140625" defaultRowHeight="15" x14ac:dyDescent="0.25"/>
  <cols>
    <col min="4" max="4" width="12.5703125" customWidth="1"/>
    <col min="5" max="5" width="14.85546875" customWidth="1"/>
    <col min="6" max="6" width="14.140625" customWidth="1"/>
    <col min="7" max="7" width="12.5703125" customWidth="1"/>
    <col min="8" max="8" width="12.85546875" customWidth="1"/>
    <col min="9" max="9" width="11.5703125" customWidth="1"/>
    <col min="10" max="10" width="11.85546875" bestFit="1" customWidth="1"/>
    <col min="16" max="16" width="13.42578125" customWidth="1"/>
    <col min="17" max="17" width="11.5703125" customWidth="1"/>
    <col min="18" max="18" width="18.85546875" customWidth="1"/>
    <col min="19" max="19" width="13.140625" customWidth="1"/>
    <col min="20" max="20" width="18.85546875" customWidth="1"/>
    <col min="21" max="21" width="20.5703125" customWidth="1"/>
    <col min="22" max="22" width="23.7109375" bestFit="1" customWidth="1"/>
    <col min="23" max="23" width="11.28515625" bestFit="1" customWidth="1"/>
    <col min="24" max="24" width="21.28515625" bestFit="1" customWidth="1"/>
    <col min="25" max="26" width="20.42578125" bestFit="1" customWidth="1"/>
    <col min="27" max="27" width="18.28515625" bestFit="1" customWidth="1"/>
  </cols>
  <sheetData>
    <row r="4" spans="1:25" x14ac:dyDescent="0.25">
      <c r="L4" t="s">
        <v>0</v>
      </c>
    </row>
    <row r="5" spans="1:25" x14ac:dyDescent="0.25">
      <c r="E5" s="4" t="s">
        <v>1</v>
      </c>
      <c r="K5" s="30"/>
      <c r="L5" s="44" t="str">
        <f>IF(AND(L7&gt;=K7,L7&lt;=M7),"No se rechaza Ho","Se Rechaza Ho")</f>
        <v>No se rechaza Ho</v>
      </c>
      <c r="M5" s="44"/>
    </row>
    <row r="6" spans="1:25" x14ac:dyDescent="0.25">
      <c r="E6" s="4" t="s">
        <v>3</v>
      </c>
      <c r="K6" s="43" t="s">
        <v>4</v>
      </c>
      <c r="L6" s="43" t="s">
        <v>5</v>
      </c>
      <c r="M6" s="43" t="s">
        <v>6</v>
      </c>
      <c r="V6" s="42" t="s">
        <v>2</v>
      </c>
    </row>
    <row r="7" spans="1:25" x14ac:dyDescent="0.25">
      <c r="D7" s="11" t="s">
        <v>70</v>
      </c>
      <c r="E7" s="11" t="s">
        <v>75</v>
      </c>
      <c r="F7" s="11" t="s">
        <v>64</v>
      </c>
      <c r="K7" s="30">
        <f>N16*-1</f>
        <v>-1.96</v>
      </c>
      <c r="L7" s="30">
        <f>R18</f>
        <v>1.013294311709106</v>
      </c>
      <c r="M7" s="30">
        <f>K7*-1</f>
        <v>1.96</v>
      </c>
      <c r="V7" s="42" t="s">
        <v>7</v>
      </c>
    </row>
    <row r="8" spans="1:25" x14ac:dyDescent="0.25">
      <c r="U8" s="11" t="s">
        <v>70</v>
      </c>
      <c r="V8" s="11" t="s">
        <v>75</v>
      </c>
      <c r="W8" s="11" t="s">
        <v>64</v>
      </c>
    </row>
    <row r="10" spans="1:25" ht="60" x14ac:dyDescent="0.25">
      <c r="A10" s="12" t="s">
        <v>11</v>
      </c>
      <c r="C10" s="15"/>
      <c r="D10" s="15" t="s">
        <v>59</v>
      </c>
      <c r="E10" s="16" t="s">
        <v>60</v>
      </c>
      <c r="F10" s="16" t="s">
        <v>61</v>
      </c>
      <c r="G10" s="16" t="s">
        <v>15</v>
      </c>
      <c r="H10" s="16" t="s">
        <v>16</v>
      </c>
      <c r="I10" s="16" t="s">
        <v>17</v>
      </c>
      <c r="K10" s="52" t="s">
        <v>80</v>
      </c>
      <c r="L10" s="31" t="s">
        <v>18</v>
      </c>
      <c r="M10" s="49"/>
      <c r="N10" s="49"/>
    </row>
    <row r="11" spans="1:25" x14ac:dyDescent="0.25">
      <c r="A11">
        <v>255</v>
      </c>
      <c r="C11">
        <v>1</v>
      </c>
      <c r="D11" s="13">
        <f>A11/32768</f>
        <v>7.781982421875E-3</v>
      </c>
      <c r="E11" s="13">
        <v>7.781982421875E-3</v>
      </c>
      <c r="F11">
        <f>C11/50</f>
        <v>0.02</v>
      </c>
      <c r="G11" s="14">
        <f>ABS(E11-F11)</f>
        <v>1.2218017578125E-2</v>
      </c>
      <c r="H11" s="14">
        <f>MAX(G11:G60)</f>
        <v>6.561279296875E-2</v>
      </c>
      <c r="I11">
        <v>0.188</v>
      </c>
      <c r="K11" s="30">
        <f>IF(D11&gt;$N$12,1,0)</f>
        <v>0</v>
      </c>
      <c r="L11" s="30">
        <f>K11</f>
        <v>0</v>
      </c>
      <c r="M11" s="50"/>
      <c r="N11" s="50"/>
      <c r="T11" s="15" t="s">
        <v>19</v>
      </c>
      <c r="U11" s="15" t="s">
        <v>20</v>
      </c>
      <c r="V11" s="15" t="s">
        <v>21</v>
      </c>
      <c r="W11" s="15"/>
      <c r="X11" s="15" t="s">
        <v>22</v>
      </c>
      <c r="Y11" s="15" t="s">
        <v>23</v>
      </c>
    </row>
    <row r="12" spans="1:25" x14ac:dyDescent="0.25">
      <c r="A12">
        <v>6380</v>
      </c>
      <c r="C12">
        <v>2</v>
      </c>
      <c r="D12" s="13">
        <f t="shared" ref="D12:D60" si="0">A12/32768</f>
        <v>0.1947021484375</v>
      </c>
      <c r="E12" s="13">
        <v>1.025390625E-2</v>
      </c>
      <c r="F12">
        <f t="shared" ref="F12:F60" si="1">C12/50</f>
        <v>0.04</v>
      </c>
      <c r="G12" s="14">
        <f t="shared" ref="G12:G60" si="2">ABS(E12-F12)</f>
        <v>2.9746093750000001E-2</v>
      </c>
      <c r="K12" s="30">
        <f>IF(D12&gt;$N$12,1,0)</f>
        <v>0</v>
      </c>
      <c r="L12" s="30">
        <f>IF(K13&lt;&gt;K12,1,0)</f>
        <v>1</v>
      </c>
      <c r="M12" t="s">
        <v>38</v>
      </c>
      <c r="N12" s="13">
        <f>AVERAGE(D11:D60)</f>
        <v>0.51771667480468753</v>
      </c>
      <c r="Q12" t="s">
        <v>39</v>
      </c>
      <c r="R12" s="32">
        <f>SUM(L11:L60)</f>
        <v>29</v>
      </c>
      <c r="T12" s="17">
        <v>7.781982421875E-3</v>
      </c>
      <c r="U12" s="15" t="s">
        <v>37</v>
      </c>
      <c r="V12" s="15">
        <v>15</v>
      </c>
      <c r="W12" s="15" t="s">
        <v>25</v>
      </c>
      <c r="X12" s="15">
        <v>15.120000000000001</v>
      </c>
      <c r="Y12" s="40">
        <f>ABS((V12-15.12)^2/15.12)</f>
        <v>9.5238095238094002E-4</v>
      </c>
    </row>
    <row r="13" spans="1:25" x14ac:dyDescent="0.25">
      <c r="A13">
        <v>28433</v>
      </c>
      <c r="C13">
        <v>3</v>
      </c>
      <c r="D13" s="13">
        <f t="shared" si="0"/>
        <v>0.867706298828125</v>
      </c>
      <c r="E13" s="13">
        <v>3.5888671875E-2</v>
      </c>
      <c r="F13">
        <f t="shared" si="1"/>
        <v>0.06</v>
      </c>
      <c r="G13" s="14">
        <f t="shared" si="2"/>
        <v>2.4111328124999998E-2</v>
      </c>
      <c r="K13" s="30">
        <f>IF(D13&gt;$N$12,1,0)</f>
        <v>1</v>
      </c>
      <c r="L13" s="30">
        <f t="shared" ref="L13:L59" si="3">IF(K14&lt;&gt;K13,1,0)</f>
        <v>0</v>
      </c>
      <c r="M13" t="s">
        <v>40</v>
      </c>
      <c r="N13">
        <f>_xlfn.STDEV.S(D11:D60)</f>
        <v>0.29654356997524378</v>
      </c>
      <c r="O13" t="s">
        <v>41</v>
      </c>
      <c r="P13" t="s">
        <v>42</v>
      </c>
      <c r="T13" s="17">
        <v>0.1947021484375</v>
      </c>
      <c r="U13" s="15" t="s">
        <v>26</v>
      </c>
      <c r="V13" s="15">
        <v>26</v>
      </c>
      <c r="W13" s="15" t="s">
        <v>27</v>
      </c>
      <c r="X13" s="15">
        <v>25.2</v>
      </c>
      <c r="Y13" s="40">
        <f>ABS((V13-25.2)^2/25.2)</f>
        <v>2.5396825396825442E-2</v>
      </c>
    </row>
    <row r="14" spans="1:25" x14ac:dyDescent="0.25">
      <c r="A14">
        <v>22702</v>
      </c>
      <c r="C14">
        <v>4</v>
      </c>
      <c r="D14" s="13">
        <f t="shared" si="0"/>
        <v>0.69281005859375</v>
      </c>
      <c r="E14" s="13">
        <v>6.549072265625E-2</v>
      </c>
      <c r="F14">
        <f t="shared" si="1"/>
        <v>0.08</v>
      </c>
      <c r="G14" s="14">
        <f t="shared" si="2"/>
        <v>1.4509277343750002E-2</v>
      </c>
      <c r="K14" s="30">
        <f>IF(D14&gt;$N$12,1,0)</f>
        <v>1</v>
      </c>
      <c r="L14" s="30">
        <f t="shared" si="3"/>
        <v>1</v>
      </c>
      <c r="M14" s="27" t="s">
        <v>43</v>
      </c>
      <c r="N14">
        <v>0.05</v>
      </c>
      <c r="O14">
        <f>COUNTIF(K11:K60,1)</f>
        <v>24</v>
      </c>
      <c r="P14">
        <f>COUNTIF(K11:K60,0)</f>
        <v>26</v>
      </c>
      <c r="T14" s="17">
        <v>0.867706298828125</v>
      </c>
      <c r="U14" s="15" t="s">
        <v>24</v>
      </c>
      <c r="V14" s="15">
        <v>6</v>
      </c>
      <c r="W14" s="15" t="s">
        <v>28</v>
      </c>
      <c r="X14" s="15">
        <v>5.4</v>
      </c>
      <c r="Y14" s="40">
        <f>ABS((V14-5.4)^2/5.4)</f>
        <v>6.6666666666666582E-2</v>
      </c>
    </row>
    <row r="15" spans="1:25" x14ac:dyDescent="0.25">
      <c r="A15">
        <v>10499</v>
      </c>
      <c r="C15">
        <v>5</v>
      </c>
      <c r="D15" s="13">
        <f t="shared" si="0"/>
        <v>0.320404052734375</v>
      </c>
      <c r="E15" s="13">
        <v>0.121429443359375</v>
      </c>
      <c r="F15">
        <f t="shared" si="1"/>
        <v>0.1</v>
      </c>
      <c r="G15" s="14">
        <f t="shared" si="2"/>
        <v>2.1429443359374994E-2</v>
      </c>
      <c r="K15" s="30">
        <f>IF(D15&gt;$N$12,1,0)</f>
        <v>0</v>
      </c>
      <c r="L15" s="30">
        <f t="shared" si="3"/>
        <v>0</v>
      </c>
      <c r="M15" s="27" t="s">
        <v>44</v>
      </c>
      <c r="N15">
        <f>N14/2</f>
        <v>2.5000000000000001E-2</v>
      </c>
      <c r="T15" s="17">
        <v>0.69281005859375</v>
      </c>
      <c r="U15" s="15" t="s">
        <v>26</v>
      </c>
      <c r="V15" s="15">
        <v>2</v>
      </c>
      <c r="W15" s="15" t="s">
        <v>29</v>
      </c>
      <c r="X15" s="15">
        <v>3.5999999999999996</v>
      </c>
      <c r="Y15" s="40">
        <f>ABS((V15-3.6)^2/3.6)</f>
        <v>0.71111111111111125</v>
      </c>
    </row>
    <row r="16" spans="1:25" x14ac:dyDescent="0.25">
      <c r="A16">
        <v>336</v>
      </c>
      <c r="C16">
        <v>6</v>
      </c>
      <c r="D16" s="13">
        <f t="shared" si="0"/>
        <v>1.025390625E-2</v>
      </c>
      <c r="E16" s="13">
        <v>0.132232666015625</v>
      </c>
      <c r="F16">
        <f t="shared" si="1"/>
        <v>0.12</v>
      </c>
      <c r="G16" s="14">
        <f t="shared" si="2"/>
        <v>1.2232666015625004E-2</v>
      </c>
      <c r="K16" s="30">
        <f>IF(D16&gt;$N$12,1,0)</f>
        <v>0</v>
      </c>
      <c r="L16" s="30">
        <f t="shared" si="3"/>
        <v>0</v>
      </c>
      <c r="M16" t="s">
        <v>6</v>
      </c>
      <c r="N16">
        <f>1.96</f>
        <v>1.96</v>
      </c>
      <c r="Q16" t="s">
        <v>45</v>
      </c>
      <c r="R16" s="33">
        <f>((2*O14*P14))/(O14+P14)+(1/2)</f>
        <v>25.46</v>
      </c>
      <c r="T16" s="17">
        <v>0.320404052734375</v>
      </c>
      <c r="U16" s="15" t="s">
        <v>24</v>
      </c>
      <c r="V16" s="15">
        <v>0</v>
      </c>
      <c r="W16" s="15" t="s">
        <v>30</v>
      </c>
      <c r="X16" s="15">
        <v>0.22499999999999998</v>
      </c>
      <c r="Y16" s="40">
        <f>ABS((V16-0.225)^2/0.225)</f>
        <v>0.22500000000000001</v>
      </c>
    </row>
    <row r="17" spans="1:25" x14ac:dyDescent="0.25">
      <c r="A17">
        <v>8405</v>
      </c>
      <c r="C17">
        <v>7</v>
      </c>
      <c r="D17" s="13">
        <f t="shared" si="0"/>
        <v>0.256500244140625</v>
      </c>
      <c r="E17" s="13">
        <v>0.15582275390625</v>
      </c>
      <c r="F17">
        <f t="shared" si="1"/>
        <v>0.14000000000000001</v>
      </c>
      <c r="G17" s="14">
        <f t="shared" si="2"/>
        <v>1.5822753906249987E-2</v>
      </c>
      <c r="K17" s="30">
        <f>IF(D17&gt;$N$12,1,0)</f>
        <v>0</v>
      </c>
      <c r="L17" s="30">
        <f t="shared" si="3"/>
        <v>0</v>
      </c>
      <c r="Q17" t="s">
        <v>46</v>
      </c>
      <c r="R17">
        <f>(2*O14*P14*(2*O14*P14 -C60))/(C60*C60*(C60-1))</f>
        <v>12.204930612244898</v>
      </c>
      <c r="T17" s="17">
        <v>1.025390625E-2</v>
      </c>
      <c r="U17" s="15" t="s">
        <v>24</v>
      </c>
      <c r="V17" s="15">
        <v>1</v>
      </c>
      <c r="W17" s="15" t="s">
        <v>31</v>
      </c>
      <c r="X17" s="15">
        <v>0.44999999999999996</v>
      </c>
      <c r="Y17" s="40">
        <f>ABS((V17-0.45)^2/0.45)</f>
        <v>0.67222222222222228</v>
      </c>
    </row>
    <row r="18" spans="1:25" x14ac:dyDescent="0.25">
      <c r="A18">
        <v>13522</v>
      </c>
      <c r="C18">
        <v>8</v>
      </c>
      <c r="D18" s="13">
        <f t="shared" si="0"/>
        <v>0.41265869140625</v>
      </c>
      <c r="E18" s="13">
        <v>0.165283203125</v>
      </c>
      <c r="F18">
        <f t="shared" si="1"/>
        <v>0.16</v>
      </c>
      <c r="G18" s="14">
        <f t="shared" si="2"/>
        <v>5.2832031249999967E-3</v>
      </c>
      <c r="K18" s="30">
        <f>IF(D18&gt;$N$12,1,0)</f>
        <v>0</v>
      </c>
      <c r="L18" s="30">
        <f t="shared" si="3"/>
        <v>0</v>
      </c>
      <c r="Q18" t="s">
        <v>5</v>
      </c>
      <c r="R18">
        <f>(R12-R16)/SQRT(R17)</f>
        <v>1.013294311709106</v>
      </c>
      <c r="T18" s="17">
        <v>0.256500244140625</v>
      </c>
      <c r="U18" s="15" t="s">
        <v>24</v>
      </c>
      <c r="V18" s="15">
        <v>0</v>
      </c>
      <c r="W18" s="15" t="s">
        <v>32</v>
      </c>
      <c r="X18" s="15">
        <v>5.0000000000000001E-3</v>
      </c>
      <c r="Y18" s="40">
        <f>ABS((V18-0.005)^2/0.005)</f>
        <v>5.0000000000000001E-3</v>
      </c>
    </row>
    <row r="19" spans="1:25" x14ac:dyDescent="0.25">
      <c r="A19">
        <v>10375</v>
      </c>
      <c r="C19">
        <v>9</v>
      </c>
      <c r="D19" s="13">
        <f t="shared" si="0"/>
        <v>0.316619873046875</v>
      </c>
      <c r="E19" s="13">
        <v>0.1947021484375</v>
      </c>
      <c r="F19">
        <f t="shared" si="1"/>
        <v>0.18</v>
      </c>
      <c r="G19" s="14">
        <f t="shared" si="2"/>
        <v>1.4702148437500007E-2</v>
      </c>
      <c r="K19" s="30">
        <f>IF(D19&gt;$N$12,1,0)</f>
        <v>0</v>
      </c>
      <c r="L19" s="30">
        <f t="shared" si="3"/>
        <v>1</v>
      </c>
      <c r="M19" s="50"/>
      <c r="N19" s="50"/>
      <c r="T19" s="17">
        <v>0.41265869140625</v>
      </c>
      <c r="U19" s="15" t="s">
        <v>24</v>
      </c>
      <c r="V19" s="15"/>
      <c r="W19" s="15"/>
      <c r="X19" s="15"/>
      <c r="Y19" s="40"/>
    </row>
    <row r="20" spans="1:25" x14ac:dyDescent="0.25">
      <c r="A20">
        <v>30004</v>
      </c>
      <c r="C20">
        <v>10</v>
      </c>
      <c r="D20" s="13">
        <f t="shared" si="0"/>
        <v>0.9156494140625</v>
      </c>
      <c r="E20" s="13">
        <v>0.2347412109375</v>
      </c>
      <c r="F20">
        <f t="shared" si="1"/>
        <v>0.2</v>
      </c>
      <c r="G20" s="14">
        <f t="shared" si="2"/>
        <v>3.4741210937499989E-2</v>
      </c>
      <c r="K20" s="30">
        <f>IF(D20&gt;$N$12,1,0)</f>
        <v>1</v>
      </c>
      <c r="L20" s="30">
        <f t="shared" si="3"/>
        <v>0</v>
      </c>
      <c r="M20" s="50"/>
      <c r="N20" s="50"/>
      <c r="T20" s="17">
        <v>0.316619873046875</v>
      </c>
      <c r="U20" s="15" t="s">
        <v>24</v>
      </c>
      <c r="V20" s="15"/>
      <c r="W20" s="15"/>
      <c r="X20" s="15" t="s">
        <v>33</v>
      </c>
      <c r="Y20" s="40">
        <f>SUM(Y12:Y18)</f>
        <v>1.7063492063492065</v>
      </c>
    </row>
    <row r="21" spans="1:25" x14ac:dyDescent="0.25">
      <c r="A21">
        <v>29209</v>
      </c>
      <c r="C21">
        <v>11</v>
      </c>
      <c r="D21" s="13">
        <f t="shared" si="0"/>
        <v>0.891387939453125</v>
      </c>
      <c r="E21" s="13">
        <v>0.256500244140625</v>
      </c>
      <c r="F21">
        <f t="shared" si="1"/>
        <v>0.22</v>
      </c>
      <c r="G21" s="14">
        <f t="shared" si="2"/>
        <v>3.6500244140624999E-2</v>
      </c>
      <c r="K21" s="30">
        <f>IF(D21&gt;$N$12,1,0)</f>
        <v>1</v>
      </c>
      <c r="L21" s="30">
        <f t="shared" si="3"/>
        <v>1</v>
      </c>
      <c r="M21" s="50"/>
      <c r="N21" s="50"/>
      <c r="T21" s="17">
        <v>0.9156494140625</v>
      </c>
      <c r="U21" s="15" t="s">
        <v>24</v>
      </c>
      <c r="V21" s="15"/>
      <c r="W21" s="15"/>
      <c r="X21" s="15" t="s">
        <v>34</v>
      </c>
      <c r="Y21" s="40">
        <v>12.59</v>
      </c>
    </row>
    <row r="22" spans="1:25" x14ac:dyDescent="0.25">
      <c r="A22">
        <v>9334</v>
      </c>
      <c r="C22">
        <v>12</v>
      </c>
      <c r="D22" s="13">
        <f t="shared" si="0"/>
        <v>0.28485107421875</v>
      </c>
      <c r="E22" s="13">
        <v>0.26904296875</v>
      </c>
      <c r="F22">
        <f t="shared" si="1"/>
        <v>0.24</v>
      </c>
      <c r="G22" s="14">
        <f t="shared" si="2"/>
        <v>2.9042968750000009E-2</v>
      </c>
      <c r="K22" s="30">
        <f>IF(D22&gt;$N$12,1,0)</f>
        <v>0</v>
      </c>
      <c r="L22" s="30">
        <f t="shared" si="3"/>
        <v>0</v>
      </c>
      <c r="M22" s="50"/>
      <c r="N22" s="50"/>
      <c r="T22" s="17">
        <v>0.891387939453125</v>
      </c>
      <c r="U22" s="15" t="s">
        <v>24</v>
      </c>
      <c r="V22" s="15"/>
      <c r="W22" s="15"/>
      <c r="X22" s="15"/>
      <c r="Y22" s="15"/>
    </row>
    <row r="23" spans="1:25" x14ac:dyDescent="0.25">
      <c r="A23">
        <v>3979</v>
      </c>
      <c r="C23">
        <v>13</v>
      </c>
      <c r="D23" s="13">
        <f t="shared" si="0"/>
        <v>0.121429443359375</v>
      </c>
      <c r="E23" s="13">
        <v>0.28485107421875</v>
      </c>
      <c r="F23">
        <f t="shared" si="1"/>
        <v>0.26</v>
      </c>
      <c r="G23" s="14">
        <f t="shared" si="2"/>
        <v>2.4851074218749991E-2</v>
      </c>
      <c r="K23" s="30">
        <f>IF(D23&gt;$N$12,1,0)</f>
        <v>0</v>
      </c>
      <c r="L23" s="30">
        <f t="shared" si="3"/>
        <v>0</v>
      </c>
      <c r="M23" s="50"/>
      <c r="N23" s="50"/>
      <c r="T23" s="17">
        <v>0.28485107421875</v>
      </c>
      <c r="U23" s="15" t="s">
        <v>24</v>
      </c>
      <c r="V23" s="15"/>
      <c r="W23" s="15"/>
      <c r="X23" s="15"/>
      <c r="Y23" s="15"/>
    </row>
    <row r="24" spans="1:25" x14ac:dyDescent="0.25">
      <c r="A24">
        <v>1176</v>
      </c>
      <c r="C24">
        <v>14</v>
      </c>
      <c r="D24" s="13">
        <f t="shared" si="0"/>
        <v>3.5888671875E-2</v>
      </c>
      <c r="E24" s="13">
        <v>0.304595947265625</v>
      </c>
      <c r="F24">
        <f t="shared" si="1"/>
        <v>0.28000000000000003</v>
      </c>
      <c r="G24" s="14">
        <f t="shared" si="2"/>
        <v>2.4595947265624973E-2</v>
      </c>
      <c r="K24" s="30">
        <f>IF(D24&gt;$N$12,1,0)</f>
        <v>0</v>
      </c>
      <c r="L24" s="30">
        <f t="shared" si="3"/>
        <v>1</v>
      </c>
      <c r="M24" s="50"/>
      <c r="N24" s="50"/>
      <c r="T24" s="17">
        <v>0.121429443359375</v>
      </c>
      <c r="U24" s="15" t="s">
        <v>24</v>
      </c>
      <c r="V24" s="15"/>
      <c r="W24" s="15"/>
      <c r="X24" s="15"/>
      <c r="Y24" s="15"/>
    </row>
    <row r="25" spans="1:25" x14ac:dyDescent="0.25">
      <c r="A25">
        <v>29405</v>
      </c>
      <c r="C25">
        <v>15</v>
      </c>
      <c r="D25" s="13">
        <f t="shared" si="0"/>
        <v>0.897369384765625</v>
      </c>
      <c r="E25" s="13">
        <v>0.30596923828125</v>
      </c>
      <c r="F25">
        <f t="shared" si="1"/>
        <v>0.3</v>
      </c>
      <c r="G25" s="14">
        <f t="shared" si="2"/>
        <v>5.9692382812500111E-3</v>
      </c>
      <c r="K25" s="30">
        <f>IF(D25&gt;$N$12,1,0)</f>
        <v>1</v>
      </c>
      <c r="L25" s="30">
        <f t="shared" si="3"/>
        <v>1</v>
      </c>
      <c r="M25" s="50"/>
      <c r="N25" s="50"/>
      <c r="T25" s="17">
        <v>3.5888671875E-2</v>
      </c>
      <c r="U25" s="15" t="s">
        <v>26</v>
      </c>
      <c r="V25" s="15"/>
      <c r="W25" s="15"/>
      <c r="X25" s="15"/>
      <c r="Y25" s="15"/>
    </row>
    <row r="26" spans="1:25" x14ac:dyDescent="0.25">
      <c r="A26">
        <v>14234</v>
      </c>
      <c r="C26">
        <v>16</v>
      </c>
      <c r="D26" s="13">
        <f t="shared" si="0"/>
        <v>0.43438720703125</v>
      </c>
      <c r="E26" s="13">
        <v>0.316619873046875</v>
      </c>
      <c r="F26">
        <f t="shared" si="1"/>
        <v>0.32</v>
      </c>
      <c r="G26" s="14">
        <f t="shared" si="2"/>
        <v>3.3801269531250067E-3</v>
      </c>
      <c r="K26" s="30">
        <f>IF(D26&gt;$N$12,1,0)</f>
        <v>0</v>
      </c>
      <c r="L26" s="30">
        <f t="shared" si="3"/>
        <v>1</v>
      </c>
      <c r="M26" s="50"/>
      <c r="N26" s="50"/>
      <c r="T26" s="17">
        <v>0.897369384765625</v>
      </c>
      <c r="U26" s="15" t="s">
        <v>24</v>
      </c>
      <c r="V26" s="15"/>
      <c r="W26" s="15"/>
      <c r="X26" s="15"/>
      <c r="Y26" s="15"/>
    </row>
    <row r="27" spans="1:25" x14ac:dyDescent="0.25">
      <c r="A27">
        <v>28175</v>
      </c>
      <c r="C27">
        <v>17</v>
      </c>
      <c r="D27" s="13">
        <f t="shared" si="0"/>
        <v>0.859832763671875</v>
      </c>
      <c r="E27" s="13">
        <v>0.320404052734375</v>
      </c>
      <c r="F27">
        <f t="shared" si="1"/>
        <v>0.34</v>
      </c>
      <c r="G27" s="14">
        <f t="shared" si="2"/>
        <v>1.9595947265625024E-2</v>
      </c>
      <c r="K27" s="30">
        <f>IF(D27&gt;$N$12,1,0)</f>
        <v>1</v>
      </c>
      <c r="L27" s="30">
        <f t="shared" si="3"/>
        <v>1</v>
      </c>
      <c r="M27" s="50"/>
      <c r="N27" s="50"/>
      <c r="T27" s="17">
        <v>0.43438720703125</v>
      </c>
      <c r="U27" s="15" t="s">
        <v>37</v>
      </c>
      <c r="V27" s="15"/>
      <c r="W27" s="15"/>
      <c r="X27" s="15"/>
      <c r="Y27" s="15"/>
    </row>
    <row r="28" spans="1:25" x14ac:dyDescent="0.25">
      <c r="A28">
        <v>16252</v>
      </c>
      <c r="C28">
        <v>18</v>
      </c>
      <c r="D28" s="13">
        <f t="shared" si="0"/>
        <v>0.4959716796875</v>
      </c>
      <c r="E28" s="13">
        <v>0.376434326171875</v>
      </c>
      <c r="F28">
        <f t="shared" si="1"/>
        <v>0.36</v>
      </c>
      <c r="G28" s="14">
        <f t="shared" si="2"/>
        <v>1.6434326171875013E-2</v>
      </c>
      <c r="K28" s="30">
        <f>IF(D28&gt;$N$12,1,0)</f>
        <v>0</v>
      </c>
      <c r="L28" s="30">
        <f t="shared" si="3"/>
        <v>0</v>
      </c>
      <c r="M28" s="50"/>
      <c r="N28" s="50"/>
      <c r="T28" s="17">
        <v>0.859832763671875</v>
      </c>
      <c r="U28" s="15" t="s">
        <v>24</v>
      </c>
      <c r="V28" s="15"/>
      <c r="W28" s="15"/>
      <c r="X28" s="15"/>
      <c r="Y28" s="15"/>
    </row>
    <row r="29" spans="1:25" x14ac:dyDescent="0.25">
      <c r="A29">
        <v>13089</v>
      </c>
      <c r="C29">
        <v>19</v>
      </c>
      <c r="D29" s="13">
        <f t="shared" si="0"/>
        <v>0.399444580078125</v>
      </c>
      <c r="E29" s="13">
        <v>0.391876220703125</v>
      </c>
      <c r="F29">
        <f t="shared" si="1"/>
        <v>0.38</v>
      </c>
      <c r="G29" s="14">
        <f t="shared" si="2"/>
        <v>1.1876220703124996E-2</v>
      </c>
      <c r="K29" s="30">
        <f>IF(D29&gt;$N$12,1,0)</f>
        <v>0</v>
      </c>
      <c r="L29" s="30">
        <f t="shared" si="3"/>
        <v>1</v>
      </c>
      <c r="M29" s="50"/>
      <c r="N29" s="50"/>
      <c r="T29" s="17">
        <v>0.4959716796875</v>
      </c>
      <c r="U29" s="15" t="s">
        <v>24</v>
      </c>
      <c r="V29" s="15"/>
      <c r="W29" s="15"/>
      <c r="X29" s="15"/>
      <c r="Y29" s="15"/>
    </row>
    <row r="30" spans="1:25" x14ac:dyDescent="0.25">
      <c r="A30">
        <v>32318</v>
      </c>
      <c r="C30">
        <v>20</v>
      </c>
      <c r="D30" s="13">
        <f t="shared" si="0"/>
        <v>0.98626708984375</v>
      </c>
      <c r="E30" s="13">
        <v>0.3931884765625</v>
      </c>
      <c r="F30">
        <f t="shared" si="1"/>
        <v>0.4</v>
      </c>
      <c r="G30" s="14">
        <f t="shared" si="2"/>
        <v>6.8115234375000222E-3</v>
      </c>
      <c r="K30" s="30">
        <f>IF(D30&gt;$N$12,1,0)</f>
        <v>1</v>
      </c>
      <c r="L30" s="30">
        <f t="shared" si="3"/>
        <v>0</v>
      </c>
      <c r="M30" s="50"/>
      <c r="N30" s="50"/>
      <c r="T30" s="17">
        <v>0.399444580078125</v>
      </c>
      <c r="U30" s="15" t="s">
        <v>37</v>
      </c>
      <c r="V30" s="15"/>
      <c r="W30" s="15"/>
      <c r="X30" s="15"/>
      <c r="Y30" s="15"/>
    </row>
    <row r="31" spans="1:25" x14ac:dyDescent="0.25">
      <c r="A31">
        <v>21523</v>
      </c>
      <c r="C31">
        <v>21</v>
      </c>
      <c r="D31" s="13">
        <f t="shared" si="0"/>
        <v>0.656829833984375</v>
      </c>
      <c r="E31" s="13">
        <v>0.399444580078125</v>
      </c>
      <c r="F31">
        <f t="shared" si="1"/>
        <v>0.42</v>
      </c>
      <c r="G31" s="14">
        <f t="shared" si="2"/>
        <v>2.0555419921874984E-2</v>
      </c>
      <c r="K31" s="30">
        <f>IF(D31&gt;$N$12,1,0)</f>
        <v>1</v>
      </c>
      <c r="L31" s="30">
        <f t="shared" si="3"/>
        <v>1</v>
      </c>
      <c r="M31" s="50"/>
      <c r="N31" s="50"/>
      <c r="T31" s="17">
        <v>0.98626708984375</v>
      </c>
      <c r="U31" s="15" t="s">
        <v>26</v>
      </c>
      <c r="V31" s="15"/>
      <c r="W31" s="15"/>
      <c r="X31" s="15"/>
      <c r="Y31" s="15"/>
    </row>
    <row r="32" spans="1:25" x14ac:dyDescent="0.25">
      <c r="A32">
        <v>13792</v>
      </c>
      <c r="C32">
        <v>22</v>
      </c>
      <c r="D32" s="13">
        <f t="shared" si="0"/>
        <v>0.4208984375</v>
      </c>
      <c r="E32" s="13">
        <v>0.4110107421875</v>
      </c>
      <c r="F32">
        <f t="shared" si="1"/>
        <v>0.44</v>
      </c>
      <c r="G32" s="14">
        <f t="shared" si="2"/>
        <v>2.8989257812500002E-2</v>
      </c>
      <c r="K32" s="30">
        <f>IF(D32&gt;$N$12,1,0)</f>
        <v>0</v>
      </c>
      <c r="L32" s="30">
        <f t="shared" si="3"/>
        <v>1</v>
      </c>
      <c r="M32" s="50"/>
      <c r="N32" s="50"/>
      <c r="T32" s="17">
        <v>0.656829833984375</v>
      </c>
      <c r="U32" s="15" t="s">
        <v>24</v>
      </c>
      <c r="V32" s="15"/>
      <c r="W32" s="15"/>
      <c r="X32" s="15"/>
      <c r="Y32" s="15"/>
    </row>
    <row r="33" spans="1:25" x14ac:dyDescent="0.25">
      <c r="A33">
        <v>17125</v>
      </c>
      <c r="C33">
        <v>23</v>
      </c>
      <c r="D33" s="13">
        <f t="shared" si="0"/>
        <v>0.522613525390625</v>
      </c>
      <c r="E33" s="13">
        <v>0.41265869140625</v>
      </c>
      <c r="F33">
        <f t="shared" si="1"/>
        <v>0.46</v>
      </c>
      <c r="G33" s="14">
        <f t="shared" si="2"/>
        <v>4.734130859375002E-2</v>
      </c>
      <c r="K33" s="30">
        <f>IF(D33&gt;$N$12,1,0)</f>
        <v>1</v>
      </c>
      <c r="L33" s="30">
        <f t="shared" si="3"/>
        <v>1</v>
      </c>
      <c r="M33" s="50"/>
      <c r="N33" s="50"/>
      <c r="T33" s="17">
        <v>0.4208984375</v>
      </c>
      <c r="U33" s="15" t="s">
        <v>24</v>
      </c>
      <c r="V33" s="15"/>
      <c r="W33" s="15"/>
      <c r="X33" s="15"/>
      <c r="Y33" s="15"/>
    </row>
    <row r="34" spans="1:25" x14ac:dyDescent="0.25">
      <c r="A34">
        <v>2146</v>
      </c>
      <c r="C34">
        <v>24</v>
      </c>
      <c r="D34" s="13">
        <f t="shared" si="0"/>
        <v>6.549072265625E-2</v>
      </c>
      <c r="E34" s="13">
        <v>0.4208984375</v>
      </c>
      <c r="F34">
        <f t="shared" si="1"/>
        <v>0.48</v>
      </c>
      <c r="G34" s="14">
        <f t="shared" si="2"/>
        <v>5.9101562499999982E-2</v>
      </c>
      <c r="K34" s="30">
        <f>IF(D34&gt;$N$12,1,0)</f>
        <v>0</v>
      </c>
      <c r="L34" s="30">
        <f t="shared" si="3"/>
        <v>1</v>
      </c>
      <c r="T34" s="17">
        <v>0.522613525390625</v>
      </c>
      <c r="U34" s="15" t="s">
        <v>24</v>
      </c>
      <c r="V34" s="15"/>
      <c r="W34" s="15"/>
      <c r="X34" s="15"/>
      <c r="Y34" s="15"/>
    </row>
    <row r="35" spans="1:25" x14ac:dyDescent="0.25">
      <c r="A35">
        <v>20887</v>
      </c>
      <c r="C35">
        <v>25</v>
      </c>
      <c r="D35" s="13">
        <f t="shared" si="0"/>
        <v>0.637420654296875</v>
      </c>
      <c r="E35" s="13">
        <v>0.43438720703125</v>
      </c>
      <c r="F35">
        <f t="shared" si="1"/>
        <v>0.5</v>
      </c>
      <c r="G35" s="14">
        <f t="shared" si="2"/>
        <v>6.561279296875E-2</v>
      </c>
      <c r="K35" s="30">
        <f>IF(D35&gt;$N$12,1,0)</f>
        <v>1</v>
      </c>
      <c r="L35" s="30">
        <f t="shared" si="3"/>
        <v>0</v>
      </c>
      <c r="T35" s="17">
        <v>6.549072265625E-2</v>
      </c>
      <c r="U35" s="15" t="s">
        <v>26</v>
      </c>
      <c r="V35" s="15"/>
      <c r="W35" s="15"/>
      <c r="X35" s="15"/>
      <c r="Y35" s="15"/>
    </row>
    <row r="36" spans="1:25" x14ac:dyDescent="0.25">
      <c r="A36">
        <v>30660</v>
      </c>
      <c r="C36">
        <v>26</v>
      </c>
      <c r="D36" s="13">
        <f t="shared" si="0"/>
        <v>0.9356689453125</v>
      </c>
      <c r="E36" s="13">
        <v>0.4959716796875</v>
      </c>
      <c r="F36">
        <f t="shared" si="1"/>
        <v>0.52</v>
      </c>
      <c r="G36" s="14">
        <f t="shared" si="2"/>
        <v>2.4028320312500018E-2</v>
      </c>
      <c r="K36" s="30">
        <f>IF(D36&gt;$N$12,1,0)</f>
        <v>1</v>
      </c>
      <c r="L36" s="30">
        <f t="shared" si="3"/>
        <v>1</v>
      </c>
      <c r="T36" s="17">
        <v>0.637420654296875</v>
      </c>
      <c r="U36" s="15" t="s">
        <v>26</v>
      </c>
      <c r="V36" s="15"/>
      <c r="W36" s="15"/>
      <c r="X36" s="15"/>
      <c r="Y36" s="15"/>
    </row>
    <row r="37" spans="1:25" x14ac:dyDescent="0.25">
      <c r="A37">
        <v>12841</v>
      </c>
      <c r="C37">
        <v>27</v>
      </c>
      <c r="D37" s="13">
        <f t="shared" si="0"/>
        <v>0.391876220703125</v>
      </c>
      <c r="E37" s="13">
        <v>0.522613525390625</v>
      </c>
      <c r="F37">
        <f t="shared" si="1"/>
        <v>0.54</v>
      </c>
      <c r="G37" s="14">
        <f t="shared" si="2"/>
        <v>1.7386474609375036E-2</v>
      </c>
      <c r="K37" s="30">
        <f>IF(D37&gt;$N$12,1,0)</f>
        <v>0</v>
      </c>
      <c r="L37" s="30">
        <f t="shared" si="3"/>
        <v>1</v>
      </c>
      <c r="T37" s="17">
        <v>0.9356689453125</v>
      </c>
      <c r="U37" s="15" t="s">
        <v>26</v>
      </c>
      <c r="V37" s="15"/>
      <c r="W37" s="15"/>
      <c r="X37" s="15"/>
      <c r="Y37" s="15"/>
    </row>
    <row r="38" spans="1:25" x14ac:dyDescent="0.25">
      <c r="A38">
        <v>26118</v>
      </c>
      <c r="C38">
        <v>28</v>
      </c>
      <c r="D38" s="13">
        <f t="shared" si="0"/>
        <v>0.79705810546875</v>
      </c>
      <c r="E38" s="13">
        <v>0.61505126953125</v>
      </c>
      <c r="F38">
        <f t="shared" si="1"/>
        <v>0.56000000000000005</v>
      </c>
      <c r="G38" s="14">
        <f t="shared" si="2"/>
        <v>5.5051269531249947E-2</v>
      </c>
      <c r="K38" s="30">
        <f>IF(D38&gt;$N$12,1,0)</f>
        <v>1</v>
      </c>
      <c r="L38" s="30">
        <f t="shared" si="3"/>
        <v>0</v>
      </c>
      <c r="T38" s="17">
        <v>0.391876220703125</v>
      </c>
      <c r="U38" s="15" t="s">
        <v>24</v>
      </c>
      <c r="V38" s="15"/>
      <c r="W38" s="15"/>
      <c r="X38" s="15"/>
      <c r="Y38" s="15"/>
    </row>
    <row r="39" spans="1:25" x14ac:dyDescent="0.25">
      <c r="A39">
        <v>30363</v>
      </c>
      <c r="C39">
        <v>29</v>
      </c>
      <c r="D39" s="13">
        <f t="shared" si="0"/>
        <v>0.926605224609375</v>
      </c>
      <c r="E39" s="13">
        <v>0.637420654296875</v>
      </c>
      <c r="F39">
        <f t="shared" si="1"/>
        <v>0.57999999999999996</v>
      </c>
      <c r="G39" s="14">
        <f t="shared" si="2"/>
        <v>5.742065429687504E-2</v>
      </c>
      <c r="K39" s="30">
        <f>IF(D39&gt;$N$12,1,0)</f>
        <v>1</v>
      </c>
      <c r="L39" s="30">
        <f t="shared" si="3"/>
        <v>1</v>
      </c>
      <c r="T39" s="17">
        <v>0.79705810546875</v>
      </c>
      <c r="U39" s="15" t="s">
        <v>24</v>
      </c>
      <c r="V39" s="15"/>
      <c r="W39" s="15"/>
      <c r="X39" s="15"/>
      <c r="Y39" s="15"/>
    </row>
    <row r="40" spans="1:25" x14ac:dyDescent="0.25">
      <c r="A40">
        <v>5416</v>
      </c>
      <c r="C40">
        <v>30</v>
      </c>
      <c r="D40" s="13">
        <f t="shared" si="0"/>
        <v>0.165283203125</v>
      </c>
      <c r="E40" s="13">
        <v>0.649383544921875</v>
      </c>
      <c r="F40">
        <f t="shared" si="1"/>
        <v>0.6</v>
      </c>
      <c r="G40" s="14">
        <f t="shared" si="2"/>
        <v>4.9383544921875022E-2</v>
      </c>
      <c r="K40" s="30">
        <f>IF(D40&gt;$N$12,1,0)</f>
        <v>0</v>
      </c>
      <c r="L40" s="30">
        <f t="shared" si="3"/>
        <v>0</v>
      </c>
      <c r="T40" s="17">
        <v>0.926605224609375</v>
      </c>
      <c r="U40" s="15" t="s">
        <v>24</v>
      </c>
      <c r="V40" s="15"/>
      <c r="W40" s="15"/>
      <c r="X40" s="15"/>
      <c r="Y40" s="15"/>
    </row>
    <row r="41" spans="1:25" x14ac:dyDescent="0.25">
      <c r="A41">
        <v>4333</v>
      </c>
      <c r="C41">
        <v>31</v>
      </c>
      <c r="D41" s="13">
        <f t="shared" si="0"/>
        <v>0.132232666015625</v>
      </c>
      <c r="E41" s="13">
        <v>0.656829833984375</v>
      </c>
      <c r="F41">
        <f t="shared" si="1"/>
        <v>0.62</v>
      </c>
      <c r="G41" s="14">
        <f t="shared" si="2"/>
        <v>3.6829833984375004E-2</v>
      </c>
      <c r="K41" s="30">
        <f>IF(D41&gt;$N$12,1,0)</f>
        <v>0</v>
      </c>
      <c r="L41" s="30">
        <f t="shared" si="3"/>
        <v>0</v>
      </c>
      <c r="M41" s="50"/>
      <c r="N41" s="50"/>
      <c r="T41" s="17">
        <v>0.165283203125</v>
      </c>
      <c r="U41" s="15" t="s">
        <v>26</v>
      </c>
      <c r="V41" s="15"/>
      <c r="W41" s="15"/>
      <c r="X41" s="15"/>
      <c r="Y41" s="15"/>
    </row>
    <row r="42" spans="1:25" x14ac:dyDescent="0.25">
      <c r="A42">
        <v>10026</v>
      </c>
      <c r="C42">
        <v>32</v>
      </c>
      <c r="D42" s="13">
        <f t="shared" si="0"/>
        <v>0.30596923828125</v>
      </c>
      <c r="E42" s="13">
        <v>0.669281005859375</v>
      </c>
      <c r="F42">
        <f t="shared" si="1"/>
        <v>0.64</v>
      </c>
      <c r="G42" s="14">
        <f t="shared" si="2"/>
        <v>2.9281005859374987E-2</v>
      </c>
      <c r="K42" s="30">
        <f>IF(D42&gt;$N$12,1,0)</f>
        <v>0</v>
      </c>
      <c r="L42" s="30">
        <f t="shared" si="3"/>
        <v>1</v>
      </c>
      <c r="M42" s="50"/>
      <c r="N42" s="50"/>
      <c r="T42" s="17">
        <v>0.132232666015625</v>
      </c>
      <c r="U42" s="15" t="s">
        <v>37</v>
      </c>
      <c r="V42" s="15"/>
      <c r="W42" s="15"/>
      <c r="X42" s="15"/>
      <c r="Y42" s="15"/>
    </row>
    <row r="43" spans="1:25" x14ac:dyDescent="0.25">
      <c r="A43">
        <v>21279</v>
      </c>
      <c r="C43">
        <v>33</v>
      </c>
      <c r="D43" s="13">
        <f t="shared" si="0"/>
        <v>0.649383544921875</v>
      </c>
      <c r="E43" s="13">
        <v>0.69281005859375</v>
      </c>
      <c r="F43">
        <f t="shared" si="1"/>
        <v>0.66</v>
      </c>
      <c r="G43" s="14">
        <f t="shared" si="2"/>
        <v>3.2810058593749969E-2</v>
      </c>
      <c r="K43" s="30">
        <f>IF(D43&gt;$N$12,1,0)</f>
        <v>1</v>
      </c>
      <c r="L43" s="30">
        <f t="shared" si="3"/>
        <v>1</v>
      </c>
      <c r="M43" s="50"/>
      <c r="N43" s="50"/>
      <c r="T43" s="17">
        <v>0.30596923828125</v>
      </c>
      <c r="U43" s="15" t="s">
        <v>26</v>
      </c>
      <c r="V43" s="15"/>
      <c r="W43" s="15"/>
      <c r="X43" s="15"/>
      <c r="Y43" s="15"/>
    </row>
    <row r="44" spans="1:25" x14ac:dyDescent="0.25">
      <c r="A44">
        <v>7692</v>
      </c>
      <c r="C44">
        <v>34</v>
      </c>
      <c r="D44" s="13">
        <f t="shared" si="0"/>
        <v>0.2347412109375</v>
      </c>
      <c r="E44" s="13">
        <v>0.71722412109375</v>
      </c>
      <c r="F44">
        <f t="shared" si="1"/>
        <v>0.68</v>
      </c>
      <c r="G44" s="14">
        <f t="shared" si="2"/>
        <v>3.7224121093749951E-2</v>
      </c>
      <c r="K44" s="30">
        <f>IF(D44&gt;$N$12,1,0)</f>
        <v>0</v>
      </c>
      <c r="L44" s="30">
        <f t="shared" si="3"/>
        <v>1</v>
      </c>
      <c r="M44" s="50"/>
      <c r="N44" s="50"/>
      <c r="T44" s="17">
        <v>0.649383544921875</v>
      </c>
      <c r="U44" s="15" t="s">
        <v>26</v>
      </c>
      <c r="V44" s="15"/>
      <c r="W44" s="15"/>
      <c r="X44" s="15"/>
      <c r="Y44" s="15"/>
    </row>
    <row r="45" spans="1:25" x14ac:dyDescent="0.25">
      <c r="A45">
        <v>28465</v>
      </c>
      <c r="C45">
        <v>35</v>
      </c>
      <c r="D45" s="13">
        <f t="shared" si="0"/>
        <v>0.868682861328125</v>
      </c>
      <c r="E45" s="13">
        <v>0.726226806640625</v>
      </c>
      <c r="F45">
        <f t="shared" si="1"/>
        <v>0.7</v>
      </c>
      <c r="G45" s="14">
        <f t="shared" si="2"/>
        <v>2.6226806640625044E-2</v>
      </c>
      <c r="K45" s="30">
        <f>IF(D45&gt;$N$12,1,0)</f>
        <v>1</v>
      </c>
      <c r="L45" s="30">
        <f t="shared" si="3"/>
        <v>0</v>
      </c>
      <c r="M45" s="50"/>
      <c r="N45" s="50"/>
      <c r="T45" s="17">
        <v>0.2347412109375</v>
      </c>
      <c r="U45" s="15" t="s">
        <v>24</v>
      </c>
      <c r="V45" s="15"/>
      <c r="W45" s="15"/>
      <c r="X45" s="15"/>
      <c r="Y45" s="15"/>
    </row>
    <row r="46" spans="1:25" x14ac:dyDescent="0.25">
      <c r="A46">
        <v>23502</v>
      </c>
      <c r="C46">
        <v>36</v>
      </c>
      <c r="D46" s="13">
        <f t="shared" si="0"/>
        <v>0.71722412109375</v>
      </c>
      <c r="E46" s="13">
        <v>0.732177734375</v>
      </c>
      <c r="F46">
        <f t="shared" si="1"/>
        <v>0.72</v>
      </c>
      <c r="G46" s="14">
        <f t="shared" si="2"/>
        <v>1.2177734375000027E-2</v>
      </c>
      <c r="K46" s="30">
        <f>IF(D46&gt;$N$12,1,0)</f>
        <v>1</v>
      </c>
      <c r="L46" s="30">
        <f t="shared" si="3"/>
        <v>0</v>
      </c>
      <c r="M46" s="50"/>
      <c r="N46" s="50"/>
      <c r="T46" s="17">
        <v>0.868682861328125</v>
      </c>
      <c r="U46" s="15" t="s">
        <v>66</v>
      </c>
      <c r="V46" s="15"/>
      <c r="W46" s="15"/>
      <c r="X46" s="15"/>
      <c r="Y46" s="15"/>
    </row>
    <row r="47" spans="1:25" x14ac:dyDescent="0.25">
      <c r="A47">
        <v>30499</v>
      </c>
      <c r="C47">
        <v>37</v>
      </c>
      <c r="D47" s="13">
        <f t="shared" si="0"/>
        <v>0.930755615234375</v>
      </c>
      <c r="E47" s="13">
        <v>0.74676513671875</v>
      </c>
      <c r="F47">
        <f t="shared" si="1"/>
        <v>0.74</v>
      </c>
      <c r="G47" s="14">
        <f t="shared" si="2"/>
        <v>6.7651367187500089E-3</v>
      </c>
      <c r="K47" s="30">
        <f>IF(D47&gt;$N$12,1,0)</f>
        <v>1</v>
      </c>
      <c r="L47" s="30">
        <f t="shared" si="3"/>
        <v>1</v>
      </c>
      <c r="M47" s="50"/>
      <c r="N47" s="50"/>
      <c r="T47" s="17">
        <v>0.71722412109375</v>
      </c>
      <c r="U47" s="15" t="s">
        <v>37</v>
      </c>
      <c r="V47" s="15"/>
      <c r="W47" s="15"/>
      <c r="X47" s="15"/>
      <c r="Y47" s="15"/>
    </row>
    <row r="48" spans="1:25" x14ac:dyDescent="0.25">
      <c r="A48">
        <v>8816</v>
      </c>
      <c r="C48">
        <v>38</v>
      </c>
      <c r="D48" s="13">
        <f t="shared" si="0"/>
        <v>0.26904296875</v>
      </c>
      <c r="E48" s="13">
        <v>0.79705810546875</v>
      </c>
      <c r="F48">
        <f t="shared" si="1"/>
        <v>0.76</v>
      </c>
      <c r="G48" s="14">
        <f t="shared" si="2"/>
        <v>3.7058105468749991E-2</v>
      </c>
      <c r="K48" s="30">
        <f>IF(D48&gt;$N$12,1,0)</f>
        <v>0</v>
      </c>
      <c r="L48" s="30">
        <f t="shared" si="3"/>
        <v>1</v>
      </c>
      <c r="M48" s="50"/>
      <c r="N48" s="50"/>
      <c r="T48" s="17">
        <v>0.930755615234375</v>
      </c>
      <c r="U48" s="15" t="s">
        <v>26</v>
      </c>
      <c r="V48" s="15"/>
      <c r="W48" s="15"/>
      <c r="X48" s="15"/>
      <c r="Y48" s="15"/>
    </row>
    <row r="49" spans="1:25" x14ac:dyDescent="0.25">
      <c r="A49">
        <v>23797</v>
      </c>
      <c r="C49">
        <v>39</v>
      </c>
      <c r="D49" s="13">
        <f t="shared" si="0"/>
        <v>0.726226806640625</v>
      </c>
      <c r="E49" s="13">
        <v>0.829864501953125</v>
      </c>
      <c r="F49">
        <f t="shared" si="1"/>
        <v>0.78</v>
      </c>
      <c r="G49" s="14">
        <f t="shared" si="2"/>
        <v>4.9864501953124973E-2</v>
      </c>
      <c r="K49" s="30">
        <f>IF(D49&gt;$N$12,1,0)</f>
        <v>1</v>
      </c>
      <c r="L49" s="30">
        <f t="shared" si="3"/>
        <v>1</v>
      </c>
      <c r="M49" s="50"/>
      <c r="N49" s="50"/>
      <c r="T49" s="17">
        <v>0.26904296875</v>
      </c>
      <c r="U49" s="15" t="s">
        <v>26</v>
      </c>
      <c r="V49" s="15"/>
      <c r="W49" s="15"/>
      <c r="X49" s="15"/>
      <c r="Y49" s="15"/>
    </row>
    <row r="50" spans="1:25" x14ac:dyDescent="0.25">
      <c r="A50">
        <v>5106</v>
      </c>
      <c r="C50">
        <v>40</v>
      </c>
      <c r="D50" s="13">
        <f t="shared" si="0"/>
        <v>0.15582275390625</v>
      </c>
      <c r="E50" s="13">
        <v>0.859832763671875</v>
      </c>
      <c r="F50">
        <f t="shared" si="1"/>
        <v>0.8</v>
      </c>
      <c r="G50" s="14">
        <f t="shared" si="2"/>
        <v>5.9832763671874956E-2</v>
      </c>
      <c r="K50" s="30">
        <f>IF(D50&gt;$N$12,1,0)</f>
        <v>0</v>
      </c>
      <c r="L50" s="30">
        <f t="shared" si="3"/>
        <v>1</v>
      </c>
      <c r="M50" s="50"/>
      <c r="N50" s="50"/>
      <c r="T50" s="17">
        <v>0.726226806640625</v>
      </c>
      <c r="U50" s="15" t="s">
        <v>24</v>
      </c>
      <c r="V50" s="15"/>
      <c r="W50" s="15"/>
      <c r="X50" s="15"/>
      <c r="Y50" s="15"/>
    </row>
    <row r="51" spans="1:25" x14ac:dyDescent="0.25">
      <c r="A51">
        <v>29351</v>
      </c>
      <c r="C51">
        <v>41</v>
      </c>
      <c r="D51" s="13">
        <f t="shared" si="0"/>
        <v>0.895721435546875</v>
      </c>
      <c r="E51" s="13">
        <v>0.867706298828125</v>
      </c>
      <c r="F51">
        <f t="shared" si="1"/>
        <v>0.82</v>
      </c>
      <c r="G51" s="14">
        <f t="shared" si="2"/>
        <v>4.7706298828125049E-2</v>
      </c>
      <c r="K51" s="30">
        <f>IF(D51&gt;$N$12,1,0)</f>
        <v>1</v>
      </c>
      <c r="L51" s="30">
        <f t="shared" si="3"/>
        <v>1</v>
      </c>
      <c r="M51" s="50"/>
      <c r="N51" s="50"/>
      <c r="T51" s="17">
        <v>0.15582275390625</v>
      </c>
      <c r="U51" s="15" t="s">
        <v>24</v>
      </c>
      <c r="V51" s="15"/>
      <c r="W51" s="15"/>
      <c r="X51" s="15"/>
      <c r="Y51" s="15"/>
    </row>
    <row r="52" spans="1:25" x14ac:dyDescent="0.25">
      <c r="A52">
        <v>12884</v>
      </c>
      <c r="C52">
        <v>42</v>
      </c>
      <c r="D52" s="13">
        <f t="shared" si="0"/>
        <v>0.3931884765625</v>
      </c>
      <c r="E52" s="13">
        <v>0.868682861328125</v>
      </c>
      <c r="F52">
        <f t="shared" si="1"/>
        <v>0.84</v>
      </c>
      <c r="G52" s="14">
        <f t="shared" si="2"/>
        <v>2.8682861328125031E-2</v>
      </c>
      <c r="K52" s="30">
        <f>IF(D52&gt;$N$12,1,0)</f>
        <v>0</v>
      </c>
      <c r="L52" s="30">
        <f t="shared" si="3"/>
        <v>1</v>
      </c>
      <c r="M52" s="50"/>
      <c r="N52" s="50"/>
      <c r="T52" s="17">
        <v>0.895721435546875</v>
      </c>
      <c r="U52" s="15" t="s">
        <v>26</v>
      </c>
      <c r="V52" s="15"/>
      <c r="W52" s="15"/>
      <c r="X52" s="15"/>
      <c r="Y52" s="15"/>
    </row>
    <row r="53" spans="1:25" x14ac:dyDescent="0.25">
      <c r="A53">
        <v>27193</v>
      </c>
      <c r="C53">
        <v>43</v>
      </c>
      <c r="D53" s="13">
        <f t="shared" si="0"/>
        <v>0.829864501953125</v>
      </c>
      <c r="E53" s="13">
        <v>0.891387939453125</v>
      </c>
      <c r="F53">
        <f t="shared" si="1"/>
        <v>0.86</v>
      </c>
      <c r="G53" s="14">
        <f t="shared" si="2"/>
        <v>3.1387939453125013E-2</v>
      </c>
      <c r="K53" s="30">
        <f>IF(D53&gt;$N$12,1,0)</f>
        <v>1</v>
      </c>
      <c r="L53" s="30">
        <f t="shared" si="3"/>
        <v>0</v>
      </c>
      <c r="M53" s="50"/>
      <c r="N53" s="50"/>
      <c r="T53" s="17">
        <v>0.3931884765625</v>
      </c>
      <c r="U53" s="15" t="s">
        <v>37</v>
      </c>
      <c r="V53" s="15"/>
      <c r="W53" s="15"/>
      <c r="X53" s="15"/>
      <c r="Y53" s="15"/>
    </row>
    <row r="54" spans="1:25" x14ac:dyDescent="0.25">
      <c r="A54">
        <v>24470</v>
      </c>
      <c r="C54">
        <v>44</v>
      </c>
      <c r="D54" s="13">
        <f t="shared" si="0"/>
        <v>0.74676513671875</v>
      </c>
      <c r="E54" s="13">
        <v>0.895721435546875</v>
      </c>
      <c r="F54">
        <f t="shared" si="1"/>
        <v>0.88</v>
      </c>
      <c r="G54" s="14">
        <f t="shared" si="2"/>
        <v>1.5721435546874996E-2</v>
      </c>
      <c r="K54" s="30">
        <f>IF(D54&gt;$N$12,1,0)</f>
        <v>1</v>
      </c>
      <c r="L54" s="30">
        <f t="shared" si="3"/>
        <v>0</v>
      </c>
      <c r="M54" s="50"/>
      <c r="N54" s="50"/>
      <c r="T54" s="17">
        <v>0.829864501953125</v>
      </c>
      <c r="U54" s="15" t="s">
        <v>24</v>
      </c>
      <c r="V54" s="15"/>
      <c r="W54" s="15"/>
      <c r="X54" s="15"/>
      <c r="Y54" s="15"/>
    </row>
    <row r="55" spans="1:25" x14ac:dyDescent="0.25">
      <c r="A55">
        <v>21931</v>
      </c>
      <c r="C55">
        <v>45</v>
      </c>
      <c r="D55" s="13">
        <f t="shared" si="0"/>
        <v>0.669281005859375</v>
      </c>
      <c r="E55" s="13">
        <v>0.897369384765625</v>
      </c>
      <c r="F55">
        <f t="shared" si="1"/>
        <v>0.9</v>
      </c>
      <c r="G55" s="14">
        <f t="shared" si="2"/>
        <v>2.6306152343750222E-3</v>
      </c>
      <c r="K55" s="30">
        <f>IF(D55&gt;$N$12,1,0)</f>
        <v>1</v>
      </c>
      <c r="L55" s="30">
        <f t="shared" si="3"/>
        <v>0</v>
      </c>
      <c r="M55" s="50"/>
      <c r="N55" s="50"/>
      <c r="T55" s="17">
        <v>0.74676513671875</v>
      </c>
      <c r="U55" s="15" t="s">
        <v>35</v>
      </c>
      <c r="V55" s="15"/>
      <c r="W55" s="15"/>
      <c r="X55" s="15"/>
      <c r="Y55" s="15"/>
    </row>
    <row r="56" spans="1:25" x14ac:dyDescent="0.25">
      <c r="A56">
        <v>23992</v>
      </c>
      <c r="C56">
        <v>46</v>
      </c>
      <c r="D56" s="13">
        <f t="shared" si="0"/>
        <v>0.732177734375</v>
      </c>
      <c r="E56" s="13">
        <v>0.9156494140625</v>
      </c>
      <c r="F56">
        <f t="shared" si="1"/>
        <v>0.92</v>
      </c>
      <c r="G56" s="14">
        <f t="shared" si="2"/>
        <v>4.35058593750004E-3</v>
      </c>
      <c r="K56" s="30">
        <f>IF(D56&gt;$N$12,1,0)</f>
        <v>1</v>
      </c>
      <c r="L56" s="30">
        <f t="shared" si="3"/>
        <v>1</v>
      </c>
      <c r="M56" s="50"/>
      <c r="N56" s="50"/>
      <c r="T56" s="17">
        <v>0.669281005859375</v>
      </c>
      <c r="U56" s="15" t="s">
        <v>24</v>
      </c>
      <c r="V56" s="15"/>
      <c r="W56" s="15"/>
      <c r="X56" s="15"/>
      <c r="Y56" s="15"/>
    </row>
    <row r="57" spans="1:25" x14ac:dyDescent="0.25">
      <c r="A57">
        <v>9981</v>
      </c>
      <c r="C57">
        <v>47</v>
      </c>
      <c r="D57" s="13">
        <f t="shared" si="0"/>
        <v>0.304595947265625</v>
      </c>
      <c r="E57" s="13">
        <v>0.926605224609375</v>
      </c>
      <c r="F57">
        <f t="shared" si="1"/>
        <v>0.94</v>
      </c>
      <c r="G57" s="14">
        <f t="shared" si="2"/>
        <v>1.3394775390624947E-2</v>
      </c>
      <c r="K57" s="30">
        <f>IF(D57&gt;$N$12,1,0)</f>
        <v>0</v>
      </c>
      <c r="L57" s="30">
        <f t="shared" si="3"/>
        <v>1</v>
      </c>
      <c r="M57" s="50"/>
      <c r="N57" s="50"/>
      <c r="T57" s="17">
        <v>0.732177734375</v>
      </c>
      <c r="U57" s="15" t="s">
        <v>26</v>
      </c>
      <c r="V57" s="15"/>
      <c r="W57" s="15"/>
      <c r="X57" s="15"/>
      <c r="Y57" s="15"/>
    </row>
    <row r="58" spans="1:25" x14ac:dyDescent="0.25">
      <c r="A58">
        <v>20154</v>
      </c>
      <c r="C58">
        <v>48</v>
      </c>
      <c r="D58" s="13">
        <f t="shared" si="0"/>
        <v>0.61505126953125</v>
      </c>
      <c r="E58" s="13">
        <v>0.930755615234375</v>
      </c>
      <c r="F58">
        <f t="shared" si="1"/>
        <v>0.96</v>
      </c>
      <c r="G58" s="14">
        <f t="shared" si="2"/>
        <v>2.9244384765624964E-2</v>
      </c>
      <c r="K58" s="30">
        <f>IF(D58&gt;$N$12,1,0)</f>
        <v>1</v>
      </c>
      <c r="L58" s="30">
        <f t="shared" si="3"/>
        <v>1</v>
      </c>
      <c r="M58" s="50"/>
      <c r="N58" s="50"/>
      <c r="T58" s="17">
        <v>0.304595947265625</v>
      </c>
      <c r="U58" s="15" t="s">
        <v>24</v>
      </c>
      <c r="V58" s="15"/>
      <c r="W58" s="15"/>
      <c r="X58" s="15"/>
      <c r="Y58" s="15"/>
    </row>
    <row r="59" spans="1:25" x14ac:dyDescent="0.25">
      <c r="A59">
        <v>12335</v>
      </c>
      <c r="C59">
        <v>49</v>
      </c>
      <c r="D59" s="13">
        <f t="shared" si="0"/>
        <v>0.376434326171875</v>
      </c>
      <c r="E59" s="13">
        <v>0.9356689453125</v>
      </c>
      <c r="F59">
        <f t="shared" si="1"/>
        <v>0.98</v>
      </c>
      <c r="G59" s="14">
        <f t="shared" si="2"/>
        <v>4.4331054687499982E-2</v>
      </c>
      <c r="K59" s="30">
        <f>IF(D59&gt;$N$12,1,0)</f>
        <v>0</v>
      </c>
      <c r="L59" s="30">
        <f t="shared" si="3"/>
        <v>0</v>
      </c>
      <c r="M59" s="50"/>
      <c r="N59" s="50"/>
      <c r="T59" s="17">
        <v>0.61505126953125</v>
      </c>
      <c r="U59" s="15" t="s">
        <v>24</v>
      </c>
      <c r="V59" s="15"/>
      <c r="W59" s="15"/>
      <c r="X59" s="15"/>
      <c r="Y59" s="15"/>
    </row>
    <row r="60" spans="1:25" x14ac:dyDescent="0.25">
      <c r="A60">
        <v>13468</v>
      </c>
      <c r="C60">
        <v>50</v>
      </c>
      <c r="D60" s="13">
        <f t="shared" si="0"/>
        <v>0.4110107421875</v>
      </c>
      <c r="E60" s="13">
        <v>0.98626708984375</v>
      </c>
      <c r="F60">
        <f t="shared" si="1"/>
        <v>1</v>
      </c>
      <c r="G60" s="14">
        <f t="shared" si="2"/>
        <v>1.373291015625E-2</v>
      </c>
      <c r="K60" s="30">
        <f>IF(D60&gt;$N$12,1,0)</f>
        <v>0</v>
      </c>
      <c r="L60" s="30">
        <f>IF(Q12&lt;&gt;K60,1,0)</f>
        <v>1</v>
      </c>
      <c r="M60" s="50"/>
      <c r="N60" s="50"/>
      <c r="T60" s="17">
        <v>0.376434326171875</v>
      </c>
      <c r="U60" s="15" t="s">
        <v>26</v>
      </c>
      <c r="V60" s="15"/>
      <c r="W60" s="15"/>
      <c r="X60" s="15"/>
      <c r="Y60" s="15"/>
    </row>
    <row r="61" spans="1:25" x14ac:dyDescent="0.25">
      <c r="T61" s="17">
        <v>0.4110107421875</v>
      </c>
      <c r="U61" s="15" t="s">
        <v>35</v>
      </c>
      <c r="V61" s="15"/>
      <c r="W61" s="15"/>
      <c r="X61" s="15"/>
      <c r="Y61" s="15"/>
    </row>
  </sheetData>
  <sortState ref="E11:E60">
    <sortCondition ref="E11:E60"/>
  </sortState>
  <pageMargins left="0.7" right="0.7" top="0.75" bottom="0.75" header="0.3" footer="0.3"/>
  <pageSetup paperSize="9" scale="74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Resultados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JAIME SEBASTIAN MENDEZ</cp:lastModifiedBy>
  <cp:revision/>
  <cp:lastPrinted>2023-03-21T23:00:34Z</cp:lastPrinted>
  <dcterms:created xsi:type="dcterms:W3CDTF">2023-03-09T14:24:30Z</dcterms:created>
  <dcterms:modified xsi:type="dcterms:W3CDTF">2023-03-21T23:19:05Z</dcterms:modified>
  <cp:category/>
  <cp:contentStatus/>
</cp:coreProperties>
</file>