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kumarsingh/Downloads/"/>
    </mc:Choice>
  </mc:AlternateContent>
  <xr:revisionPtr revIDLastSave="0" documentId="13_ncr:1_{4EDE003A-E757-4B48-853A-3F55268512F7}" xr6:coauthVersionLast="47" xr6:coauthVersionMax="47" xr10:uidLastSave="{00000000-0000-0000-0000-000000000000}"/>
  <bookViews>
    <workbookView xWindow="0" yWindow="780" windowWidth="28800" windowHeight="18000" activeTab="2" xr2:uid="{27F2B59E-B9C8-6D4A-983C-F81FDB7EC93A}"/>
  </bookViews>
  <sheets>
    <sheet name="Given Data" sheetId="1" r:id="rId1"/>
    <sheet name="Expanding fixed crane Market" sheetId="2" r:id="rId2"/>
    <sheet name="Mobile Cranes" sheetId="5" r:id="rId3"/>
  </sheets>
  <definedNames>
    <definedName name="Annual_exp">'Given Data'!$F$18</definedName>
    <definedName name="Beta_g">'Given Data'!$I$10</definedName>
    <definedName name="Beta_ung">'Given Data'!$I$10</definedName>
    <definedName name="Expected_ROE">'Given Data'!$B$40</definedName>
    <definedName name="Loan_Interest_Rate">'Given Data'!$B$41</definedName>
    <definedName name="mobile_growth_aft5">'Given Data'!$F$17</definedName>
    <definedName name="RiskFree_Rate">'Given Data'!$F$12</definedName>
    <definedName name="Tax_Rate">'Given Data'!$B$43</definedName>
    <definedName name="WACC_Fixed">'Given Data'!$F$24</definedName>
    <definedName name="WACC_Mobile">'Given Data'!$F$14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5" l="1"/>
  <c r="I14" i="1"/>
  <c r="F10" i="1"/>
  <c r="D24" i="5"/>
  <c r="E24" i="5"/>
  <c r="F24" i="5"/>
  <c r="G24" i="5"/>
  <c r="C24" i="5"/>
  <c r="C25" i="5" s="1"/>
  <c r="C23" i="5"/>
  <c r="D23" i="5" s="1"/>
  <c r="E23" i="5" s="1"/>
  <c r="F23" i="5" s="1"/>
  <c r="G23" i="5" s="1"/>
  <c r="C22" i="5"/>
  <c r="D22" i="5" s="1"/>
  <c r="E22" i="5" s="1"/>
  <c r="F22" i="5" s="1"/>
  <c r="G22" i="5" s="1"/>
  <c r="B19" i="5"/>
  <c r="B18" i="5"/>
  <c r="B17" i="5"/>
  <c r="B30" i="5" s="1"/>
  <c r="B31" i="5" s="1"/>
  <c r="C14" i="5"/>
  <c r="D14" i="5" s="1"/>
  <c r="M7" i="1"/>
  <c r="L7" i="1"/>
  <c r="C13" i="2"/>
  <c r="C10" i="2"/>
  <c r="D10" i="2" s="1"/>
  <c r="C12" i="2"/>
  <c r="B7" i="2"/>
  <c r="B6" i="2"/>
  <c r="D15" i="2" s="1"/>
  <c r="I22" i="1"/>
  <c r="I5" i="2" s="1"/>
  <c r="J5" i="2" s="1"/>
  <c r="C17" i="2" s="1"/>
  <c r="I12" i="1"/>
  <c r="I3" i="5" s="1"/>
  <c r="J3" i="5" s="1"/>
  <c r="B35" i="1"/>
  <c r="D3" i="2"/>
  <c r="E3" i="2" s="1"/>
  <c r="F3" i="2" s="1"/>
  <c r="G3" i="2" s="1"/>
  <c r="E26" i="5" l="1"/>
  <c r="F26" i="5"/>
  <c r="D26" i="5"/>
  <c r="C26" i="5"/>
  <c r="C27" i="5" s="1"/>
  <c r="G26" i="5"/>
  <c r="E14" i="5"/>
  <c r="D25" i="5"/>
  <c r="I16" i="1"/>
  <c r="I15" i="1"/>
  <c r="C15" i="2"/>
  <c r="F15" i="2"/>
  <c r="E15" i="2"/>
  <c r="G15" i="2"/>
  <c r="K3" i="5"/>
  <c r="B21" i="2"/>
  <c r="C11" i="2"/>
  <c r="C14" i="2" s="1"/>
  <c r="C16" i="2" s="1"/>
  <c r="C18" i="2" s="1"/>
  <c r="C19" i="2" s="1"/>
  <c r="K5" i="2"/>
  <c r="I23" i="1"/>
  <c r="I24" i="1"/>
  <c r="C28" i="5" l="1"/>
  <c r="C29" i="5" s="1"/>
  <c r="C30" i="5" s="1"/>
  <c r="F24" i="1"/>
  <c r="F14" i="5"/>
  <c r="E25" i="5"/>
  <c r="B22" i="2"/>
  <c r="D27" i="5"/>
  <c r="G17" i="2"/>
  <c r="D17" i="2"/>
  <c r="E17" i="2"/>
  <c r="F17" i="2"/>
  <c r="G14" i="5" l="1"/>
  <c r="G25" i="5" s="1"/>
  <c r="F25" i="5"/>
  <c r="C32" i="5"/>
  <c r="D28" i="5"/>
  <c r="D29" i="5" s="1"/>
  <c r="D30" i="5" s="1"/>
  <c r="E27" i="5"/>
  <c r="D32" i="5" l="1"/>
  <c r="E28" i="5"/>
  <c r="E29" i="5"/>
  <c r="E30" i="5" s="1"/>
  <c r="F27" i="5"/>
  <c r="F28" i="5" l="1"/>
  <c r="F29" i="5" s="1"/>
  <c r="F30" i="5" s="1"/>
  <c r="G27" i="5"/>
  <c r="G28" i="5" l="1"/>
  <c r="G29" i="5" s="1"/>
  <c r="G30" i="5" s="1"/>
  <c r="B35" i="5" s="1"/>
  <c r="G10" i="1" l="1"/>
  <c r="F13" i="1" s="1"/>
  <c r="I13" i="1" s="1"/>
  <c r="F14" i="1" s="1"/>
  <c r="H10" i="1"/>
  <c r="D31" i="5" l="1"/>
  <c r="E31" i="5"/>
  <c r="F31" i="5"/>
  <c r="G31" i="5"/>
  <c r="C31" i="5"/>
  <c r="D12" i="2"/>
  <c r="E12" i="2" s="1"/>
  <c r="F12" i="2" s="1"/>
  <c r="G12" i="2" s="1"/>
  <c r="D11" i="2"/>
  <c r="B34" i="5" l="1"/>
  <c r="D14" i="2"/>
  <c r="D16" i="2" s="1"/>
  <c r="D18" i="2" s="1"/>
  <c r="E10" i="2"/>
  <c r="F10" i="2" l="1"/>
  <c r="E11" i="2"/>
  <c r="F11" i="2" l="1"/>
  <c r="G10" i="2"/>
  <c r="G11" i="2" s="1"/>
  <c r="E14" i="2"/>
  <c r="E16" i="2" s="1"/>
  <c r="E18" i="2" s="1"/>
  <c r="F14" i="2" l="1"/>
  <c r="C20" i="2"/>
  <c r="C21" i="2" s="1"/>
  <c r="E19" i="2"/>
  <c r="E20" i="2" s="1"/>
  <c r="E21" i="2" s="1"/>
  <c r="E22" i="2" s="1"/>
  <c r="D19" i="2"/>
  <c r="D20" i="2" s="1"/>
  <c r="D21" i="2" s="1"/>
  <c r="D22" i="2" s="1"/>
  <c r="C22" i="2" l="1"/>
  <c r="F16" i="2"/>
  <c r="F18" i="2" s="1"/>
  <c r="F19" i="2" s="1"/>
  <c r="F20" i="2" s="1"/>
  <c r="F21" i="2" s="1"/>
  <c r="F22" i="2" s="1"/>
  <c r="G14" i="2"/>
  <c r="G16" i="2" l="1"/>
  <c r="G18" i="2" s="1"/>
  <c r="G19" i="2" s="1"/>
  <c r="G20" i="2" s="1"/>
  <c r="G21" i="2" s="1"/>
  <c r="G22" i="2" s="1"/>
  <c r="B25" i="2" s="1"/>
  <c r="B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Varsha N</author>
  </authors>
  <commentList>
    <comment ref="F12" authorId="0" shapeId="0" xr:uid="{22C6EF40-7EB2-3F43-B655-943FEE4AF7CA}">
      <text>
        <r>
          <rPr>
            <sz val="10"/>
            <color rgb="FF000000"/>
            <rFont val="Tahoma"/>
            <family val="2"/>
          </rPr>
          <t>Used the average risk free rate for year 20-21</t>
        </r>
      </text>
    </comment>
    <comment ref="F13" authorId="0" shapeId="0" xr:uid="{F327A90E-8753-DE4B-AB73-26CD9240B45E}">
      <text>
        <r>
          <rPr>
            <b/>
            <sz val="10"/>
            <color rgb="FF000000"/>
            <rFont val="Tahoma"/>
            <family val="2"/>
          </rPr>
          <t>Varsha 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Ke = Rf + (Em– Rf) βe</t>
        </r>
      </text>
    </comment>
    <comment ref="B44" authorId="0" shapeId="0" xr:uid="{795952C0-854D-F043-A171-87A9EA8DBFE6}">
      <text>
        <r>
          <rPr>
            <b/>
            <sz val="10"/>
            <color rgb="FF000000"/>
            <rFont val="Tahoma"/>
            <family val="2"/>
          </rPr>
          <t xml:space="preserve">Debarshee- 
I used the average of year 20-21 market rate of return
</t>
        </r>
      </text>
    </comment>
  </commentList>
</comments>
</file>

<file path=xl/sharedStrings.xml><?xml version="1.0" encoding="utf-8"?>
<sst xmlns="http://schemas.openxmlformats.org/spreadsheetml/2006/main" count="231" uniqueCount="155">
  <si>
    <t>World bank projected growth rate 6% over 2021</t>
  </si>
  <si>
    <t xml:space="preserve">Global Mobile crane market </t>
  </si>
  <si>
    <t xml:space="preserve">CAGR </t>
  </si>
  <si>
    <t>Indian Crane Industry growth rate</t>
  </si>
  <si>
    <t>Y1</t>
  </si>
  <si>
    <t>Y2</t>
  </si>
  <si>
    <t>Y3</t>
  </si>
  <si>
    <t>Y4</t>
  </si>
  <si>
    <t>Y5</t>
  </si>
  <si>
    <t>Warehouse space</t>
  </si>
  <si>
    <t>5 years lockin period</t>
  </si>
  <si>
    <t>Cost of plants and machinary</t>
  </si>
  <si>
    <t>Salvage value</t>
  </si>
  <si>
    <t>after 5 years</t>
  </si>
  <si>
    <t xml:space="preserve">R&amp;D </t>
  </si>
  <si>
    <t>Variable costs</t>
  </si>
  <si>
    <t>Fixed costs</t>
  </si>
  <si>
    <t>Raw materials</t>
  </si>
  <si>
    <t>Mfg expenses</t>
  </si>
  <si>
    <t>Office &amp; admin expenses</t>
  </si>
  <si>
    <t>MOBILE CRANE MFG PLANT</t>
  </si>
  <si>
    <t>Fixed Costs</t>
  </si>
  <si>
    <t>Plant</t>
  </si>
  <si>
    <t>Machinery</t>
  </si>
  <si>
    <t>Variable Costs</t>
  </si>
  <si>
    <t>Material costs</t>
  </si>
  <si>
    <t xml:space="preserve">Office &amp; Admin </t>
  </si>
  <si>
    <t xml:space="preserve">Worker wage &amp; factory </t>
  </si>
  <si>
    <t xml:space="preserve">Inventory </t>
  </si>
  <si>
    <t xml:space="preserve">Trade receivables period </t>
  </si>
  <si>
    <t xml:space="preserve">Trade payables period </t>
  </si>
  <si>
    <t>Repo rate</t>
  </si>
  <si>
    <t xml:space="preserve">Debt </t>
  </si>
  <si>
    <t xml:space="preserve">Equity </t>
  </si>
  <si>
    <t>Return on equity (2021)</t>
  </si>
  <si>
    <t>Bank loan Interest</t>
  </si>
  <si>
    <t xml:space="preserve">Expected return on equity capital investment </t>
  </si>
  <si>
    <t>Cost of Raw Material Consumed</t>
  </si>
  <si>
    <t>Other Manufacturing Expenses</t>
  </si>
  <si>
    <t>Office and Administrative Expenses</t>
  </si>
  <si>
    <t>Depreciation</t>
  </si>
  <si>
    <t>Interest Expenses</t>
  </si>
  <si>
    <t>Total Expenses</t>
  </si>
  <si>
    <t>Profit Before Tax</t>
  </si>
  <si>
    <t>Tax @30%</t>
  </si>
  <si>
    <t>Profit after Tax</t>
  </si>
  <si>
    <t>Income Statement, Concise Industries Private Ltd,</t>
  </si>
  <si>
    <t>Revenue from Operations</t>
  </si>
  <si>
    <t>Other Income</t>
  </si>
  <si>
    <t>Total Income</t>
  </si>
  <si>
    <t>Expenses</t>
  </si>
  <si>
    <t>Balance Sheet, Concise Industries Private Ltd.</t>
  </si>
  <si>
    <t>Equity and Liabilities</t>
  </si>
  <si>
    <t>Reserve and Surplus</t>
  </si>
  <si>
    <t>Short-Term and Long-Term Liabilities</t>
  </si>
  <si>
    <t>Long-Term Borrowings</t>
  </si>
  <si>
    <t>Trade Payables</t>
  </si>
  <si>
    <t>Short-Term Provisions</t>
  </si>
  <si>
    <t>TOTAL</t>
  </si>
  <si>
    <t>Assets</t>
  </si>
  <si>
    <t>Fixed Assets</t>
  </si>
  <si>
    <t>Tangible Assets</t>
  </si>
  <si>
    <t>Other Non-Current Assets</t>
  </si>
  <si>
    <t>Current Assets</t>
  </si>
  <si>
    <t>Inventories</t>
  </si>
  <si>
    <t>Trade Receivables</t>
  </si>
  <si>
    <t>Cash and Cash Equivalents</t>
  </si>
  <si>
    <t>Short-Term Loans and Advances</t>
  </si>
  <si>
    <t>Other Current Assets</t>
  </si>
  <si>
    <t xml:space="preserve">Shareholders Fund </t>
  </si>
  <si>
    <t>Share Capital</t>
  </si>
  <si>
    <t>-</t>
  </si>
  <si>
    <t>days</t>
  </si>
  <si>
    <t>Asset beta</t>
  </si>
  <si>
    <t>D/E</t>
  </si>
  <si>
    <t>Stretch plc</t>
  </si>
  <si>
    <t xml:space="preserve">Highthings plc  </t>
  </si>
  <si>
    <t>Moving Skylines plc</t>
  </si>
  <si>
    <t>Including installation cost</t>
  </si>
  <si>
    <t>NPV</t>
  </si>
  <si>
    <t>CAPM</t>
  </si>
  <si>
    <t>Risk free rate</t>
  </si>
  <si>
    <t>Cost of Equity</t>
  </si>
  <si>
    <t>Cost of Debt</t>
  </si>
  <si>
    <t>Market Value of Debt</t>
  </si>
  <si>
    <t>Market Value of Equity</t>
  </si>
  <si>
    <t>Capital Investment</t>
  </si>
  <si>
    <t>Y0</t>
  </si>
  <si>
    <t>Total Capital</t>
  </si>
  <si>
    <t>Debt</t>
  </si>
  <si>
    <t>Equity</t>
  </si>
  <si>
    <t>Expected sales Revenue</t>
  </si>
  <si>
    <t>Interest Payable</t>
  </si>
  <si>
    <t>Tax</t>
  </si>
  <si>
    <t>Discounted Cash Flow</t>
  </si>
  <si>
    <t>tax rate (Prevailing corporate )</t>
  </si>
  <si>
    <t>Net Cash Flow</t>
  </si>
  <si>
    <t xml:space="preserve">Profit before Tax </t>
  </si>
  <si>
    <t>Indian Market rate of return</t>
  </si>
  <si>
    <t>Operating Profit</t>
  </si>
  <si>
    <t>5% increase every year</t>
  </si>
  <si>
    <t>3% increase every year</t>
  </si>
  <si>
    <t>1.5% increase every year</t>
  </si>
  <si>
    <t>FIXED CRANE EXPANSION</t>
  </si>
  <si>
    <t>Expected Sales Revenue</t>
  </si>
  <si>
    <t>2% increase every year</t>
  </si>
  <si>
    <t>Warehouse space rent</t>
  </si>
  <si>
    <t>1.0% increase every year</t>
  </si>
  <si>
    <t xml:space="preserve">  0% for 3 years</t>
  </si>
  <si>
    <t>which is 6% of material costs</t>
  </si>
  <si>
    <t>Straightline</t>
  </si>
  <si>
    <t>WACC (Fixed)</t>
  </si>
  <si>
    <t>WACC (Mobile)</t>
  </si>
  <si>
    <t>Year</t>
  </si>
  <si>
    <t>Equity Beta ( Beta geared)</t>
  </si>
  <si>
    <t xml:space="preserve">Worker wages &amp; factory </t>
  </si>
  <si>
    <t>Cash Operating Profit</t>
  </si>
  <si>
    <t>IRR</t>
  </si>
  <si>
    <t>Growth rate after year 5</t>
  </si>
  <si>
    <t>Annual Capital Exp. After year 5</t>
  </si>
  <si>
    <t>Gordon Growth Model</t>
  </si>
  <si>
    <t>Salvage Value</t>
  </si>
  <si>
    <t>Cumulative Cash Flow</t>
  </si>
  <si>
    <t>Cost of plants and machinery</t>
  </si>
  <si>
    <t>Manufacturing</t>
  </si>
  <si>
    <t xml:space="preserve">Office &amp; admin </t>
  </si>
  <si>
    <t>Inventory expenses</t>
  </si>
  <si>
    <t>WACC</t>
  </si>
  <si>
    <t>Ke (E/V) + Kd (D/V) </t>
  </si>
  <si>
    <t>Ke = cost of equity </t>
  </si>
  <si>
    <t>Kd = cost of debt </t>
  </si>
  <si>
    <t>E = Market value of equity </t>
  </si>
  <si>
    <t>D = Market value of Debt </t>
  </si>
  <si>
    <t>V = Market value of equity plus market value of debt</t>
  </si>
  <si>
    <t>Ke = Rf + (Em– Rf) βe</t>
  </si>
  <si>
    <t>Rf = Risk Free Rate</t>
  </si>
  <si>
    <t>Em = Market Rate of Return</t>
  </si>
  <si>
    <t>βe = Beta equity</t>
  </si>
  <si>
    <t>Beta Ungeared</t>
  </si>
  <si>
    <t>βg = βu (1 + (1 – t)D/E)</t>
  </si>
  <si>
    <t>βg = Beta geared</t>
  </si>
  <si>
    <t>βu = Beta ungeared</t>
  </si>
  <si>
    <t>t = Corporate Tax</t>
  </si>
  <si>
    <t>D/E = Debt to Equity Ratio</t>
  </si>
  <si>
    <t>P0 = C1/( wacc - g ) </t>
  </si>
  <si>
    <t>Where C1 = C0 (1+g)</t>
  </si>
  <si>
    <t>C0 = Last Year Cash Flow - Capital Expenditure</t>
  </si>
  <si>
    <t>WACC = Weighted Average Cost of Capital</t>
  </si>
  <si>
    <t>g = Growth Rate</t>
  </si>
  <si>
    <t>FORMULAS USED FOR CALCULATIONS</t>
  </si>
  <si>
    <t>βe = Beta Equity</t>
  </si>
  <si>
    <t>βg = Beta Geared (Equity beta)</t>
  </si>
  <si>
    <t>βu = Beta ungeared (Asset beta)</t>
  </si>
  <si>
    <t>P0 = C1/( WACC - g ) </t>
  </si>
  <si>
    <t>FORMULAS USED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</si>
</sst>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£&quot;#,##0.00_);[Red]\(&quot;£&quot;#,##0.00\)"/>
    <numFmt numFmtId="165" formatCode="_(&quot;£&quot;* #,##0.00_);_(&quot;£&quot;* \(#,##0.00\);_(&quot;£&quot;* &quot;-&quot;??_);_(@_)"/>
    <numFmt numFmtId="166" formatCode="_([$$-409]* #,##0.00_);_([$$-409]* \(#,##0.00\);_([$$-409]* &quot;-&quot;??_);_(@_)"/>
    <numFmt numFmtId="167" formatCode="0.0"/>
    <numFmt numFmtId="168" formatCode="_([$$-409]* #,##0_);_([$$-409]* \(#,##0\);_([$$-409]* &quot;-&quot;??_);_(@_)"/>
    <numFmt numFmtId="169" formatCode="0.0%"/>
    <numFmt numFmtId="170" formatCode="0.000%"/>
  </numFmts>
  <fonts count="1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Grantha Sangam MN Regular"/>
    </font>
    <font>
      <sz val="12"/>
      <color theme="1"/>
      <name val="Grantha Sangam MN Regula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BFF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3B93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0" applyNumberFormat="1"/>
    <xf numFmtId="166" fontId="0" fillId="0" borderId="0" xfId="0" applyNumberFormat="1"/>
    <xf numFmtId="0" fontId="3" fillId="0" borderId="0" xfId="0" applyFont="1"/>
    <xf numFmtId="166" fontId="0" fillId="0" borderId="0" xfId="0" applyNumberFormat="1" applyAlignment="1">
      <alignment horizontal="right"/>
    </xf>
    <xf numFmtId="1" fontId="0" fillId="0" borderId="0" xfId="0" applyNumberFormat="1"/>
    <xf numFmtId="0" fontId="4" fillId="0" borderId="0" xfId="0" applyFont="1"/>
    <xf numFmtId="14" fontId="3" fillId="3" borderId="0" xfId="0" applyNumberFormat="1" applyFont="1" applyFill="1"/>
    <xf numFmtId="166" fontId="3" fillId="0" borderId="0" xfId="0" applyNumberFormat="1" applyFont="1"/>
    <xf numFmtId="166" fontId="0" fillId="4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7" fontId="0" fillId="4" borderId="7" xfId="0" applyNumberFormat="1" applyFill="1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3" fillId="0" borderId="1" xfId="0" applyFont="1" applyBorder="1"/>
    <xf numFmtId="166" fontId="0" fillId="0" borderId="2" xfId="0" applyNumberFormat="1" applyBorder="1"/>
    <xf numFmtId="0" fontId="0" fillId="0" borderId="3" xfId="0" applyBorder="1"/>
    <xf numFmtId="0" fontId="3" fillId="0" borderId="4" xfId="0" applyFont="1" applyBorder="1"/>
    <xf numFmtId="166" fontId="0" fillId="0" borderId="0" xfId="1" applyNumberFormat="1" applyFont="1" applyBorder="1"/>
    <xf numFmtId="0" fontId="3" fillId="0" borderId="5" xfId="0" applyFont="1" applyBorder="1"/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0" fontId="0" fillId="0" borderId="4" xfId="0" applyBorder="1" applyAlignment="1">
      <alignment wrapText="1"/>
    </xf>
    <xf numFmtId="168" fontId="0" fillId="0" borderId="0" xfId="0" applyNumberFormat="1"/>
    <xf numFmtId="0" fontId="0" fillId="0" borderId="0" xfId="0" applyAlignment="1">
      <alignment wrapText="1"/>
    </xf>
    <xf numFmtId="0" fontId="0" fillId="0" borderId="8" xfId="0" applyBorder="1"/>
    <xf numFmtId="0" fontId="3" fillId="3" borderId="4" xfId="0" applyFont="1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right"/>
    </xf>
    <xf numFmtId="166" fontId="3" fillId="3" borderId="10" xfId="0" applyNumberFormat="1" applyFont="1" applyFill="1" applyBorder="1" applyAlignment="1">
      <alignment horizontal="right"/>
    </xf>
    <xf numFmtId="166" fontId="3" fillId="3" borderId="11" xfId="0" applyNumberFormat="1" applyFont="1" applyFill="1" applyBorder="1" applyAlignment="1">
      <alignment horizontal="right"/>
    </xf>
    <xf numFmtId="0" fontId="3" fillId="3" borderId="0" xfId="0" applyFont="1" applyFill="1"/>
    <xf numFmtId="0" fontId="3" fillId="3" borderId="5" xfId="0" applyFont="1" applyFill="1" applyBorder="1"/>
    <xf numFmtId="166" fontId="7" fillId="0" borderId="0" xfId="0" applyNumberFormat="1" applyFont="1"/>
    <xf numFmtId="170" fontId="0" fillId="0" borderId="0" xfId="2" applyNumberFormat="1" applyFont="1"/>
    <xf numFmtId="164" fontId="0" fillId="0" borderId="0" xfId="0" applyNumberFormat="1"/>
    <xf numFmtId="166" fontId="0" fillId="5" borderId="0" xfId="0" applyNumberFormat="1" applyFill="1"/>
    <xf numFmtId="169" fontId="0" fillId="0" borderId="0" xfId="0" applyNumberFormat="1"/>
    <xf numFmtId="0" fontId="0" fillId="5" borderId="5" xfId="0" applyFill="1" applyBorder="1"/>
    <xf numFmtId="9" fontId="0" fillId="5" borderId="5" xfId="2" applyFont="1" applyFill="1" applyBorder="1"/>
    <xf numFmtId="0" fontId="0" fillId="5" borderId="8" xfId="0" applyFill="1" applyBorder="1"/>
    <xf numFmtId="0" fontId="0" fillId="5" borderId="13" xfId="0" applyFill="1" applyBorder="1" applyAlignment="1">
      <alignment horizontal="right"/>
    </xf>
    <xf numFmtId="0" fontId="0" fillId="6" borderId="0" xfId="0" applyFill="1"/>
    <xf numFmtId="166" fontId="0" fillId="6" borderId="0" xfId="0" applyNumberFormat="1" applyFill="1"/>
    <xf numFmtId="10" fontId="0" fillId="6" borderId="0" xfId="0" applyNumberFormat="1" applyFill="1"/>
    <xf numFmtId="0" fontId="0" fillId="6" borderId="0" xfId="0" applyFill="1" applyAlignment="1">
      <alignment vertical="center" wrapText="1"/>
    </xf>
    <xf numFmtId="10" fontId="0" fillId="6" borderId="0" xfId="0" applyNumberFormat="1" applyFill="1" applyAlignment="1">
      <alignment vertical="center"/>
    </xf>
    <xf numFmtId="0" fontId="0" fillId="6" borderId="12" xfId="0" applyFill="1" applyBorder="1"/>
    <xf numFmtId="9" fontId="0" fillId="6" borderId="0" xfId="0" applyNumberFormat="1" applyFill="1"/>
    <xf numFmtId="0" fontId="3" fillId="6" borderId="0" xfId="0" applyFont="1" applyFill="1"/>
    <xf numFmtId="166" fontId="3" fillId="6" borderId="0" xfId="0" applyNumberFormat="1" applyFont="1" applyFill="1"/>
    <xf numFmtId="167" fontId="0" fillId="6" borderId="7" xfId="0" applyNumberFormat="1" applyFill="1" applyBorder="1"/>
    <xf numFmtId="0" fontId="0" fillId="5" borderId="0" xfId="0" applyFill="1"/>
    <xf numFmtId="0" fontId="8" fillId="7" borderId="4" xfId="0" applyFont="1" applyFill="1" applyBorder="1"/>
    <xf numFmtId="0" fontId="8" fillId="7" borderId="0" xfId="0" applyFont="1" applyFill="1"/>
    <xf numFmtId="0" fontId="8" fillId="7" borderId="5" xfId="0" applyFont="1" applyFill="1" applyBorder="1"/>
    <xf numFmtId="0" fontId="9" fillId="0" borderId="4" xfId="0" applyFont="1" applyBorder="1"/>
    <xf numFmtId="0" fontId="9" fillId="0" borderId="0" xfId="0" applyFont="1"/>
    <xf numFmtId="166" fontId="9" fillId="0" borderId="0" xfId="0" applyNumberFormat="1" applyFont="1"/>
    <xf numFmtId="166" fontId="9" fillId="0" borderId="5" xfId="0" applyNumberFormat="1" applyFont="1" applyBorder="1"/>
    <xf numFmtId="0" fontId="9" fillId="0" borderId="0" xfId="0" applyFont="1" applyAlignment="1">
      <alignment wrapText="1"/>
    </xf>
    <xf numFmtId="166" fontId="8" fillId="8" borderId="0" xfId="0" applyNumberFormat="1" applyFont="1" applyFill="1"/>
    <xf numFmtId="166" fontId="8" fillId="8" borderId="5" xfId="0" applyNumberFormat="1" applyFont="1" applyFill="1" applyBorder="1"/>
    <xf numFmtId="0" fontId="8" fillId="0" borderId="4" xfId="0" applyFont="1" applyBorder="1"/>
    <xf numFmtId="0" fontId="9" fillId="9" borderId="6" xfId="0" applyFont="1" applyFill="1" applyBorder="1"/>
    <xf numFmtId="166" fontId="9" fillId="9" borderId="7" xfId="0" applyNumberFormat="1" applyFont="1" applyFill="1" applyBorder="1"/>
    <xf numFmtId="0" fontId="9" fillId="9" borderId="4" xfId="0" applyFont="1" applyFill="1" applyBorder="1"/>
    <xf numFmtId="0" fontId="9" fillId="9" borderId="0" xfId="0" applyFont="1" applyFill="1"/>
    <xf numFmtId="166" fontId="9" fillId="9" borderId="0" xfId="0" applyNumberFormat="1" applyFont="1" applyFill="1"/>
    <xf numFmtId="10" fontId="9" fillId="9" borderId="0" xfId="0" applyNumberFormat="1" applyFont="1" applyFill="1"/>
    <xf numFmtId="0" fontId="9" fillId="0" borderId="4" xfId="0" applyFont="1" applyBorder="1" applyAlignment="1">
      <alignment wrapText="1"/>
    </xf>
    <xf numFmtId="166" fontId="8" fillId="0" borderId="0" xfId="0" applyNumberFormat="1" applyFont="1"/>
    <xf numFmtId="169" fontId="9" fillId="9" borderId="0" xfId="0" applyNumberFormat="1" applyFont="1" applyFill="1"/>
    <xf numFmtId="166" fontId="9" fillId="8" borderId="0" xfId="0" applyNumberFormat="1" applyFont="1" applyFill="1"/>
    <xf numFmtId="166" fontId="9" fillId="8" borderId="5" xfId="0" applyNumberFormat="1" applyFont="1" applyFill="1" applyBorder="1"/>
    <xf numFmtId="0" fontId="11" fillId="10" borderId="0" xfId="0" applyFont="1" applyFill="1"/>
    <xf numFmtId="0" fontId="10" fillId="10" borderId="0" xfId="0" applyFont="1" applyFill="1"/>
    <xf numFmtId="0" fontId="11" fillId="0" borderId="0" xfId="0" applyFont="1"/>
    <xf numFmtId="0" fontId="11" fillId="8" borderId="0" xfId="0" applyFont="1" applyFill="1"/>
    <xf numFmtId="0" fontId="3" fillId="2" borderId="0" xfId="0" applyFont="1" applyFill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8" xfId="0" applyFont="1" applyBorder="1"/>
    <xf numFmtId="0" fontId="11" fillId="11" borderId="9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2" borderId="1" xfId="0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A3B93A"/>
      <color rgb="FFFB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79B5-1F1D-D64F-B95A-942D6D3029DC}">
  <dimension ref="A1:M48"/>
  <sheetViews>
    <sheetView workbookViewId="0">
      <selection activeCell="E30" sqref="E30"/>
    </sheetView>
  </sheetViews>
  <sheetFormatPr baseColWidth="10" defaultRowHeight="16"/>
  <cols>
    <col min="1" max="1" width="27.6640625" customWidth="1"/>
    <col min="2" max="2" width="19.1640625" style="2" bestFit="1" customWidth="1"/>
    <col min="3" max="3" width="24.5" bestFit="1" customWidth="1"/>
    <col min="4" max="4" width="2.6640625" customWidth="1"/>
    <col min="5" max="5" width="28.5" bestFit="1" customWidth="1"/>
    <col min="6" max="6" width="15.5" customWidth="1"/>
    <col min="7" max="8" width="19.1640625" bestFit="1" customWidth="1"/>
    <col min="9" max="9" width="15.33203125" bestFit="1" customWidth="1"/>
    <col min="10" max="10" width="3.1640625" customWidth="1"/>
    <col min="11" max="11" width="32.83203125" bestFit="1" customWidth="1"/>
    <col min="12" max="12" width="16.33203125" bestFit="1" customWidth="1"/>
    <col min="13" max="13" width="15.33203125" bestFit="1" customWidth="1"/>
  </cols>
  <sheetData>
    <row r="1" spans="1:13">
      <c r="A1" t="s">
        <v>0</v>
      </c>
      <c r="B1"/>
    </row>
    <row r="2" spans="1:13">
      <c r="B2"/>
    </row>
    <row r="3" spans="1:13">
      <c r="A3" t="s">
        <v>1</v>
      </c>
      <c r="B3" s="29">
        <v>15000000000</v>
      </c>
      <c r="K3" s="85" t="s">
        <v>46</v>
      </c>
      <c r="L3" s="85"/>
      <c r="M3" s="85"/>
    </row>
    <row r="4" spans="1:13">
      <c r="A4" t="s">
        <v>2</v>
      </c>
      <c r="B4" s="1">
        <v>0.05</v>
      </c>
      <c r="L4" s="7">
        <v>44286</v>
      </c>
      <c r="M4" s="7">
        <v>43920</v>
      </c>
    </row>
    <row r="5" spans="1:13">
      <c r="A5" t="s">
        <v>3</v>
      </c>
      <c r="B5" s="1">
        <v>0.1</v>
      </c>
      <c r="K5" t="s">
        <v>47</v>
      </c>
      <c r="L5" s="2">
        <v>10862826</v>
      </c>
      <c r="M5" s="2">
        <v>8041820</v>
      </c>
    </row>
    <row r="6" spans="1:13" ht="17" thickBot="1">
      <c r="K6" t="s">
        <v>48</v>
      </c>
      <c r="L6" s="2">
        <v>487967</v>
      </c>
      <c r="M6" s="2">
        <v>193600</v>
      </c>
    </row>
    <row r="7" spans="1:13" ht="17" thickBot="1">
      <c r="A7" s="19" t="s">
        <v>20</v>
      </c>
      <c r="B7" s="20"/>
      <c r="C7" s="21"/>
      <c r="E7" s="17"/>
      <c r="F7" s="18" t="s">
        <v>76</v>
      </c>
      <c r="G7" s="18" t="s">
        <v>75</v>
      </c>
      <c r="H7" s="18" t="s">
        <v>77</v>
      </c>
      <c r="I7" s="47"/>
      <c r="K7" t="s">
        <v>49</v>
      </c>
      <c r="L7" s="9">
        <f>L5+L6</f>
        <v>11350793</v>
      </c>
      <c r="M7" s="9">
        <f>M5+M6</f>
        <v>8235420</v>
      </c>
    </row>
    <row r="8" spans="1:13">
      <c r="A8" s="22"/>
      <c r="C8" s="11"/>
      <c r="E8" s="10" t="s">
        <v>73</v>
      </c>
      <c r="F8">
        <v>1.9</v>
      </c>
      <c r="G8">
        <v>2.1</v>
      </c>
      <c r="H8">
        <v>2.15</v>
      </c>
      <c r="I8" s="44"/>
      <c r="L8" s="2"/>
      <c r="M8" s="2"/>
    </row>
    <row r="9" spans="1:13">
      <c r="A9" s="22" t="s">
        <v>104</v>
      </c>
      <c r="B9" s="23">
        <v>13000000</v>
      </c>
      <c r="C9" s="11" t="s">
        <v>100</v>
      </c>
      <c r="E9" s="10" t="s">
        <v>74</v>
      </c>
      <c r="F9" s="1">
        <v>0.3</v>
      </c>
      <c r="G9" s="1">
        <v>0.45</v>
      </c>
      <c r="H9" s="1">
        <v>0.3</v>
      </c>
      <c r="I9" s="45"/>
      <c r="K9" t="s">
        <v>50</v>
      </c>
      <c r="L9" s="2"/>
      <c r="M9" s="2"/>
    </row>
    <row r="10" spans="1:13" ht="17" thickBot="1">
      <c r="A10" s="10"/>
      <c r="C10" s="11"/>
      <c r="E10" s="12" t="s">
        <v>114</v>
      </c>
      <c r="F10" s="16">
        <f>F8*(1+(1-Tax_Rate)*F9)</f>
        <v>2.2989999999999999</v>
      </c>
      <c r="G10" s="57">
        <f>G8*(1+(1-Tax_Rate)*G9)</f>
        <v>2.7614999999999998</v>
      </c>
      <c r="H10" s="16">
        <f>H8*(1+(1-Tax_Rate)*H9)</f>
        <v>2.6014999999999997</v>
      </c>
      <c r="I10" s="46"/>
      <c r="K10" t="s">
        <v>37</v>
      </c>
      <c r="L10" s="2">
        <v>8049494</v>
      </c>
      <c r="M10" s="2">
        <v>5734090.0010000002</v>
      </c>
    </row>
    <row r="11" spans="1:13">
      <c r="A11" s="22" t="s">
        <v>16</v>
      </c>
      <c r="C11" s="11"/>
      <c r="F11" s="2"/>
      <c r="K11" t="s">
        <v>38</v>
      </c>
      <c r="L11" s="2">
        <v>1136129</v>
      </c>
      <c r="M11" s="2">
        <v>1003730</v>
      </c>
    </row>
    <row r="12" spans="1:13">
      <c r="A12" s="10" t="s">
        <v>106</v>
      </c>
      <c r="B12" s="2">
        <v>5000000</v>
      </c>
      <c r="C12" s="11" t="s">
        <v>10</v>
      </c>
      <c r="E12" s="48" t="s">
        <v>81</v>
      </c>
      <c r="F12" s="50">
        <v>6.1449999999999998E-2</v>
      </c>
      <c r="H12" s="48" t="s">
        <v>86</v>
      </c>
      <c r="I12" s="49">
        <f>SUM(B12:B13,B15)</f>
        <v>6200000</v>
      </c>
      <c r="K12" t="s">
        <v>39</v>
      </c>
      <c r="L12" s="2">
        <v>1781973</v>
      </c>
      <c r="M12" s="2">
        <v>1230161</v>
      </c>
    </row>
    <row r="13" spans="1:13">
      <c r="A13" s="10" t="s">
        <v>123</v>
      </c>
      <c r="B13" s="2">
        <v>1000000</v>
      </c>
      <c r="C13" s="11" t="s">
        <v>78</v>
      </c>
      <c r="E13" s="48" t="s">
        <v>80</v>
      </c>
      <c r="F13" s="50">
        <f>RiskFree_Rate+($B$44-RiskFree_Rate)*G10</f>
        <v>0.1349059</v>
      </c>
      <c r="H13" s="48" t="s">
        <v>82</v>
      </c>
      <c r="I13" s="50">
        <f>F13</f>
        <v>0.1349059</v>
      </c>
      <c r="K13" t="s">
        <v>40</v>
      </c>
      <c r="L13" s="2">
        <v>52020</v>
      </c>
      <c r="M13" s="2">
        <v>44000</v>
      </c>
    </row>
    <row r="14" spans="1:13">
      <c r="A14" s="10" t="s">
        <v>12</v>
      </c>
      <c r="B14" s="2">
        <v>100000</v>
      </c>
      <c r="C14" s="11" t="s">
        <v>13</v>
      </c>
      <c r="E14" s="48" t="s">
        <v>112</v>
      </c>
      <c r="F14" s="50">
        <f>I13*(I15/I12)+I14*(I16/I12)*(1-Tax_Rate)</f>
        <v>0.10516354</v>
      </c>
      <c r="H14" s="48" t="s">
        <v>83</v>
      </c>
      <c r="I14" s="50">
        <f>B41</f>
        <v>8.6499999999999994E-2</v>
      </c>
      <c r="K14" t="s">
        <v>41</v>
      </c>
      <c r="L14" s="2">
        <v>70283</v>
      </c>
      <c r="M14" s="2">
        <v>11540</v>
      </c>
    </row>
    <row r="15" spans="1:13">
      <c r="A15" s="10" t="s">
        <v>14</v>
      </c>
      <c r="B15" s="2">
        <v>200000</v>
      </c>
      <c r="C15" s="11"/>
      <c r="E15" s="48"/>
      <c r="F15" s="49"/>
      <c r="H15" s="48" t="s">
        <v>85</v>
      </c>
      <c r="I15" s="49">
        <f>0.6*$I$12</f>
        <v>3720000</v>
      </c>
      <c r="K15" t="s">
        <v>42</v>
      </c>
      <c r="L15" s="2">
        <v>11089899</v>
      </c>
      <c r="M15" s="2">
        <v>8023521</v>
      </c>
    </row>
    <row r="16" spans="1:13">
      <c r="A16" s="10"/>
      <c r="C16" s="11"/>
      <c r="E16" s="48"/>
      <c r="F16" s="49"/>
      <c r="H16" s="48" t="s">
        <v>84</v>
      </c>
      <c r="I16" s="49">
        <f>0.4*$I$12</f>
        <v>2480000</v>
      </c>
      <c r="K16" t="s">
        <v>43</v>
      </c>
      <c r="L16" s="2">
        <v>260894</v>
      </c>
      <c r="M16" s="2">
        <v>211899</v>
      </c>
    </row>
    <row r="17" spans="1:13">
      <c r="A17" s="22" t="s">
        <v>15</v>
      </c>
      <c r="B17" s="8"/>
      <c r="C17" s="24"/>
      <c r="D17" s="8"/>
      <c r="E17" s="53" t="s">
        <v>118</v>
      </c>
      <c r="F17" s="54">
        <v>0.02</v>
      </c>
      <c r="H17" s="48"/>
      <c r="I17" s="48"/>
      <c r="K17" t="s">
        <v>44</v>
      </c>
      <c r="L17" s="2">
        <v>78268.2</v>
      </c>
      <c r="M17" s="2">
        <v>63569.7</v>
      </c>
    </row>
    <row r="18" spans="1:13">
      <c r="A18" s="10" t="s">
        <v>17</v>
      </c>
      <c r="B18" s="2">
        <v>5000000</v>
      </c>
      <c r="C18" s="25" t="s">
        <v>101</v>
      </c>
      <c r="D18" s="2"/>
      <c r="E18" s="48" t="s">
        <v>119</v>
      </c>
      <c r="F18" s="48">
        <v>190000</v>
      </c>
      <c r="H18" s="48"/>
      <c r="I18" s="48"/>
      <c r="K18" t="s">
        <v>45</v>
      </c>
      <c r="L18" s="2">
        <v>182625.8</v>
      </c>
      <c r="M18" s="2">
        <v>148329.29999999999</v>
      </c>
    </row>
    <row r="19" spans="1:13">
      <c r="A19" s="10" t="s">
        <v>18</v>
      </c>
      <c r="B19" s="2">
        <v>1500000</v>
      </c>
      <c r="C19" s="25" t="s">
        <v>102</v>
      </c>
      <c r="D19" s="2"/>
      <c r="E19" s="48"/>
      <c r="F19" s="48"/>
      <c r="H19" s="48"/>
      <c r="I19" s="48"/>
      <c r="L19" s="2"/>
      <c r="M19" s="2"/>
    </row>
    <row r="20" spans="1:13" ht="17" thickBot="1">
      <c r="A20" s="12" t="s">
        <v>19</v>
      </c>
      <c r="B20" s="26">
        <v>1800000</v>
      </c>
      <c r="C20" s="27"/>
      <c r="D20" s="2"/>
      <c r="E20" s="48"/>
      <c r="F20" s="48"/>
      <c r="H20" s="48"/>
      <c r="I20" s="48"/>
      <c r="L20" s="2"/>
      <c r="M20" s="2"/>
    </row>
    <row r="21" spans="1:13" ht="17" thickBot="1">
      <c r="E21" s="55"/>
      <c r="F21" s="56"/>
      <c r="H21" s="48"/>
      <c r="I21" s="48"/>
      <c r="K21" s="85" t="s">
        <v>51</v>
      </c>
      <c r="L21" s="85"/>
      <c r="M21" s="85"/>
    </row>
    <row r="22" spans="1:13">
      <c r="A22" s="19" t="s">
        <v>103</v>
      </c>
      <c r="B22" s="20"/>
      <c r="C22" s="21"/>
      <c r="E22" s="48"/>
      <c r="F22" s="48"/>
      <c r="H22" s="48" t="s">
        <v>86</v>
      </c>
      <c r="I22" s="49">
        <f>SUM(B27:B28,B31)</f>
        <v>5700000</v>
      </c>
      <c r="L22" s="7">
        <v>44286</v>
      </c>
      <c r="M22" s="7">
        <v>43920</v>
      </c>
    </row>
    <row r="23" spans="1:13">
      <c r="A23" s="10"/>
      <c r="C23" s="11"/>
      <c r="E23" s="48"/>
      <c r="F23" s="50"/>
      <c r="H23" s="48" t="s">
        <v>85</v>
      </c>
      <c r="I23" s="49">
        <f>0.6*I22</f>
        <v>3420000</v>
      </c>
      <c r="K23" s="3" t="s">
        <v>52</v>
      </c>
      <c r="L23" s="2"/>
      <c r="M23" s="2"/>
    </row>
    <row r="24" spans="1:13">
      <c r="A24" s="22" t="s">
        <v>104</v>
      </c>
      <c r="B24" s="23">
        <v>11000000</v>
      </c>
      <c r="C24" s="11" t="s">
        <v>105</v>
      </c>
      <c r="E24" s="48" t="s">
        <v>111</v>
      </c>
      <c r="F24" s="50">
        <f>B42*(I23/I22)+Loan_Interest_Rate*(I24/I22)*(1-Tax_Rate)</f>
        <v>0.14421999999999999</v>
      </c>
      <c r="H24" s="48" t="s">
        <v>84</v>
      </c>
      <c r="I24" s="49">
        <f>0.4*I22</f>
        <v>2280000</v>
      </c>
      <c r="K24" s="3" t="s">
        <v>69</v>
      </c>
      <c r="L24" s="2"/>
      <c r="M24" s="2"/>
    </row>
    <row r="25" spans="1:13">
      <c r="A25" s="10"/>
      <c r="C25" s="11"/>
      <c r="F25" s="2"/>
      <c r="K25" s="6" t="s">
        <v>70</v>
      </c>
      <c r="L25" s="2">
        <v>100000</v>
      </c>
      <c r="M25" s="2">
        <v>100000</v>
      </c>
    </row>
    <row r="26" spans="1:13" s="3" customFormat="1">
      <c r="A26" s="22" t="s">
        <v>16</v>
      </c>
      <c r="C26" s="24"/>
      <c r="E26"/>
      <c r="F26" s="2"/>
      <c r="G26"/>
      <c r="K26" t="s">
        <v>53</v>
      </c>
      <c r="L26" s="2">
        <v>907734</v>
      </c>
      <c r="M26" s="2">
        <v>745269</v>
      </c>
    </row>
    <row r="27" spans="1:13">
      <c r="A27" s="10" t="s">
        <v>22</v>
      </c>
      <c r="B27" s="2">
        <v>5000000</v>
      </c>
      <c r="C27" s="11"/>
      <c r="K27" s="3" t="s">
        <v>54</v>
      </c>
      <c r="L27" s="2"/>
      <c r="M27" s="2"/>
    </row>
    <row r="28" spans="1:13">
      <c r="A28" s="10" t="s">
        <v>23</v>
      </c>
      <c r="B28" s="2">
        <v>700000</v>
      </c>
      <c r="C28" s="11"/>
      <c r="F28" s="2"/>
      <c r="K28" t="s">
        <v>55</v>
      </c>
      <c r="L28" s="2">
        <v>949982</v>
      </c>
      <c r="M28" s="2">
        <v>121840</v>
      </c>
    </row>
    <row r="29" spans="1:13">
      <c r="A29" s="10"/>
      <c r="C29" s="11"/>
      <c r="F29" s="2"/>
      <c r="K29" t="s">
        <v>56</v>
      </c>
      <c r="L29" s="2">
        <v>5945951</v>
      </c>
      <c r="M29" s="2">
        <v>1844566</v>
      </c>
    </row>
    <row r="30" spans="1:13">
      <c r="A30" s="22" t="s">
        <v>15</v>
      </c>
      <c r="B30" s="8"/>
      <c r="C30" s="24"/>
      <c r="D30" s="8"/>
      <c r="F30" s="2"/>
      <c r="K30" t="s">
        <v>57</v>
      </c>
      <c r="L30" s="2">
        <v>722438</v>
      </c>
      <c r="M30" s="2">
        <v>459037</v>
      </c>
    </row>
    <row r="31" spans="1:13">
      <c r="A31" s="10" t="s">
        <v>40</v>
      </c>
      <c r="B31" s="4"/>
      <c r="C31" s="11" t="s">
        <v>110</v>
      </c>
      <c r="K31" s="3" t="s">
        <v>58</v>
      </c>
      <c r="L31" s="2">
        <v>8626105</v>
      </c>
      <c r="M31" s="2">
        <v>3270712</v>
      </c>
    </row>
    <row r="32" spans="1:13">
      <c r="A32" s="10" t="s">
        <v>25</v>
      </c>
      <c r="B32" s="2">
        <v>4700000</v>
      </c>
      <c r="C32" s="25" t="s">
        <v>102</v>
      </c>
      <c r="L32" s="2"/>
      <c r="M32" s="2"/>
    </row>
    <row r="33" spans="1:13" ht="17">
      <c r="A33" s="28" t="s">
        <v>27</v>
      </c>
      <c r="B33" s="2">
        <v>800000</v>
      </c>
      <c r="C33" s="25" t="s">
        <v>107</v>
      </c>
      <c r="K33" s="3" t="s">
        <v>59</v>
      </c>
      <c r="L33" s="2"/>
      <c r="M33" s="2"/>
    </row>
    <row r="34" spans="1:13">
      <c r="A34" s="10" t="s">
        <v>26</v>
      </c>
      <c r="B34" s="2">
        <v>1700000</v>
      </c>
      <c r="C34" s="11" t="s">
        <v>108</v>
      </c>
      <c r="K34" s="3" t="s">
        <v>60</v>
      </c>
      <c r="L34" s="2"/>
      <c r="M34" s="2"/>
    </row>
    <row r="35" spans="1:13" ht="17" thickBot="1">
      <c r="A35" s="12" t="s">
        <v>28</v>
      </c>
      <c r="B35" s="26">
        <f>0.06*B32</f>
        <v>282000</v>
      </c>
      <c r="C35" s="31" t="s">
        <v>109</v>
      </c>
      <c r="K35" t="s">
        <v>61</v>
      </c>
      <c r="L35" s="2">
        <v>754406</v>
      </c>
      <c r="M35" s="4">
        <v>618361</v>
      </c>
    </row>
    <row r="36" spans="1:13">
      <c r="K36" t="s">
        <v>62</v>
      </c>
      <c r="L36" s="2">
        <v>370732</v>
      </c>
      <c r="M36" s="4">
        <v>17600</v>
      </c>
    </row>
    <row r="37" spans="1:13">
      <c r="A37" s="13" t="s">
        <v>31</v>
      </c>
      <c r="B37" s="14">
        <v>0.04</v>
      </c>
      <c r="K37" s="3" t="s">
        <v>63</v>
      </c>
      <c r="L37" s="2"/>
      <c r="M37" s="4"/>
    </row>
    <row r="38" spans="1:13">
      <c r="A38" s="13" t="s">
        <v>32</v>
      </c>
      <c r="B38" s="14">
        <v>0.4</v>
      </c>
      <c r="K38" t="s">
        <v>64</v>
      </c>
      <c r="L38" s="2">
        <v>5285000</v>
      </c>
      <c r="M38" s="4">
        <v>1522058</v>
      </c>
    </row>
    <row r="39" spans="1:13">
      <c r="A39" s="13" t="s">
        <v>33</v>
      </c>
      <c r="B39" s="14">
        <v>0.6</v>
      </c>
      <c r="K39" t="s">
        <v>65</v>
      </c>
      <c r="L39" s="2">
        <v>817087</v>
      </c>
      <c r="M39" s="4">
        <v>730184</v>
      </c>
    </row>
    <row r="40" spans="1:13">
      <c r="A40" s="13" t="s">
        <v>34</v>
      </c>
      <c r="B40" s="14">
        <v>0.23</v>
      </c>
      <c r="K40" t="s">
        <v>66</v>
      </c>
      <c r="L40" s="2">
        <v>1318330</v>
      </c>
      <c r="M40" s="4">
        <v>382509</v>
      </c>
    </row>
    <row r="41" spans="1:13">
      <c r="A41" s="13" t="s">
        <v>35</v>
      </c>
      <c r="B41" s="14">
        <v>8.6499999999999994E-2</v>
      </c>
      <c r="C41" s="3"/>
      <c r="K41" t="s">
        <v>67</v>
      </c>
      <c r="L41" s="2">
        <v>75000</v>
      </c>
      <c r="M41" s="4" t="s">
        <v>71</v>
      </c>
    </row>
    <row r="42" spans="1:13" ht="34">
      <c r="A42" s="15" t="s">
        <v>36</v>
      </c>
      <c r="B42" s="14">
        <v>0.2</v>
      </c>
      <c r="K42" t="s">
        <v>68</v>
      </c>
      <c r="L42" s="2">
        <v>5550</v>
      </c>
      <c r="M42" s="4" t="s">
        <v>71</v>
      </c>
    </row>
    <row r="43" spans="1:13">
      <c r="A43" s="13" t="s">
        <v>95</v>
      </c>
      <c r="B43" s="14">
        <v>0.3</v>
      </c>
      <c r="K43" s="3" t="s">
        <v>58</v>
      </c>
      <c r="L43" s="2">
        <v>8626105</v>
      </c>
      <c r="M43" s="4">
        <v>3270712</v>
      </c>
    </row>
    <row r="44" spans="1:13" ht="17">
      <c r="A44" s="51" t="s">
        <v>98</v>
      </c>
      <c r="B44" s="52">
        <v>8.8050000000000003E-2</v>
      </c>
    </row>
    <row r="45" spans="1:13">
      <c r="A45" s="15"/>
      <c r="B45" s="14"/>
    </row>
    <row r="46" spans="1:13">
      <c r="B46"/>
    </row>
    <row r="47" spans="1:13" ht="17">
      <c r="A47" s="30" t="s">
        <v>30</v>
      </c>
      <c r="B47" s="5">
        <v>40</v>
      </c>
      <c r="C47" s="5" t="s">
        <v>72</v>
      </c>
    </row>
    <row r="48" spans="1:13" ht="17">
      <c r="A48" s="30" t="s">
        <v>29</v>
      </c>
      <c r="B48" s="5">
        <v>35</v>
      </c>
      <c r="C48" s="5" t="s">
        <v>72</v>
      </c>
    </row>
  </sheetData>
  <mergeCells count="2">
    <mergeCell ref="K21:M21"/>
    <mergeCell ref="K3:M3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83D-188C-6F4F-8289-D9C5BEC022A2}">
  <dimension ref="A1:K27"/>
  <sheetViews>
    <sheetView zoomScale="83" zoomScaleNormal="135" workbookViewId="0">
      <selection activeCell="A19" sqref="A19"/>
    </sheetView>
  </sheetViews>
  <sheetFormatPr baseColWidth="10" defaultRowHeight="16"/>
  <cols>
    <col min="1" max="1" width="22" bestFit="1" customWidth="1"/>
    <col min="2" max="2" width="16.5" bestFit="1" customWidth="1"/>
    <col min="3" max="3" width="16.5" style="2" customWidth="1"/>
    <col min="4" max="7" width="16.5" customWidth="1"/>
    <col min="8" max="8" width="15.5" bestFit="1" customWidth="1"/>
    <col min="9" max="11" width="14" bestFit="1" customWidth="1"/>
  </cols>
  <sheetData>
    <row r="1" spans="1:11" ht="17" thickBot="1">
      <c r="C1" s="5">
        <v>1</v>
      </c>
      <c r="D1">
        <v>2</v>
      </c>
      <c r="E1" s="5">
        <v>3</v>
      </c>
      <c r="F1">
        <v>4</v>
      </c>
      <c r="G1" s="5">
        <v>5</v>
      </c>
    </row>
    <row r="2" spans="1:11" ht="17" thickBot="1">
      <c r="A2" s="33" t="s">
        <v>113</v>
      </c>
      <c r="B2" s="34" t="s">
        <v>87</v>
      </c>
      <c r="C2" s="35" t="s">
        <v>4</v>
      </c>
      <c r="D2" s="34" t="s">
        <v>5</v>
      </c>
      <c r="E2" s="35" t="s">
        <v>6</v>
      </c>
      <c r="F2" s="34" t="s">
        <v>7</v>
      </c>
      <c r="G2" s="36" t="s">
        <v>8</v>
      </c>
    </row>
    <row r="3" spans="1:11">
      <c r="A3" s="10" t="s">
        <v>91</v>
      </c>
      <c r="C3" s="2">
        <v>11000000</v>
      </c>
      <c r="D3" s="2">
        <f>C3*1.02</f>
        <v>11220000</v>
      </c>
      <c r="E3" s="2">
        <f t="shared" ref="E3:G3" si="0">D3*1.02</f>
        <v>11444400</v>
      </c>
      <c r="F3" s="2">
        <f t="shared" si="0"/>
        <v>11673288</v>
      </c>
      <c r="G3" s="25">
        <f t="shared" si="0"/>
        <v>11906753.76</v>
      </c>
    </row>
    <row r="4" spans="1:11">
      <c r="A4" s="10"/>
      <c r="G4" s="11"/>
      <c r="I4" s="48" t="s">
        <v>88</v>
      </c>
      <c r="J4" s="48" t="s">
        <v>89</v>
      </c>
      <c r="K4" s="48" t="s">
        <v>90</v>
      </c>
    </row>
    <row r="5" spans="1:11">
      <c r="A5" s="32" t="s">
        <v>21</v>
      </c>
      <c r="B5" s="37"/>
      <c r="C5" s="37"/>
      <c r="D5" s="37"/>
      <c r="E5" s="37"/>
      <c r="F5" s="37"/>
      <c r="G5" s="38"/>
      <c r="I5" s="49">
        <f>'Given Data'!I22</f>
        <v>5700000</v>
      </c>
      <c r="J5" s="49">
        <f>I5*0.4</f>
        <v>2280000</v>
      </c>
      <c r="K5" s="49">
        <f>I5*0.6</f>
        <v>3420000</v>
      </c>
    </row>
    <row r="6" spans="1:11">
      <c r="A6" s="10" t="s">
        <v>22</v>
      </c>
      <c r="B6" s="2">
        <f>-'Given Data'!B27</f>
        <v>-5000000</v>
      </c>
      <c r="G6" s="11"/>
    </row>
    <row r="7" spans="1:11">
      <c r="A7" s="10" t="s">
        <v>23</v>
      </c>
      <c r="B7" s="2">
        <f>-'Given Data'!B28</f>
        <v>-700000</v>
      </c>
      <c r="G7" s="11"/>
    </row>
    <row r="8" spans="1:11">
      <c r="A8" s="10"/>
      <c r="G8" s="11"/>
    </row>
    <row r="9" spans="1:11" ht="23">
      <c r="A9" s="59" t="s">
        <v>24</v>
      </c>
      <c r="B9" s="60"/>
      <c r="C9" s="60"/>
      <c r="D9" s="60"/>
      <c r="E9" s="60"/>
      <c r="F9" s="60"/>
      <c r="G9" s="61"/>
    </row>
    <row r="10" spans="1:11" ht="23">
      <c r="A10" s="62" t="s">
        <v>25</v>
      </c>
      <c r="B10" s="63"/>
      <c r="C10" s="64">
        <f>-'Given Data'!B32</f>
        <v>-4700000</v>
      </c>
      <c r="D10" s="64">
        <f>C10*1.015</f>
        <v>-4770500</v>
      </c>
      <c r="E10" s="64">
        <f t="shared" ref="E10:F10" si="1">D10*1.015</f>
        <v>-4842057.4999999991</v>
      </c>
      <c r="F10" s="64">
        <f t="shared" si="1"/>
        <v>-4914688.3624999989</v>
      </c>
      <c r="G10" s="65">
        <f>F10</f>
        <v>-4914688.3624999989</v>
      </c>
    </row>
    <row r="11" spans="1:11" ht="23">
      <c r="A11" s="62" t="s">
        <v>126</v>
      </c>
      <c r="B11" s="63"/>
      <c r="C11" s="64">
        <f>C10*0.06</f>
        <v>-282000</v>
      </c>
      <c r="D11" s="64">
        <f>D10*0.06</f>
        <v>-286230</v>
      </c>
      <c r="E11" s="64">
        <f>E10*0.06</f>
        <v>-290523.44999999995</v>
      </c>
      <c r="F11" s="64">
        <f>F10*0.06</f>
        <v>-294881.30174999993</v>
      </c>
      <c r="G11" s="64">
        <f>G10*0.06</f>
        <v>-294881.30174999993</v>
      </c>
    </row>
    <row r="12" spans="1:11" ht="24">
      <c r="A12" s="76" t="s">
        <v>115</v>
      </c>
      <c r="B12" s="66"/>
      <c r="C12" s="64">
        <f>-'Given Data'!B33</f>
        <v>-800000</v>
      </c>
      <c r="D12" s="64">
        <f>C12*1.01</f>
        <v>-808000</v>
      </c>
      <c r="E12" s="64">
        <f t="shared" ref="E12:F12" si="2">D12*1.01</f>
        <v>-816080</v>
      </c>
      <c r="F12" s="64">
        <f t="shared" si="2"/>
        <v>-824240.8</v>
      </c>
      <c r="G12" s="65">
        <f t="shared" ref="G12" si="3">F12</f>
        <v>-824240.8</v>
      </c>
    </row>
    <row r="13" spans="1:11" ht="23">
      <c r="A13" s="62" t="s">
        <v>26</v>
      </c>
      <c r="B13" s="63"/>
      <c r="C13" s="64">
        <f>-'Given Data'!B34</f>
        <v>-1700000</v>
      </c>
      <c r="D13" s="64">
        <v>-1700000</v>
      </c>
      <c r="E13" s="64">
        <v>-1700000</v>
      </c>
      <c r="F13" s="64">
        <v>-1700000</v>
      </c>
      <c r="G13" s="65">
        <v>-1700000</v>
      </c>
    </row>
    <row r="14" spans="1:11" ht="23">
      <c r="A14" s="62" t="s">
        <v>116</v>
      </c>
      <c r="B14" s="63"/>
      <c r="C14" s="67">
        <f>SUM(C3:C13)</f>
        <v>3518000</v>
      </c>
      <c r="D14" s="67">
        <f t="shared" ref="D14:G14" si="4">SUM(D3:D13)</f>
        <v>3655270</v>
      </c>
      <c r="E14" s="67">
        <f t="shared" si="4"/>
        <v>3795739.0500000007</v>
      </c>
      <c r="F14" s="67">
        <f t="shared" si="4"/>
        <v>3939477.5357500017</v>
      </c>
      <c r="G14" s="68">
        <f t="shared" si="4"/>
        <v>4172943.2957500014</v>
      </c>
    </row>
    <row r="15" spans="1:11" ht="23">
      <c r="A15" s="62" t="s">
        <v>40</v>
      </c>
      <c r="B15" s="63"/>
      <c r="C15" s="64">
        <f>SUM($B$6:$B$7)/5</f>
        <v>-1140000</v>
      </c>
      <c r="D15" s="64">
        <f t="shared" ref="D15:G15" si="5">SUM($B$6:$B$7)/5</f>
        <v>-1140000</v>
      </c>
      <c r="E15" s="64">
        <f t="shared" si="5"/>
        <v>-1140000</v>
      </c>
      <c r="F15" s="64">
        <f t="shared" si="5"/>
        <v>-1140000</v>
      </c>
      <c r="G15" s="64">
        <f t="shared" si="5"/>
        <v>-1140000</v>
      </c>
    </row>
    <row r="16" spans="1:11" ht="23">
      <c r="A16" s="62" t="s">
        <v>99</v>
      </c>
      <c r="B16" s="63"/>
      <c r="C16" s="77">
        <f>SUM(C14:C15)</f>
        <v>2378000</v>
      </c>
      <c r="D16" s="77">
        <f t="shared" ref="D16:G16" si="6">SUM(D14:D15)</f>
        <v>2515270</v>
      </c>
      <c r="E16" s="77">
        <f t="shared" si="6"/>
        <v>2655739.0500000007</v>
      </c>
      <c r="F16" s="77">
        <f t="shared" si="6"/>
        <v>2799477.5357500017</v>
      </c>
      <c r="G16" s="77">
        <f t="shared" si="6"/>
        <v>3032943.2957500014</v>
      </c>
    </row>
    <row r="17" spans="1:9" ht="23">
      <c r="A17" s="62" t="s">
        <v>92</v>
      </c>
      <c r="B17" s="63"/>
      <c r="C17" s="64">
        <f>-Loan_Interest_Rate*$J$5</f>
        <v>-197219.99999999997</v>
      </c>
      <c r="D17" s="64">
        <f>-Loan_Interest_Rate*$J$5</f>
        <v>-197219.99999999997</v>
      </c>
      <c r="E17" s="64">
        <f>-Loan_Interest_Rate*$J$5</f>
        <v>-197219.99999999997</v>
      </c>
      <c r="F17" s="64">
        <f>-Loan_Interest_Rate*$J$5</f>
        <v>-197219.99999999997</v>
      </c>
      <c r="G17" s="65">
        <f>-Loan_Interest_Rate*$J$5</f>
        <v>-197219.99999999997</v>
      </c>
    </row>
    <row r="18" spans="1:9" ht="23">
      <c r="A18" s="62" t="s">
        <v>97</v>
      </c>
      <c r="B18" s="63"/>
      <c r="C18" s="79">
        <f>SUM(C16:C17)</f>
        <v>2180780</v>
      </c>
      <c r="D18" s="79">
        <f t="shared" ref="D18:G18" si="7">SUM(D16:D17)</f>
        <v>2318050</v>
      </c>
      <c r="E18" s="79">
        <f t="shared" si="7"/>
        <v>2458519.0500000007</v>
      </c>
      <c r="F18" s="79">
        <f t="shared" si="7"/>
        <v>2602257.5357500017</v>
      </c>
      <c r="G18" s="79">
        <f t="shared" si="7"/>
        <v>2835723.2957500014</v>
      </c>
    </row>
    <row r="19" spans="1:9" ht="23">
      <c r="A19" s="62" t="s">
        <v>93</v>
      </c>
      <c r="B19" s="63"/>
      <c r="C19" s="64">
        <f>-C18*Tax_Rate</f>
        <v>-654234</v>
      </c>
      <c r="D19" s="64">
        <f>D18*Tax_Rate</f>
        <v>695415</v>
      </c>
      <c r="E19" s="64">
        <f>E18*Tax_Rate</f>
        <v>737555.7150000002</v>
      </c>
      <c r="F19" s="64">
        <f>F18*Tax_Rate</f>
        <v>780677.26072500052</v>
      </c>
      <c r="G19" s="65">
        <f>G18*Tax_Rate</f>
        <v>850716.98872500041</v>
      </c>
    </row>
    <row r="20" spans="1:9" ht="23">
      <c r="A20" s="62" t="s">
        <v>45</v>
      </c>
      <c r="B20" s="63"/>
      <c r="C20" s="79">
        <f>SUM(C18:C19)</f>
        <v>1526546</v>
      </c>
      <c r="D20" s="79">
        <f>SUM(D18:D19)</f>
        <v>3013465</v>
      </c>
      <c r="E20" s="79">
        <f>SUM(E18:E19)</f>
        <v>3196074.7650000011</v>
      </c>
      <c r="F20" s="79">
        <f>SUM(F18:F19)</f>
        <v>3382934.7964750021</v>
      </c>
      <c r="G20" s="80">
        <f>SUM(G18:G19)</f>
        <v>3686440.284475002</v>
      </c>
    </row>
    <row r="21" spans="1:9" ht="23">
      <c r="A21" s="62" t="s">
        <v>96</v>
      </c>
      <c r="B21" s="64">
        <f>SUM(B6:B7)</f>
        <v>-5700000</v>
      </c>
      <c r="C21" s="64">
        <f>C20-C15</f>
        <v>2666546</v>
      </c>
      <c r="D21" s="64">
        <f t="shared" ref="D21:G21" si="8">D20-D15</f>
        <v>4153465</v>
      </c>
      <c r="E21" s="64">
        <f t="shared" si="8"/>
        <v>4336074.7650000006</v>
      </c>
      <c r="F21" s="64">
        <f t="shared" si="8"/>
        <v>4522934.7964750025</v>
      </c>
      <c r="G21" s="64">
        <f t="shared" si="8"/>
        <v>4826440.2844750024</v>
      </c>
      <c r="H21" s="2"/>
    </row>
    <row r="22" spans="1:9" ht="24" thickBot="1">
      <c r="A22" s="70" t="s">
        <v>94</v>
      </c>
      <c r="B22" s="71">
        <f>B21</f>
        <v>-5700000</v>
      </c>
      <c r="C22" s="71">
        <f>C21/(1+WACC_Fixed)^C1</f>
        <v>2330448.6899372498</v>
      </c>
      <c r="D22" s="71">
        <f>D21/(1+WACC_Fixed)^D1</f>
        <v>3172425.8935009306</v>
      </c>
      <c r="E22" s="71">
        <f>E21/(1+WACC_Fixed)^E1</f>
        <v>2894464.0384310307</v>
      </c>
      <c r="F22" s="71">
        <f>F21/(1+WACC_Fixed)^F1</f>
        <v>2638652.4355430864</v>
      </c>
      <c r="G22" s="71">
        <f>G21/(1+WACC_Fixed)^G1</f>
        <v>2460816.6933037494</v>
      </c>
      <c r="H22" s="2"/>
      <c r="I22" s="2"/>
    </row>
    <row r="23" spans="1:9" ht="23">
      <c r="A23" s="62"/>
      <c r="B23" s="64"/>
      <c r="C23" s="64"/>
      <c r="D23" s="64"/>
      <c r="E23" s="64"/>
      <c r="F23" s="64"/>
      <c r="G23" s="64"/>
      <c r="H23" s="2"/>
    </row>
    <row r="24" spans="1:9" ht="23">
      <c r="A24" s="63"/>
      <c r="B24" s="63"/>
      <c r="C24" s="64"/>
      <c r="D24" s="63"/>
      <c r="E24" s="63"/>
      <c r="F24" s="63"/>
      <c r="G24" s="63"/>
      <c r="H24" s="2"/>
    </row>
    <row r="25" spans="1:9" ht="23">
      <c r="A25" s="73" t="s">
        <v>79</v>
      </c>
      <c r="B25" s="74">
        <f>SUM(B22:G22)</f>
        <v>7796807.7507160474</v>
      </c>
      <c r="C25" s="64"/>
      <c r="D25" s="64"/>
      <c r="E25" s="64"/>
      <c r="F25" s="64"/>
      <c r="G25" s="64"/>
      <c r="H25" s="39"/>
    </row>
    <row r="26" spans="1:9" ht="23">
      <c r="A26" s="73" t="s">
        <v>117</v>
      </c>
      <c r="B26" s="78">
        <f>IRR(B21:G21)</f>
        <v>0.57617106149773289</v>
      </c>
      <c r="C26" s="64"/>
      <c r="D26" s="63"/>
      <c r="E26" s="64"/>
      <c r="F26" s="63"/>
      <c r="G26" s="63"/>
    </row>
    <row r="27" spans="1:9">
      <c r="B27" s="43"/>
      <c r="C27" s="4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0B2F-1375-B747-8798-C0D0E79D20E2}">
  <dimension ref="A1:O38"/>
  <sheetViews>
    <sheetView tabSelected="1" topLeftCell="H5" zoomScaleNormal="120" workbookViewId="0">
      <selection activeCell="J9" sqref="J9:K18"/>
    </sheetView>
  </sheetViews>
  <sheetFormatPr baseColWidth="10" defaultRowHeight="16"/>
  <cols>
    <col min="1" max="1" width="24.6640625" bestFit="1" customWidth="1"/>
    <col min="2" max="2" width="16.33203125" bestFit="1" customWidth="1"/>
    <col min="3" max="3" width="22.1640625" bestFit="1" customWidth="1"/>
    <col min="4" max="6" width="16.33203125" bestFit="1" customWidth="1"/>
    <col min="7" max="7" width="20.5" bestFit="1" customWidth="1"/>
    <col min="8" max="8" width="19" bestFit="1" customWidth="1"/>
    <col min="9" max="9" width="14" bestFit="1" customWidth="1"/>
    <col min="10" max="10" width="26" bestFit="1" customWidth="1"/>
    <col min="11" max="11" width="51.33203125" bestFit="1" customWidth="1"/>
    <col min="14" max="14" width="39" bestFit="1" customWidth="1"/>
    <col min="15" max="15" width="51.33203125" bestFit="1" customWidth="1"/>
  </cols>
  <sheetData>
    <row r="1" spans="1:15">
      <c r="A1" s="3" t="s">
        <v>16</v>
      </c>
      <c r="B1" s="2"/>
    </row>
    <row r="2" spans="1:15">
      <c r="A2" t="s">
        <v>9</v>
      </c>
      <c r="B2" s="2">
        <v>5000000</v>
      </c>
      <c r="C2" t="s">
        <v>10</v>
      </c>
      <c r="I2" s="48" t="s">
        <v>88</v>
      </c>
      <c r="J2" s="48" t="s">
        <v>89</v>
      </c>
      <c r="K2" s="48" t="s">
        <v>90</v>
      </c>
    </row>
    <row r="3" spans="1:15">
      <c r="A3" t="s">
        <v>123</v>
      </c>
      <c r="B3" s="2">
        <v>1000000</v>
      </c>
      <c r="C3" t="s">
        <v>78</v>
      </c>
      <c r="I3" s="49">
        <f>'Given Data'!I12</f>
        <v>6200000</v>
      </c>
      <c r="J3" s="49">
        <f>0.4*I3</f>
        <v>2480000</v>
      </c>
      <c r="K3" s="49">
        <f>0.6*I3</f>
        <v>3720000</v>
      </c>
    </row>
    <row r="4" spans="1:15">
      <c r="A4" t="s">
        <v>12</v>
      </c>
      <c r="B4" s="42">
        <v>100000</v>
      </c>
      <c r="C4" t="s">
        <v>13</v>
      </c>
    </row>
    <row r="5" spans="1:15">
      <c r="A5" t="s">
        <v>14</v>
      </c>
      <c r="B5" s="2">
        <v>200000</v>
      </c>
    </row>
    <row r="6" spans="1:15">
      <c r="B6" s="2"/>
    </row>
    <row r="7" spans="1:15">
      <c r="A7" s="3" t="s">
        <v>15</v>
      </c>
      <c r="B7" s="8" t="s">
        <v>4</v>
      </c>
      <c r="C7" s="3"/>
      <c r="D7" s="8"/>
      <c r="E7" s="3"/>
      <c r="F7" s="8"/>
    </row>
    <row r="8" spans="1:15" ht="17" thickBot="1">
      <c r="A8" t="s">
        <v>17</v>
      </c>
      <c r="B8" s="2">
        <v>5000000</v>
      </c>
      <c r="C8" s="2"/>
      <c r="D8" s="2"/>
      <c r="E8" s="2"/>
      <c r="F8" s="2"/>
    </row>
    <row r="9" spans="1:15" ht="20" thickBot="1">
      <c r="A9" t="s">
        <v>18</v>
      </c>
      <c r="B9" s="2">
        <v>1500000</v>
      </c>
      <c r="C9" s="2"/>
      <c r="D9" s="2"/>
      <c r="E9" s="2"/>
      <c r="F9" s="2"/>
      <c r="J9" s="91" t="s">
        <v>154</v>
      </c>
      <c r="K9" s="92"/>
    </row>
    <row r="10" spans="1:15" ht="19">
      <c r="A10" t="s">
        <v>19</v>
      </c>
      <c r="B10" s="2">
        <v>1800000</v>
      </c>
      <c r="C10" s="2"/>
      <c r="D10" s="2"/>
      <c r="E10" s="2"/>
      <c r="F10" s="2"/>
      <c r="J10" s="93" t="s">
        <v>80</v>
      </c>
      <c r="K10" s="86" t="s">
        <v>134</v>
      </c>
      <c r="N10" s="81" t="s">
        <v>149</v>
      </c>
      <c r="O10" s="82"/>
    </row>
    <row r="11" spans="1:15" ht="19">
      <c r="J11" s="87"/>
      <c r="K11" s="88" t="s">
        <v>135</v>
      </c>
      <c r="N11" s="84" t="s">
        <v>80</v>
      </c>
      <c r="O11" s="83" t="s">
        <v>134</v>
      </c>
    </row>
    <row r="12" spans="1:15" ht="20" thickBot="1">
      <c r="C12" s="5">
        <v>1</v>
      </c>
      <c r="D12">
        <v>2</v>
      </c>
      <c r="E12" s="5">
        <v>3</v>
      </c>
      <c r="F12">
        <v>4</v>
      </c>
      <c r="G12" s="5">
        <v>5</v>
      </c>
      <c r="J12" s="87"/>
      <c r="K12" s="88" t="s">
        <v>136</v>
      </c>
      <c r="N12" s="83"/>
      <c r="O12" s="83" t="s">
        <v>135</v>
      </c>
    </row>
    <row r="13" spans="1:15" ht="20" thickBot="1">
      <c r="A13" s="33" t="s">
        <v>113</v>
      </c>
      <c r="B13" s="34" t="s">
        <v>87</v>
      </c>
      <c r="C13" s="35" t="s">
        <v>4</v>
      </c>
      <c r="D13" s="34" t="s">
        <v>5</v>
      </c>
      <c r="E13" s="35" t="s">
        <v>6</v>
      </c>
      <c r="F13" s="34" t="s">
        <v>7</v>
      </c>
      <c r="G13" s="36" t="s">
        <v>8</v>
      </c>
      <c r="J13" s="89"/>
      <c r="K13" s="90" t="s">
        <v>150</v>
      </c>
      <c r="N13" s="83"/>
      <c r="O13" s="83" t="s">
        <v>136</v>
      </c>
    </row>
    <row r="14" spans="1:15" ht="19">
      <c r="A14" s="10" t="s">
        <v>91</v>
      </c>
      <c r="C14" s="2">
        <f>'Given Data'!B9</f>
        <v>13000000</v>
      </c>
      <c r="D14" s="2">
        <f>C14*1.05</f>
        <v>13650000</v>
      </c>
      <c r="E14" s="2">
        <f>D14*1.05</f>
        <v>14332500</v>
      </c>
      <c r="F14" s="2">
        <f t="shared" ref="F14:G14" si="0">E14*1.05</f>
        <v>15049125</v>
      </c>
      <c r="G14" s="25">
        <f t="shared" si="0"/>
        <v>15801581.25</v>
      </c>
      <c r="J14" s="93" t="s">
        <v>138</v>
      </c>
      <c r="K14" s="86" t="s">
        <v>139</v>
      </c>
      <c r="N14" s="83"/>
      <c r="O14" s="83" t="s">
        <v>137</v>
      </c>
    </row>
    <row r="15" spans="1:15" ht="19">
      <c r="A15" s="10" t="s">
        <v>121</v>
      </c>
      <c r="C15" s="2"/>
      <c r="G15" s="42">
        <v>100000</v>
      </c>
      <c r="J15" s="87"/>
      <c r="K15" s="88" t="s">
        <v>151</v>
      </c>
      <c r="N15" s="84" t="s">
        <v>127</v>
      </c>
      <c r="O15" s="83" t="s">
        <v>128</v>
      </c>
    </row>
    <row r="16" spans="1:15" ht="19">
      <c r="A16" s="32" t="s">
        <v>21</v>
      </c>
      <c r="B16" s="37"/>
      <c r="C16" s="37"/>
      <c r="D16" s="37"/>
      <c r="E16" s="37"/>
      <c r="F16" s="37"/>
      <c r="G16" s="38"/>
      <c r="J16" s="87"/>
      <c r="K16" s="88" t="s">
        <v>152</v>
      </c>
      <c r="N16" s="83"/>
      <c r="O16" s="83" t="s">
        <v>129</v>
      </c>
    </row>
    <row r="17" spans="1:15" ht="19">
      <c r="A17" s="10" t="s">
        <v>9</v>
      </c>
      <c r="B17" s="2">
        <f>-'Given Data'!B12</f>
        <v>-5000000</v>
      </c>
      <c r="C17" s="2"/>
      <c r="G17" s="11"/>
      <c r="J17" s="87"/>
      <c r="K17" s="88" t="s">
        <v>142</v>
      </c>
      <c r="N17" s="83"/>
      <c r="O17" s="83" t="s">
        <v>130</v>
      </c>
    </row>
    <row r="18" spans="1:15" ht="20" thickBot="1">
      <c r="A18" s="10" t="s">
        <v>11</v>
      </c>
      <c r="B18" s="2">
        <f>-'Given Data'!B13</f>
        <v>-1000000</v>
      </c>
      <c r="C18" s="2"/>
      <c r="G18" s="11"/>
      <c r="J18" s="89"/>
      <c r="K18" s="90" t="s">
        <v>143</v>
      </c>
      <c r="N18" s="83"/>
      <c r="O18" s="83" t="s">
        <v>131</v>
      </c>
    </row>
    <row r="19" spans="1:15" ht="19">
      <c r="A19" s="10" t="s">
        <v>14</v>
      </c>
      <c r="B19" s="2">
        <f>-'Given Data'!B15</f>
        <v>-200000</v>
      </c>
      <c r="C19" s="2"/>
      <c r="G19" s="11"/>
      <c r="J19" s="93" t="s">
        <v>120</v>
      </c>
      <c r="K19" s="86" t="s">
        <v>153</v>
      </c>
      <c r="N19" s="83"/>
      <c r="O19" s="83" t="s">
        <v>132</v>
      </c>
    </row>
    <row r="20" spans="1:15" ht="19">
      <c r="A20" s="10"/>
      <c r="C20" s="2"/>
      <c r="G20" s="11"/>
      <c r="J20" s="87"/>
      <c r="K20" s="88" t="s">
        <v>145</v>
      </c>
      <c r="N20" s="83"/>
      <c r="O20" s="83" t="s">
        <v>133</v>
      </c>
    </row>
    <row r="21" spans="1:15" ht="25">
      <c r="A21" s="59" t="s">
        <v>24</v>
      </c>
      <c r="B21" s="60"/>
      <c r="C21" s="60"/>
      <c r="D21" s="60"/>
      <c r="E21" s="60"/>
      <c r="F21" s="60"/>
      <c r="G21" s="61"/>
      <c r="J21" s="87"/>
      <c r="K21" s="88" t="s">
        <v>146</v>
      </c>
      <c r="N21" s="84" t="s">
        <v>138</v>
      </c>
      <c r="O21" s="83" t="s">
        <v>139</v>
      </c>
    </row>
    <row r="22" spans="1:15" ht="25">
      <c r="A22" s="62" t="s">
        <v>17</v>
      </c>
      <c r="B22" s="63"/>
      <c r="C22" s="64">
        <f>-'Given Data'!B18</f>
        <v>-5000000</v>
      </c>
      <c r="D22" s="64">
        <f>C22*1.03</f>
        <v>-5150000</v>
      </c>
      <c r="E22" s="64">
        <f t="shared" ref="E22:G22" si="1">D22*1.03</f>
        <v>-5304500</v>
      </c>
      <c r="F22" s="64">
        <f t="shared" si="1"/>
        <v>-5463635</v>
      </c>
      <c r="G22" s="65">
        <f t="shared" si="1"/>
        <v>-5627544.0499999998</v>
      </c>
      <c r="J22" s="87"/>
      <c r="K22" s="88" t="s">
        <v>147</v>
      </c>
      <c r="N22" s="83"/>
      <c r="O22" s="83" t="s">
        <v>140</v>
      </c>
    </row>
    <row r="23" spans="1:15" ht="26" thickBot="1">
      <c r="A23" s="62" t="s">
        <v>124</v>
      </c>
      <c r="B23" s="63"/>
      <c r="C23" s="64">
        <f>-'Given Data'!B19</f>
        <v>-1500000</v>
      </c>
      <c r="D23" s="64">
        <f>C23*1.015</f>
        <v>-1522499.9999999998</v>
      </c>
      <c r="E23" s="64">
        <f t="shared" ref="E23:G23" si="2">D23*1.015</f>
        <v>-1545337.4999999995</v>
      </c>
      <c r="F23" s="64">
        <f t="shared" si="2"/>
        <v>-1568517.5624999993</v>
      </c>
      <c r="G23" s="65">
        <f t="shared" si="2"/>
        <v>-1592045.3259374991</v>
      </c>
      <c r="J23" s="89"/>
      <c r="K23" s="90" t="s">
        <v>148</v>
      </c>
      <c r="N23" s="83"/>
      <c r="O23" s="83" t="s">
        <v>141</v>
      </c>
    </row>
    <row r="24" spans="1:15" ht="26" thickBot="1">
      <c r="A24" s="62" t="s">
        <v>125</v>
      </c>
      <c r="B24" s="66"/>
      <c r="C24" s="64">
        <f>-'Given Data'!$B$20</f>
        <v>-1800000</v>
      </c>
      <c r="D24" s="64">
        <f>-'Given Data'!$B$20</f>
        <v>-1800000</v>
      </c>
      <c r="E24" s="64">
        <f>-'Given Data'!$B$20</f>
        <v>-1800000</v>
      </c>
      <c r="F24" s="64">
        <f>-'Given Data'!$B$20</f>
        <v>-1800000</v>
      </c>
      <c r="G24" s="65">
        <f>-'Given Data'!$B$20</f>
        <v>-1800000</v>
      </c>
      <c r="J24" s="89"/>
      <c r="K24" s="90" t="s">
        <v>143</v>
      </c>
      <c r="N24" s="83"/>
      <c r="O24" s="83" t="s">
        <v>142</v>
      </c>
    </row>
    <row r="25" spans="1:15" ht="25">
      <c r="A25" s="62" t="s">
        <v>99</v>
      </c>
      <c r="B25" s="63"/>
      <c r="C25" s="67">
        <f>SUM(C14:C24)</f>
        <v>4700000</v>
      </c>
      <c r="D25" s="67">
        <f>SUM(D14:D24)</f>
        <v>5177500</v>
      </c>
      <c r="E25" s="67">
        <f>SUM(E14:E24)</f>
        <v>5682662.5</v>
      </c>
      <c r="F25" s="67">
        <f>SUM(F14:F24)</f>
        <v>6216972.4375000009</v>
      </c>
      <c r="G25" s="68">
        <f>SUM(G14:G24)</f>
        <v>6881991.8740625009</v>
      </c>
      <c r="J25" s="93" t="s">
        <v>120</v>
      </c>
      <c r="K25" s="86" t="s">
        <v>153</v>
      </c>
      <c r="N25" s="83"/>
      <c r="O25" s="83" t="s">
        <v>143</v>
      </c>
    </row>
    <row r="26" spans="1:15" ht="25">
      <c r="A26" s="62" t="s">
        <v>92</v>
      </c>
      <c r="B26" s="63"/>
      <c r="C26" s="64">
        <f>-Loan_Interest_Rate*$J$3</f>
        <v>-214519.99999999997</v>
      </c>
      <c r="D26" s="64">
        <f>-Loan_Interest_Rate*$J$3</f>
        <v>-214519.99999999997</v>
      </c>
      <c r="E26" s="64">
        <f>-Loan_Interest_Rate*$J$3</f>
        <v>-214519.99999999997</v>
      </c>
      <c r="F26" s="64">
        <f>-Loan_Interest_Rate*$J$3</f>
        <v>-214519.99999999997</v>
      </c>
      <c r="G26" s="65">
        <f>-Loan_Interest_Rate*$J$3</f>
        <v>-214519.99999999997</v>
      </c>
      <c r="J26" s="87"/>
      <c r="K26" s="88" t="s">
        <v>145</v>
      </c>
      <c r="N26" s="84" t="s">
        <v>120</v>
      </c>
      <c r="O26" s="83" t="s">
        <v>144</v>
      </c>
    </row>
    <row r="27" spans="1:15" ht="25">
      <c r="A27" s="62" t="s">
        <v>97</v>
      </c>
      <c r="B27" s="63"/>
      <c r="C27" s="67">
        <f>SUM(C25:C26)</f>
        <v>4485480</v>
      </c>
      <c r="D27" s="67">
        <f t="shared" ref="D27:G27" si="3">SUM(D25:D26)</f>
        <v>4962980</v>
      </c>
      <c r="E27" s="67">
        <f t="shared" si="3"/>
        <v>5468142.5</v>
      </c>
      <c r="F27" s="67">
        <f t="shared" si="3"/>
        <v>6002452.4375000009</v>
      </c>
      <c r="G27" s="68">
        <f t="shared" si="3"/>
        <v>6667471.8740625009</v>
      </c>
      <c r="J27" s="87"/>
      <c r="K27" s="88" t="s">
        <v>146</v>
      </c>
      <c r="N27" s="83"/>
      <c r="O27" s="83" t="s">
        <v>145</v>
      </c>
    </row>
    <row r="28" spans="1:15" ht="25">
      <c r="A28" s="62" t="s">
        <v>93</v>
      </c>
      <c r="B28" s="63"/>
      <c r="C28" s="64">
        <f>-C27*Tax_Rate</f>
        <v>-1345644</v>
      </c>
      <c r="D28" s="64">
        <f>-D27*Tax_Rate</f>
        <v>-1488894</v>
      </c>
      <c r="E28" s="64">
        <f>-E27*Tax_Rate</f>
        <v>-1640442.75</v>
      </c>
      <c r="F28" s="64">
        <f>-F27*Tax_Rate</f>
        <v>-1800735.7312500002</v>
      </c>
      <c r="G28" s="65">
        <f>-G27*Tax_Rate</f>
        <v>-2000241.5622187501</v>
      </c>
      <c r="J28" s="87"/>
      <c r="K28" s="88" t="s">
        <v>147</v>
      </c>
      <c r="N28" s="83"/>
      <c r="O28" s="83" t="s">
        <v>146</v>
      </c>
    </row>
    <row r="29" spans="1:15" ht="26" thickBot="1">
      <c r="A29" s="69" t="s">
        <v>45</v>
      </c>
      <c r="B29" s="63"/>
      <c r="C29" s="67">
        <f>SUM(C27:C28)</f>
        <v>3139836</v>
      </c>
      <c r="D29" s="67">
        <f t="shared" ref="D29:G29" si="4">SUM(D27:D28)</f>
        <v>3474086</v>
      </c>
      <c r="E29" s="67">
        <f t="shared" si="4"/>
        <v>3827699.75</v>
      </c>
      <c r="F29" s="67">
        <f t="shared" si="4"/>
        <v>4201716.7062500007</v>
      </c>
      <c r="G29" s="68">
        <f t="shared" si="4"/>
        <v>4667230.311843751</v>
      </c>
      <c r="H29" s="58"/>
      <c r="J29" s="89"/>
      <c r="K29" s="90" t="s">
        <v>148</v>
      </c>
      <c r="N29" s="83"/>
      <c r="O29" s="83" t="s">
        <v>147</v>
      </c>
    </row>
    <row r="30" spans="1:15" ht="25">
      <c r="A30" s="62" t="s">
        <v>96</v>
      </c>
      <c r="B30" s="64">
        <f>SUM(B17:B19)</f>
        <v>-6200000</v>
      </c>
      <c r="C30" s="64">
        <f>C29</f>
        <v>3139836</v>
      </c>
      <c r="D30" s="64">
        <f t="shared" ref="D30:G30" si="5">D29</f>
        <v>3474086</v>
      </c>
      <c r="E30" s="64">
        <f t="shared" si="5"/>
        <v>3827699.75</v>
      </c>
      <c r="F30" s="64">
        <f t="shared" si="5"/>
        <v>4201716.7062500007</v>
      </c>
      <c r="G30" s="65">
        <f t="shared" si="5"/>
        <v>4667230.311843751</v>
      </c>
      <c r="H30" s="42"/>
      <c r="N30" s="83"/>
      <c r="O30" s="83" t="s">
        <v>148</v>
      </c>
    </row>
    <row r="31" spans="1:15" ht="24" thickBot="1">
      <c r="A31" s="70" t="s">
        <v>94</v>
      </c>
      <c r="B31" s="71">
        <f>B30</f>
        <v>-6200000</v>
      </c>
      <c r="C31" s="71">
        <f>C30/((1+WACC_Mobile)^C12)</f>
        <v>2841060.066096643</v>
      </c>
      <c r="D31" s="71">
        <f>D30/((1+WACC_Mobile)^D12)</f>
        <v>2844379.0248259446</v>
      </c>
      <c r="E31" s="71">
        <f>E30/((1+WACC_Mobile)^E12)</f>
        <v>2835686.5104996655</v>
      </c>
      <c r="F31" s="71">
        <f>F30/((1+WACC_Mobile)^F12)</f>
        <v>2816570.148435453</v>
      </c>
      <c r="G31" s="71">
        <f>G30/((1+WACC_Mobile)^G12)</f>
        <v>2830912.7740986226</v>
      </c>
      <c r="H31" s="2"/>
    </row>
    <row r="32" spans="1:15" ht="23">
      <c r="A32" s="72" t="s">
        <v>122</v>
      </c>
      <c r="B32" s="73"/>
      <c r="C32" s="74">
        <f>B30+C30</f>
        <v>-3060164</v>
      </c>
      <c r="D32" s="74">
        <f>C32+D30</f>
        <v>413922</v>
      </c>
      <c r="E32" s="64"/>
      <c r="F32" s="64"/>
      <c r="G32" s="73" t="s">
        <v>120</v>
      </c>
      <c r="H32" s="2"/>
      <c r="I32" s="2"/>
      <c r="J32" s="2"/>
    </row>
    <row r="33" spans="1:7" ht="23">
      <c r="A33" s="63"/>
      <c r="B33" s="63"/>
      <c r="C33" s="63"/>
      <c r="D33" s="63"/>
      <c r="E33" s="63"/>
      <c r="F33" s="63"/>
      <c r="G33" s="74">
        <f>(((F33-Annual_exp)*(1+mobile_growth_aft5))/(WACC_Mobile-mobile_growth_aft5))</f>
        <v>-2275621.7038418083</v>
      </c>
    </row>
    <row r="34" spans="1:7" ht="23">
      <c r="A34" s="73" t="s">
        <v>79</v>
      </c>
      <c r="B34" s="74">
        <f>SUM(B31:G31)</f>
        <v>7968608.5239563286</v>
      </c>
      <c r="C34" s="63"/>
      <c r="D34" s="63"/>
      <c r="E34" s="63"/>
      <c r="F34" s="63"/>
      <c r="G34" s="63"/>
    </row>
    <row r="35" spans="1:7" ht="23">
      <c r="A35" s="73" t="s">
        <v>117</v>
      </c>
      <c r="B35" s="75">
        <f>IRR(B30:G30)</f>
        <v>0.5016039304441593</v>
      </c>
      <c r="C35" s="63"/>
      <c r="D35" s="63"/>
      <c r="E35" s="63"/>
      <c r="F35" s="63"/>
      <c r="G35" s="63"/>
    </row>
    <row r="38" spans="1:7">
      <c r="B38" s="41"/>
    </row>
  </sheetData>
  <mergeCells count="1">
    <mergeCell ref="J9:K9"/>
  </mergeCells>
  <pageMargins left="0.7" right="0.7" top="0.75" bottom="0.75" header="0.3" footer="0.3"/>
  <ignoredErrors>
    <ignoredError sqref="D28" formula="1"/>
  </ignoredErrors>
</worksheet>
</file>

<file path=docMetadata/LabelInfo.xml><?xml version="1.0" encoding="utf-8"?>
<clbl:labelList xmlns:clbl="http://schemas.microsoft.com/office/2020/mipLabelMetadata">
  <clbl:label id="{51a9fa56-3f32-449a-a721-3e3f49aa5e9a}" enabled="0" method="" siteId="{51a9fa56-3f32-449a-a721-3e3f49aa5e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Given Data</vt:lpstr>
      <vt:lpstr>Expanding fixed crane Market</vt:lpstr>
      <vt:lpstr>Mobile Cranes</vt:lpstr>
      <vt:lpstr>Annual_exp</vt:lpstr>
      <vt:lpstr>Beta_g</vt:lpstr>
      <vt:lpstr>Beta_ung</vt:lpstr>
      <vt:lpstr>Expected_ROE</vt:lpstr>
      <vt:lpstr>Loan_Interest_Rate</vt:lpstr>
      <vt:lpstr>mobile_growth_aft5</vt:lpstr>
      <vt:lpstr>RiskFree_Rate</vt:lpstr>
      <vt:lpstr>Tax_Rate</vt:lpstr>
      <vt:lpstr>WACC_Fixed</vt:lpstr>
      <vt:lpstr>WACC_Mobile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Nayak</dc:creator>
  <cp:lastModifiedBy>Aman Kumar Singh</cp:lastModifiedBy>
  <dcterms:created xsi:type="dcterms:W3CDTF">2024-03-27T16:01:42Z</dcterms:created>
  <dcterms:modified xsi:type="dcterms:W3CDTF">2024-04-02T22:59:19Z</dcterms:modified>
</cp:coreProperties>
</file>