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ronitbhandari/Desktop/VELOX/Motor_calculations/"/>
    </mc:Choice>
  </mc:AlternateContent>
  <xr:revisionPtr revIDLastSave="0" documentId="13_ncr:1_{85A632B0-AB48-D349-95F2-DF04980CA40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K3" i="1"/>
  <c r="C7" i="1"/>
  <c r="I4" i="1"/>
  <c r="I5" i="1" s="1"/>
  <c r="M3" i="1"/>
  <c r="J3" i="1"/>
  <c r="L3" i="1" l="1"/>
  <c r="N3" i="1" s="1"/>
  <c r="K5" i="1"/>
  <c r="L5" i="1" s="1"/>
  <c r="J5" i="1"/>
  <c r="M5" i="1"/>
  <c r="I6" i="1"/>
  <c r="J4" i="1"/>
  <c r="M4" i="1"/>
  <c r="K4" i="1"/>
  <c r="L4" i="1" s="1"/>
  <c r="N4" i="1" l="1"/>
  <c r="N5" i="1"/>
  <c r="M6" i="1"/>
  <c r="K6" i="1"/>
  <c r="L6" i="1" s="1"/>
  <c r="J6" i="1"/>
  <c r="I7" i="1"/>
  <c r="N6" i="1" l="1"/>
  <c r="M7" i="1"/>
  <c r="I8" i="1"/>
  <c r="K7" i="1"/>
  <c r="L7" i="1" s="1"/>
  <c r="N7" i="1" s="1"/>
  <c r="J7" i="1"/>
  <c r="I9" i="1" l="1"/>
  <c r="M8" i="1"/>
  <c r="K8" i="1"/>
  <c r="L8" i="1" s="1"/>
  <c r="J8" i="1"/>
  <c r="N8" i="1" l="1"/>
  <c r="J9" i="1"/>
  <c r="I10" i="1"/>
  <c r="M9" i="1"/>
  <c r="K9" i="1"/>
  <c r="L9" i="1" s="1"/>
  <c r="N9" i="1" l="1"/>
  <c r="K10" i="1"/>
  <c r="L10" i="1" s="1"/>
  <c r="J10" i="1"/>
  <c r="M10" i="1"/>
  <c r="I11" i="1"/>
  <c r="N10" i="1" l="1"/>
  <c r="M11" i="1"/>
  <c r="K11" i="1"/>
  <c r="L11" i="1" s="1"/>
  <c r="N11" i="1" s="1"/>
  <c r="J11" i="1"/>
  <c r="I12" i="1"/>
  <c r="I13" i="1" l="1"/>
  <c r="I14" i="1" s="1"/>
  <c r="M14" i="1" s="1"/>
  <c r="M12" i="1"/>
  <c r="K12" i="1"/>
  <c r="L12" i="1" s="1"/>
  <c r="N12" i="1" s="1"/>
  <c r="J12" i="1"/>
  <c r="J14" i="1" l="1"/>
  <c r="K14" i="1"/>
  <c r="L14" i="1" s="1"/>
  <c r="N14" i="1" s="1"/>
  <c r="J13" i="1"/>
  <c r="K13" i="1"/>
  <c r="L13" i="1" s="1"/>
  <c r="M13" i="1"/>
  <c r="N13" i="1" l="1"/>
  <c r="I15" i="1"/>
  <c r="M15" i="1" l="1"/>
  <c r="K15" i="1"/>
  <c r="L15" i="1" s="1"/>
  <c r="N15" i="1" s="1"/>
  <c r="J15" i="1"/>
  <c r="I16" i="1"/>
  <c r="I17" i="1" l="1"/>
  <c r="M16" i="1"/>
  <c r="K16" i="1"/>
  <c r="L16" i="1" s="1"/>
  <c r="N16" i="1" s="1"/>
  <c r="J16" i="1"/>
  <c r="J17" i="1" l="1"/>
  <c r="I18" i="1"/>
  <c r="M17" i="1"/>
  <c r="K17" i="1"/>
  <c r="L17" i="1" s="1"/>
  <c r="N17" i="1" s="1"/>
  <c r="K18" i="1" l="1"/>
  <c r="L18" i="1" s="1"/>
  <c r="J18" i="1"/>
  <c r="I19" i="1"/>
  <c r="M18" i="1"/>
  <c r="N18" i="1" l="1"/>
  <c r="M19" i="1"/>
  <c r="K19" i="1"/>
  <c r="L19" i="1" s="1"/>
  <c r="N19" i="1" s="1"/>
  <c r="J19" i="1"/>
  <c r="I20" i="1"/>
  <c r="I21" i="1" l="1"/>
  <c r="M20" i="1"/>
  <c r="K20" i="1"/>
  <c r="L20" i="1" s="1"/>
  <c r="N20" i="1" s="1"/>
  <c r="J20" i="1"/>
  <c r="J21" i="1" l="1"/>
  <c r="I22" i="1"/>
  <c r="M21" i="1"/>
  <c r="K21" i="1"/>
  <c r="L21" i="1" s="1"/>
  <c r="N21" i="1" s="1"/>
  <c r="K22" i="1" l="1"/>
  <c r="L22" i="1" s="1"/>
  <c r="J22" i="1"/>
  <c r="I23" i="1"/>
  <c r="M22" i="1"/>
  <c r="N22" i="1" l="1"/>
  <c r="M23" i="1"/>
  <c r="K23" i="1"/>
  <c r="L23" i="1" s="1"/>
  <c r="N23" i="1" s="1"/>
  <c r="J23" i="1"/>
  <c r="C19" i="1" l="1" a="1"/>
  <c r="C19" i="1" s="1"/>
  <c r="C18" i="1" a="1"/>
  <c r="C18" i="1" s="1"/>
  <c r="C17" i="1" a="1"/>
  <c r="C17" i="1" s="1"/>
  <c r="C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Ronit Bhandari</author>
  </authors>
  <commentList>
    <comment ref="K23" authorId="0" shapeId="0" xr:uid="{7BEA248F-B2AE-5241-843D-678136970A79}">
      <text>
        <r>
          <rPr>
            <b/>
            <sz val="10"/>
            <color rgb="FF000000"/>
            <rFont val="Tahoma"/>
            <family val="2"/>
          </rPr>
          <t>Ronit Bhandari: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<sst xmlns="http://schemas.openxmlformats.org/spreadsheetml/2006/main" count="39" uniqueCount="35">
  <si>
    <t>Quantity</t>
  </si>
  <si>
    <t>Value</t>
  </si>
  <si>
    <t>velocity (m/s) (TARGET VALUE)</t>
  </si>
  <si>
    <t>(REQUIRED) velocity (km/h)</t>
  </si>
  <si>
    <t>(REQUIRED) Thrust force (N)</t>
  </si>
  <si>
    <t>(REQUIRED) Torque (Nm)</t>
  </si>
  <si>
    <t>(REQUIRED) RPM</t>
  </si>
  <si>
    <t>(REQUIRED) Power (W)</t>
  </si>
  <si>
    <t>mass (kg)</t>
  </si>
  <si>
    <t>time to reach velocity (s)</t>
  </si>
  <si>
    <t>Friction constant</t>
  </si>
  <si>
    <t>Friction (N)</t>
  </si>
  <si>
    <t>dP/a</t>
  </si>
  <si>
    <t>CALCULATE GEAR RATIO</t>
  </si>
  <si>
    <t>Listed Power Rating</t>
  </si>
  <si>
    <t>Listed RPM</t>
  </si>
  <si>
    <t>Torque</t>
  </si>
  <si>
    <t>RPM</t>
  </si>
  <si>
    <t>Listed Values</t>
  </si>
  <si>
    <t>Target Torque</t>
  </si>
  <si>
    <t>Target RPM</t>
  </si>
  <si>
    <t>Gear Ratio</t>
  </si>
  <si>
    <t>Resultant:</t>
  </si>
  <si>
    <t>RPM Priority</t>
  </si>
  <si>
    <t>Torque Priority</t>
  </si>
  <si>
    <r>
      <t xml:space="preserve">Target Values  </t>
    </r>
    <r>
      <rPr>
        <b/>
        <i/>
        <sz val="11"/>
        <color theme="1"/>
        <rFont val="Calibri"/>
        <family val="2"/>
        <scheme val="minor"/>
      </rPr>
      <t>(Take these from the table to the right, RPM )</t>
    </r>
  </si>
  <si>
    <t>a</t>
  </si>
  <si>
    <t>b</t>
  </si>
  <si>
    <t>Midpoint</t>
  </si>
  <si>
    <t>Calculated Torque</t>
  </si>
  <si>
    <t>Power</t>
  </si>
  <si>
    <t>*pi</t>
  </si>
  <si>
    <t>/30</t>
  </si>
  <si>
    <t>Closes Power Rating</t>
  </si>
  <si>
    <t>tire radius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</si>
</sst>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0" fillId="0" borderId="0" xfId="0" applyNumberFormat="1"/>
    <xf numFmtId="4" fontId="2" fillId="3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0" fillId="0" borderId="0" xfId="0" applyNumberFormat="1" applyFill="1"/>
    <xf numFmtId="4" fontId="3" fillId="0" borderId="0" xfId="0" applyNumberFormat="1" applyFont="1"/>
    <xf numFmtId="0" fontId="4" fillId="0" borderId="0" xfId="0" applyFont="1" applyAlignment="1"/>
    <xf numFmtId="0" fontId="3" fillId="0" borderId="0" xfId="0" applyFont="1" applyAlignment="1"/>
    <xf numFmtId="4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4" fontId="3" fillId="0" borderId="3" xfId="0" applyNumberFormat="1" applyFont="1" applyBorder="1"/>
    <xf numFmtId="0" fontId="3" fillId="0" borderId="3" xfId="0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3" fillId="0" borderId="7" xfId="0" applyNumberFormat="1" applyFont="1" applyBorder="1"/>
    <xf numFmtId="4" fontId="3" fillId="0" borderId="7" xfId="0" applyNumberFormat="1" applyFont="1" applyBorder="1" applyAlignment="1">
      <alignment horizontal="center"/>
    </xf>
    <xf numFmtId="168" fontId="0" fillId="0" borderId="7" xfId="0" applyNumberFormat="1" applyBorder="1"/>
    <xf numFmtId="3" fontId="0" fillId="0" borderId="7" xfId="0" applyNumberForma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Fill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1"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2:N23" totalsRowShown="0">
  <autoFilter ref="I2:N23" xr:uid="{00000000-0009-0000-0100-000001000000}"/>
  <tableColumns count="6">
    <tableColumn id="1" xr3:uid="{00000000-0010-0000-0000-000001000000}" name="velocity (m/s) (TARGET VALUE)"/>
    <tableColumn id="2" xr3:uid="{00000000-0010-0000-0000-000002000000}" name="(REQUIRED) velocity (km/h)"/>
    <tableColumn id="3" xr3:uid="{00000000-0010-0000-0000-000003000000}" name="(REQUIRED) Thrust force (N)"/>
    <tableColumn id="4" xr3:uid="{00000000-0010-0000-0000-000004000000}" name="(REQUIRED) Torque (Nm)"/>
    <tableColumn id="5" xr3:uid="{00000000-0010-0000-0000-000005000000}" name="(REQUIRED) RPM"/>
    <tableColumn id="6" xr3:uid="{00000000-0010-0000-0000-000006000000}" name="(REQUIRED) Power (W)" dataDxfId="0">
      <calculatedColumnFormula>L3*M3*PI()/30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C7" totalsRowShown="0">
  <autoFilter ref="B2:C7" xr:uid="{00000000-0009-0000-0100-000002000000}"/>
  <tableColumns count="2">
    <tableColumn id="1" xr3:uid="{00000000-0010-0000-0100-000001000000}" name="Quantity"/>
    <tableColumn id="2" xr3:uid="{00000000-0010-0000-0100-000002000000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S39"/>
  <sheetViews>
    <sheetView tabSelected="1" topLeftCell="C1" zoomScale="113" workbookViewId="0">
      <selection activeCell="F7" sqref="F7"/>
    </sheetView>
  </sheetViews>
  <sheetFormatPr baseColWidth="10" defaultColWidth="8.83203125" defaultRowHeight="15" x14ac:dyDescent="0.2"/>
  <cols>
    <col min="2" max="2" width="23.33203125" customWidth="1"/>
    <col min="3" max="3" width="22.5" style="5" customWidth="1"/>
    <col min="4" max="7" width="12.83203125" style="5" bestFit="1" customWidth="1"/>
    <col min="8" max="8" width="12.1640625" bestFit="1" customWidth="1"/>
    <col min="9" max="9" width="27.1640625" style="9" bestFit="1" customWidth="1"/>
    <col min="10" max="10" width="25.83203125" style="5" bestFit="1" customWidth="1"/>
    <col min="11" max="11" width="26.83203125" style="9" bestFit="1" customWidth="1"/>
    <col min="12" max="12" width="23.83203125" style="5" bestFit="1" customWidth="1"/>
    <col min="13" max="13" width="16.5" style="5" bestFit="1" customWidth="1"/>
    <col min="14" max="14" width="22" style="5" bestFit="1" customWidth="1"/>
    <col min="15" max="15" width="12.5" bestFit="1" customWidth="1"/>
    <col min="16" max="16" width="89.83203125" bestFit="1" customWidth="1"/>
    <col min="17" max="19" width="12.5" bestFit="1" customWidth="1"/>
  </cols>
  <sheetData>
    <row r="2" spans="2:14" ht="18.75" customHeight="1" x14ac:dyDescent="0.2">
      <c r="B2" t="s">
        <v>0</v>
      </c>
      <c r="C2" s="1" t="s">
        <v>1</v>
      </c>
      <c r="D2" s="1"/>
      <c r="E2" s="1"/>
      <c r="F2" s="1"/>
      <c r="G2" s="1"/>
      <c r="I2" s="2" t="s">
        <v>2</v>
      </c>
      <c r="J2" s="10" t="s">
        <v>3</v>
      </c>
      <c r="K2" s="2" t="s">
        <v>4</v>
      </c>
      <c r="L2" s="3" t="s">
        <v>5</v>
      </c>
      <c r="M2" s="3" t="s">
        <v>6</v>
      </c>
      <c r="N2" s="10" t="s">
        <v>7</v>
      </c>
    </row>
    <row r="3" spans="2:14" ht="18.75" customHeight="1" x14ac:dyDescent="0.2">
      <c r="B3" t="s">
        <v>8</v>
      </c>
      <c r="C3" s="4">
        <v>200</v>
      </c>
      <c r="D3" s="4"/>
      <c r="E3" s="4"/>
      <c r="F3" s="4"/>
      <c r="G3" s="4"/>
      <c r="I3" s="4">
        <v>0</v>
      </c>
      <c r="J3" s="1">
        <f t="shared" ref="J3:J12" si="0">I3 * 3.6</f>
        <v>0</v>
      </c>
      <c r="K3" s="4">
        <f t="shared" ref="K3:K12" si="1">I3/12 *300</f>
        <v>0</v>
      </c>
      <c r="L3" s="1">
        <f t="shared" ref="L3:L12" si="2">(K3+$C$7)*$C$4</f>
        <v>5.8860000000000001</v>
      </c>
      <c r="M3" s="4">
        <f t="shared" ref="M3:M12" si="3">60*I3/2*PI()*$C$4</f>
        <v>0</v>
      </c>
      <c r="N3" s="1">
        <f t="shared" ref="N3:N12" si="4">L3*M3*PI()/30</f>
        <v>0</v>
      </c>
    </row>
    <row r="4" spans="2:14" ht="18.75" customHeight="1" x14ac:dyDescent="0.2">
      <c r="B4" t="s">
        <v>34</v>
      </c>
      <c r="C4" s="1">
        <v>0.25</v>
      </c>
      <c r="D4" s="1"/>
      <c r="E4" s="1"/>
      <c r="F4" s="1"/>
      <c r="G4" s="1"/>
      <c r="I4" s="4">
        <f t="shared" ref="I4:I24" si="5">I3+1</f>
        <v>1</v>
      </c>
      <c r="J4" s="1">
        <f t="shared" si="0"/>
        <v>3.6</v>
      </c>
      <c r="K4" s="4">
        <f t="shared" si="1"/>
        <v>25</v>
      </c>
      <c r="L4" s="1">
        <f t="shared" si="2"/>
        <v>12.135999999999999</v>
      </c>
      <c r="M4" s="1">
        <f t="shared" si="3"/>
        <v>23.561944901923447</v>
      </c>
      <c r="N4" s="1">
        <f t="shared" si="4"/>
        <v>29.944379752905107</v>
      </c>
    </row>
    <row r="5" spans="2:14" ht="18.75" customHeight="1" x14ac:dyDescent="0.2">
      <c r="B5" t="s">
        <v>9</v>
      </c>
      <c r="C5" s="4">
        <v>12</v>
      </c>
      <c r="D5" s="4"/>
      <c r="E5" s="4"/>
      <c r="F5" s="4"/>
      <c r="G5" s="4"/>
      <c r="I5" s="4">
        <f t="shared" si="5"/>
        <v>2</v>
      </c>
      <c r="J5" s="1">
        <f t="shared" si="0"/>
        <v>7.2</v>
      </c>
      <c r="K5" s="4">
        <f t="shared" si="1"/>
        <v>50</v>
      </c>
      <c r="L5" s="1">
        <f t="shared" si="2"/>
        <v>18.385999999999999</v>
      </c>
      <c r="M5" s="1">
        <f t="shared" si="3"/>
        <v>47.123889803846893</v>
      </c>
      <c r="N5" s="1">
        <f t="shared" si="4"/>
        <v>90.731273259214461</v>
      </c>
    </row>
    <row r="6" spans="2:14" ht="18.75" customHeight="1" x14ac:dyDescent="0.2">
      <c r="B6" t="s">
        <v>10</v>
      </c>
      <c r="C6" s="1">
        <v>1.2E-2</v>
      </c>
      <c r="D6" s="1"/>
      <c r="E6" s="1"/>
      <c r="F6" s="1"/>
      <c r="G6" s="1"/>
      <c r="I6" s="4">
        <f t="shared" si="5"/>
        <v>3</v>
      </c>
      <c r="J6" s="1">
        <f t="shared" si="0"/>
        <v>10.8</v>
      </c>
      <c r="K6" s="4">
        <f t="shared" si="1"/>
        <v>75</v>
      </c>
      <c r="L6" s="1">
        <f t="shared" si="2"/>
        <v>24.635999999999999</v>
      </c>
      <c r="M6" s="1">
        <f t="shared" si="3"/>
        <v>70.685834705770347</v>
      </c>
      <c r="N6" s="1">
        <f t="shared" si="4"/>
        <v>182.36068051892804</v>
      </c>
    </row>
    <row r="7" spans="2:14" ht="18.75" customHeight="1" x14ac:dyDescent="0.2">
      <c r="B7" t="s">
        <v>11</v>
      </c>
      <c r="C7" s="1">
        <f>C3*9.81*C6</f>
        <v>23.544</v>
      </c>
      <c r="D7" s="1"/>
      <c r="E7" s="1"/>
      <c r="F7" s="1"/>
      <c r="G7" s="1"/>
      <c r="I7" s="4">
        <f t="shared" si="5"/>
        <v>4</v>
      </c>
      <c r="J7" s="1">
        <f t="shared" si="0"/>
        <v>14.4</v>
      </c>
      <c r="K7" s="4">
        <f t="shared" si="1"/>
        <v>100</v>
      </c>
      <c r="L7" s="1">
        <f t="shared" si="2"/>
        <v>30.885999999999999</v>
      </c>
      <c r="M7" s="1">
        <f t="shared" si="3"/>
        <v>94.247779607693786</v>
      </c>
      <c r="N7" s="1">
        <f t="shared" si="4"/>
        <v>304.83260153204589</v>
      </c>
    </row>
    <row r="8" spans="2:14" ht="18.75" customHeight="1" x14ac:dyDescent="0.2">
      <c r="I8" s="4">
        <f t="shared" si="5"/>
        <v>5</v>
      </c>
      <c r="J8" s="1">
        <f t="shared" si="0"/>
        <v>18</v>
      </c>
      <c r="K8" s="4">
        <f t="shared" si="1"/>
        <v>125</v>
      </c>
      <c r="L8" s="1">
        <f t="shared" si="2"/>
        <v>37.136000000000003</v>
      </c>
      <c r="M8" s="1">
        <f t="shared" si="3"/>
        <v>117.80972450961724</v>
      </c>
      <c r="N8" s="1">
        <f t="shared" si="4"/>
        <v>458.14703629856803</v>
      </c>
    </row>
    <row r="9" spans="2:14" ht="18.75" customHeight="1" x14ac:dyDescent="0.2">
      <c r="I9" s="4">
        <f t="shared" si="5"/>
        <v>6</v>
      </c>
      <c r="J9" s="1">
        <f t="shared" si="0"/>
        <v>21.6</v>
      </c>
      <c r="K9" s="4">
        <f t="shared" si="1"/>
        <v>150</v>
      </c>
      <c r="L9" s="1">
        <f t="shared" si="2"/>
        <v>43.386000000000003</v>
      </c>
      <c r="M9" s="1">
        <f t="shared" si="3"/>
        <v>141.37166941154069</v>
      </c>
      <c r="N9" s="1">
        <f t="shared" si="4"/>
        <v>642.30398481849443</v>
      </c>
    </row>
    <row r="10" spans="2:14" ht="18.75" customHeight="1" thickBot="1" x14ac:dyDescent="0.25">
      <c r="I10" s="4">
        <f t="shared" si="5"/>
        <v>7</v>
      </c>
      <c r="J10" s="1">
        <f t="shared" si="0"/>
        <v>25.2</v>
      </c>
      <c r="K10" s="4">
        <f t="shared" si="1"/>
        <v>175</v>
      </c>
      <c r="L10" s="1">
        <f t="shared" si="2"/>
        <v>49.636000000000003</v>
      </c>
      <c r="M10" s="1">
        <f t="shared" si="3"/>
        <v>164.93361431346415</v>
      </c>
      <c r="N10" s="1">
        <f t="shared" si="4"/>
        <v>857.30344709182498</v>
      </c>
    </row>
    <row r="11" spans="2:14" ht="18.75" customHeight="1" thickBot="1" x14ac:dyDescent="0.25">
      <c r="B11" s="41" t="s">
        <v>13</v>
      </c>
      <c r="C11" s="42"/>
      <c r="D11" s="42"/>
      <c r="E11" s="42"/>
      <c r="F11" s="43"/>
      <c r="G11" s="17"/>
      <c r="I11" s="4">
        <f t="shared" si="5"/>
        <v>8</v>
      </c>
      <c r="J11" s="1">
        <f t="shared" si="0"/>
        <v>28.8</v>
      </c>
      <c r="K11" s="4">
        <f t="shared" si="1"/>
        <v>200</v>
      </c>
      <c r="L11" s="1">
        <f t="shared" si="2"/>
        <v>55.886000000000003</v>
      </c>
      <c r="M11" s="1">
        <f t="shared" si="3"/>
        <v>188.49555921538757</v>
      </c>
      <c r="N11" s="1">
        <f t="shared" si="4"/>
        <v>1103.1454231185596</v>
      </c>
    </row>
    <row r="12" spans="2:14" ht="18.75" customHeight="1" x14ac:dyDescent="0.2">
      <c r="B12" s="25" t="s">
        <v>18</v>
      </c>
      <c r="C12" s="36"/>
      <c r="D12" s="25" t="s">
        <v>21</v>
      </c>
      <c r="E12" s="20"/>
      <c r="F12" s="36"/>
      <c r="G12" s="18"/>
      <c r="I12" s="4">
        <f t="shared" si="5"/>
        <v>9</v>
      </c>
      <c r="J12" s="1">
        <f t="shared" si="0"/>
        <v>32.4</v>
      </c>
      <c r="K12" s="4">
        <f t="shared" si="1"/>
        <v>225</v>
      </c>
      <c r="L12" s="1">
        <f t="shared" si="2"/>
        <v>62.136000000000003</v>
      </c>
      <c r="M12" s="1">
        <f t="shared" si="3"/>
        <v>212.05750411731103</v>
      </c>
      <c r="N12" s="1">
        <f t="shared" si="4"/>
        <v>1379.8299128986987</v>
      </c>
    </row>
    <row r="13" spans="2:14" ht="18.75" customHeight="1" x14ac:dyDescent="0.2">
      <c r="B13" s="38" t="s">
        <v>14</v>
      </c>
      <c r="C13" s="30">
        <v>1687.36</v>
      </c>
      <c r="D13" s="22"/>
      <c r="E13" s="14" t="s">
        <v>26</v>
      </c>
      <c r="F13" s="35" t="s">
        <v>27</v>
      </c>
      <c r="I13" s="7">
        <f>I12+1</f>
        <v>10</v>
      </c>
      <c r="J13" s="8">
        <f>I13 * 3.6</f>
        <v>36</v>
      </c>
      <c r="K13" s="7">
        <f>I13/12 *300</f>
        <v>250</v>
      </c>
      <c r="L13" s="8">
        <f>(K13+$C$7)*$C$4</f>
        <v>68.385999999999996</v>
      </c>
      <c r="M13" s="8">
        <f>60*I13/2*PI()*$C$4</f>
        <v>235.61944901923448</v>
      </c>
      <c r="N13" s="1">
        <f>L13*M13*PI()/30</f>
        <v>1687.3569164322421</v>
      </c>
    </row>
    <row r="14" spans="2:14" ht="18.75" customHeight="1" x14ac:dyDescent="0.2">
      <c r="B14" s="39" t="s">
        <v>15</v>
      </c>
      <c r="C14" s="30">
        <v>2000</v>
      </c>
      <c r="D14" s="23" t="s">
        <v>23</v>
      </c>
      <c r="E14" s="9"/>
      <c r="F14" s="34"/>
      <c r="H14" s="6"/>
      <c r="I14" s="4">
        <f>I13+1</f>
        <v>11</v>
      </c>
      <c r="J14" s="1">
        <f>I14 * 3.6</f>
        <v>39.6</v>
      </c>
      <c r="K14" s="4">
        <f>I14/12 *300</f>
        <v>275</v>
      </c>
      <c r="L14" s="1">
        <f>(K14+$C$7)*$C$4</f>
        <v>74.635999999999996</v>
      </c>
      <c r="M14" s="1">
        <f>60*I14/2*PI()*$C$4</f>
        <v>259.18139392115791</v>
      </c>
      <c r="N14" s="1">
        <f>L14*M14*PI()/30</f>
        <v>2025.7264337191891</v>
      </c>
    </row>
    <row r="15" spans="2:14" ht="18.75" customHeight="1" x14ac:dyDescent="0.2">
      <c r="B15" s="39" t="s">
        <v>29</v>
      </c>
      <c r="C15" s="30">
        <f>9550*C13/C14</f>
        <v>8057.1439999999993</v>
      </c>
      <c r="D15" s="24" t="s">
        <v>24</v>
      </c>
      <c r="E15" s="9"/>
      <c r="F15" s="33"/>
      <c r="I15" s="4">
        <f>I14+1</f>
        <v>12</v>
      </c>
      <c r="J15" s="1">
        <f>I15 * 3.6</f>
        <v>43.2</v>
      </c>
      <c r="K15" s="4">
        <f>I15/12 *300</f>
        <v>300</v>
      </c>
      <c r="L15" s="1">
        <f>(K15+$C$7)*$C$4</f>
        <v>80.885999999999996</v>
      </c>
      <c r="M15" s="1">
        <f>60*I15/2*PI()*$C$4</f>
        <v>282.74333882308139</v>
      </c>
      <c r="N15" s="1">
        <f>L15*M15*PI()/30</f>
        <v>2394.9384647595411</v>
      </c>
    </row>
    <row r="16" spans="2:14" ht="18.75" customHeight="1" x14ac:dyDescent="0.2">
      <c r="B16" s="25" t="s">
        <v>25</v>
      </c>
      <c r="C16" s="36"/>
      <c r="D16" s="24" t="s">
        <v>28</v>
      </c>
      <c r="F16" s="30"/>
      <c r="I16" s="4">
        <f>I15+1</f>
        <v>13</v>
      </c>
      <c r="J16" s="1">
        <f>I16 * 3.6</f>
        <v>46.800000000000004</v>
      </c>
      <c r="K16" s="4">
        <f>I16/12 *300</f>
        <v>325</v>
      </c>
      <c r="L16" s="1">
        <f>(K16+$C$7)*$C$4</f>
        <v>87.135999999999996</v>
      </c>
      <c r="M16" s="1">
        <f>60*I16/2*PI()*$C$4</f>
        <v>306.30528372500481</v>
      </c>
      <c r="N16" s="1">
        <f>L16*M16*PI()/30</f>
        <v>2794.9930095532973</v>
      </c>
    </row>
    <row r="17" spans="2:14" ht="18.75" customHeight="1" x14ac:dyDescent="0.2">
      <c r="B17" s="39" t="s">
        <v>20</v>
      </c>
      <c r="C17" s="30" cm="1">
        <f t="array" ref="C17">INDEX(Table1[(REQUIRED) RPM],MATCH(MIN(ABS(Table1[(REQUIRED) Power (W)]- C13)), ABS(Table1[(REQUIRED) Power (W)]- C13), 0))</f>
        <v>235.61944901923448</v>
      </c>
      <c r="D17" s="26" t="s">
        <v>22</v>
      </c>
      <c r="E17" s="21"/>
      <c r="F17" s="32"/>
      <c r="G17" s="19"/>
      <c r="I17" s="4">
        <f>I16+1</f>
        <v>14</v>
      </c>
      <c r="J17" s="1">
        <f>I17 * 3.6</f>
        <v>50.4</v>
      </c>
      <c r="K17" s="4">
        <f>I17/12 *300</f>
        <v>350</v>
      </c>
      <c r="L17" s="1">
        <f>(K17+$C$7)*$C$4</f>
        <v>93.385999999999996</v>
      </c>
      <c r="M17" s="1">
        <f>60*I17/2*PI()*$C$4</f>
        <v>329.86722862692829</v>
      </c>
      <c r="N17" s="1">
        <f>L17*M17*PI()/30</f>
        <v>3225.8900681004575</v>
      </c>
    </row>
    <row r="18" spans="2:14" ht="18.75" customHeight="1" x14ac:dyDescent="0.2">
      <c r="B18" s="39" t="s">
        <v>19</v>
      </c>
      <c r="C18" s="30" cm="1">
        <f t="array" ref="C18">INDEX(Table1[(REQUIRED) Torque (Nm)],MATCH(MIN(ABS(Table1[(REQUIRED) Power (W)]- C13)), ABS(Table1[(REQUIRED) Power (W)]- C13), 0))</f>
        <v>68.385999999999996</v>
      </c>
      <c r="D18" s="37"/>
      <c r="E18" s="16" t="s">
        <v>23</v>
      </c>
      <c r="F18" s="31" t="s">
        <v>24</v>
      </c>
      <c r="I18" s="4">
        <f>I17+1</f>
        <v>15</v>
      </c>
      <c r="J18" s="1">
        <f>I18 * 3.6</f>
        <v>54</v>
      </c>
      <c r="K18" s="4">
        <f>I18/12 *300</f>
        <v>375</v>
      </c>
      <c r="L18" s="1">
        <f>(K18+$C$7)*$C$4</f>
        <v>99.635999999999996</v>
      </c>
      <c r="M18" s="1">
        <f>60*I18/2*PI()*$C$4</f>
        <v>353.42917352885172</v>
      </c>
      <c r="N18" s="1">
        <f>L18*M18*PI()/30</f>
        <v>3687.6296404010222</v>
      </c>
    </row>
    <row r="19" spans="2:14" ht="18.75" customHeight="1" x14ac:dyDescent="0.2">
      <c r="B19" s="40" t="s">
        <v>33</v>
      </c>
      <c r="C19" s="29" cm="1">
        <f t="array" ref="C19">INDEX(Table1[(REQUIRED) Power (W)],MATCH(MIN(ABS(Table1[(REQUIRED) Power (W)]- C13)), ABS(Table1[(REQUIRED) Power (W)]- C13), 0))</f>
        <v>1687.3569164322421</v>
      </c>
      <c r="D19" s="24" t="s">
        <v>17</v>
      </c>
      <c r="E19" s="12"/>
      <c r="F19" s="30"/>
      <c r="I19" s="4">
        <f>I18+1</f>
        <v>16</v>
      </c>
      <c r="J19" s="1">
        <f>I19 * 3.6</f>
        <v>57.6</v>
      </c>
      <c r="K19" s="4">
        <f>I19/12 *300</f>
        <v>400</v>
      </c>
      <c r="L19" s="1">
        <f>(K19+$C$7)*$C$4</f>
        <v>105.886</v>
      </c>
      <c r="M19" s="1">
        <f>60*I19/2*PI()*$C$4</f>
        <v>376.99111843077515</v>
      </c>
      <c r="N19" s="1">
        <f>L19*M19*PI()/30</f>
        <v>4180.2117264549906</v>
      </c>
    </row>
    <row r="20" spans="2:14" ht="18.75" customHeight="1" x14ac:dyDescent="0.2">
      <c r="B20" s="13"/>
      <c r="D20" s="27" t="s">
        <v>16</v>
      </c>
      <c r="E20" s="28"/>
      <c r="F20" s="29"/>
      <c r="I20" s="4">
        <f>I19+1</f>
        <v>17</v>
      </c>
      <c r="J20" s="1">
        <f>I20 * 3.6</f>
        <v>61.2</v>
      </c>
      <c r="K20" s="4">
        <f>I20/12 *300</f>
        <v>425</v>
      </c>
      <c r="L20" s="1">
        <f>(K20+$C$7)*$C$4</f>
        <v>112.136</v>
      </c>
      <c r="M20" s="1">
        <f>60*I20/2*PI()*$C$4</f>
        <v>400.55306333269863</v>
      </c>
      <c r="N20" s="1">
        <f>L20*M20*PI()/30</f>
        <v>4703.6363262623645</v>
      </c>
    </row>
    <row r="21" spans="2:14" ht="18.75" customHeight="1" x14ac:dyDescent="0.2">
      <c r="B21" s="13"/>
      <c r="D21" s="37"/>
      <c r="I21" s="4">
        <f>I20+1</f>
        <v>18</v>
      </c>
      <c r="J21" s="1">
        <f>I21 * 3.6</f>
        <v>64.8</v>
      </c>
      <c r="K21" s="4">
        <f>I21/12 *300</f>
        <v>450</v>
      </c>
      <c r="L21" s="1">
        <f>(K21+$C$7)*$C$4</f>
        <v>118.386</v>
      </c>
      <c r="M21" s="1">
        <f>60*I21/2*PI()*$C$4</f>
        <v>424.11500823462205</v>
      </c>
      <c r="N21" s="1">
        <f>L21*M21*PI()/30</f>
        <v>5257.9034398231406</v>
      </c>
    </row>
    <row r="22" spans="2:14" ht="18.75" customHeight="1" x14ac:dyDescent="0.2">
      <c r="I22" s="4">
        <f>I21+1</f>
        <v>19</v>
      </c>
      <c r="J22" s="1">
        <f>I22 * 3.6</f>
        <v>68.400000000000006</v>
      </c>
      <c r="K22" s="4">
        <f>I22/12 *300</f>
        <v>475</v>
      </c>
      <c r="L22" s="1">
        <f>(K22+$C$7)*$C$4</f>
        <v>124.636</v>
      </c>
      <c r="M22" s="1">
        <f>60*I22/2*PI()*$C$4</f>
        <v>447.67695313654554</v>
      </c>
      <c r="N22" s="1">
        <f>L22*M22*PI()/30</f>
        <v>5843.0130671373227</v>
      </c>
    </row>
    <row r="23" spans="2:14" ht="18.75" customHeight="1" x14ac:dyDescent="0.2">
      <c r="C23" s="5">
        <f>C17*C18*PI()/30</f>
        <v>1687.3569164322421</v>
      </c>
      <c r="E23" s="15"/>
      <c r="I23" s="4">
        <f>I22+1</f>
        <v>20</v>
      </c>
      <c r="J23" s="1">
        <f>I23 * 3.6</f>
        <v>72</v>
      </c>
      <c r="K23" s="4">
        <f>I23/12 *300</f>
        <v>500</v>
      </c>
      <c r="L23" s="1">
        <f>(K23+$C$7)*$C$4</f>
        <v>130.886</v>
      </c>
      <c r="M23" s="1">
        <f>60*I23/2*PI()*$C$4</f>
        <v>471.23889803846896</v>
      </c>
      <c r="N23" s="1">
        <f>L23*M23*PI()/30</f>
        <v>6458.9652082049079</v>
      </c>
    </row>
    <row r="24" spans="2:14" ht="17.25" customHeight="1" x14ac:dyDescent="0.2"/>
    <row r="25" spans="2:14" ht="17.25" customHeight="1" x14ac:dyDescent="0.2"/>
    <row r="26" spans="2:14" ht="17.25" customHeight="1" x14ac:dyDescent="0.2">
      <c r="C26" s="5" t="s">
        <v>30</v>
      </c>
      <c r="D26" s="5" t="s">
        <v>17</v>
      </c>
      <c r="E26" s="5" t="s">
        <v>16</v>
      </c>
      <c r="F26" s="5" t="s">
        <v>31</v>
      </c>
      <c r="G26" s="5" t="s">
        <v>32</v>
      </c>
    </row>
    <row r="27" spans="2:14" ht="17.25" customHeight="1" x14ac:dyDescent="0.2"/>
    <row r="29" spans="2:14" ht="17.25" customHeight="1" x14ac:dyDescent="0.2"/>
    <row r="30" spans="2:14" ht="17.25" customHeight="1" x14ac:dyDescent="0.2"/>
    <row r="31" spans="2:14" ht="17.25" customHeight="1" x14ac:dyDescent="0.2">
      <c r="J31" s="11"/>
    </row>
    <row r="32" spans="2:14" ht="17.25" customHeight="1" x14ac:dyDescent="0.2"/>
    <row r="33" spans="19:19" ht="17.25" customHeight="1" x14ac:dyDescent="0.2"/>
    <row r="34" spans="19:19" ht="17.25" customHeight="1" x14ac:dyDescent="0.2"/>
    <row r="35" spans="19:19" ht="17.25" customHeight="1" x14ac:dyDescent="0.2"/>
    <row r="36" spans="19:19" ht="17.25" customHeight="1" x14ac:dyDescent="0.2"/>
    <row r="37" spans="19:19" ht="17.25" customHeight="1" x14ac:dyDescent="0.2"/>
    <row r="38" spans="19:19" ht="17.25" customHeight="1" x14ac:dyDescent="0.2"/>
    <row r="39" spans="19:19" ht="17.25" customHeight="1" x14ac:dyDescent="0.2">
      <c r="S39" t="s">
        <v>12</v>
      </c>
    </row>
  </sheetData>
  <mergeCells count="5">
    <mergeCell ref="D17:F17"/>
    <mergeCell ref="B16:C16"/>
    <mergeCell ref="B12:C12"/>
    <mergeCell ref="B11:F11"/>
    <mergeCell ref="D12:F12"/>
  </mergeCells>
  <conditionalFormatting sqref="B22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Ronit BHANDARI</cp:lastModifiedBy>
  <dcterms:created xsi:type="dcterms:W3CDTF">2025-04-18T03:04:20Z</dcterms:created>
  <dcterms:modified xsi:type="dcterms:W3CDTF">2025-04-21T10:33:47Z</dcterms:modified>
</cp:coreProperties>
</file>