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bhandari/Downloads/"/>
    </mc:Choice>
  </mc:AlternateContent>
  <xr:revisionPtr revIDLastSave="0" documentId="8_{8ED7281B-8B7D-3F41-BECC-4CBD4365FC28}" xr6:coauthVersionLast="47" xr6:coauthVersionMax="47" xr10:uidLastSave="{00000000-0000-0000-0000-000000000000}"/>
  <bookViews>
    <workbookView xWindow="0" yWindow="720" windowWidth="29400" windowHeight="18400" xr2:uid="{FCF1D791-A77F-1D46-999C-5AB6FB1C33B7}"/>
  </bookViews>
  <sheets>
    <sheet name="Sheet1" sheetId="1" r:id="rId1"/>
  </sheets>
  <definedNames>
    <definedName name="r_gear_ratio">Sheet1!$B$12:$C$25</definedName>
    <definedName name="r_input_params">Sheet1!$B$4:$E$10</definedName>
    <definedName name="r_rpm_velocity">Sheet1!$Q$4:$R$23</definedName>
    <definedName name="r_torque">Sheet1!$G$25:$I$28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10" i="1"/>
  <c r="C7" i="1" s="1"/>
  <c r="M9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R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R21" i="1" s="1"/>
  <c r="E9" i="1"/>
  <c r="I28" i="1" s="1"/>
  <c r="R16" i="1" l="1"/>
  <c r="R9" i="1"/>
  <c r="R19" i="1"/>
  <c r="R17" i="1"/>
  <c r="R8" i="1"/>
  <c r="R7" i="1"/>
  <c r="R14" i="1"/>
  <c r="R13" i="1"/>
  <c r="R12" i="1"/>
  <c r="R15" i="1"/>
  <c r="R20" i="1"/>
  <c r="R11" i="1"/>
  <c r="R18" i="1"/>
  <c r="R10" i="1"/>
  <c r="I27" i="1"/>
  <c r="H21" i="1"/>
  <c r="I21" i="1" s="1"/>
  <c r="J21" i="1" s="1"/>
  <c r="G22" i="1"/>
  <c r="R22" i="1" s="1"/>
  <c r="C19" i="1"/>
  <c r="C18" i="1" s="1"/>
  <c r="C20" i="1" l="1"/>
  <c r="H22" i="1"/>
  <c r="I22" i="1" s="1"/>
  <c r="J22" i="1" s="1"/>
  <c r="G23" i="1"/>
  <c r="R23" i="1" s="1"/>
  <c r="H6" i="1"/>
  <c r="I6" i="1" s="1"/>
  <c r="J6" i="1" s="1"/>
  <c r="H23" i="1" l="1"/>
  <c r="I23" i="1" s="1"/>
  <c r="J23" i="1" s="1"/>
  <c r="H7" i="1"/>
  <c r="I7" i="1" s="1"/>
  <c r="J7" i="1" s="1"/>
  <c r="C16" i="1"/>
  <c r="C23" i="1" s="1"/>
  <c r="C25" i="1" s="1"/>
  <c r="H8" i="1" l="1"/>
  <c r="I8" i="1" s="1"/>
  <c r="J8" i="1" s="1"/>
  <c r="H9" i="1" l="1"/>
  <c r="I9" i="1" s="1"/>
  <c r="J9" i="1" s="1"/>
  <c r="H10" i="1" l="1"/>
  <c r="I10" i="1" s="1"/>
  <c r="J10" i="1" s="1"/>
  <c r="H11" i="1" l="1"/>
  <c r="I11" i="1" s="1"/>
  <c r="J11" i="1" s="1"/>
  <c r="H12" i="1" l="1"/>
  <c r="I12" i="1" s="1"/>
  <c r="J12" i="1" s="1"/>
  <c r="H13" i="1" l="1"/>
  <c r="I13" i="1" s="1"/>
  <c r="J13" i="1" s="1"/>
  <c r="H14" i="1" l="1"/>
  <c r="I14" i="1" s="1"/>
  <c r="J14" i="1" s="1"/>
  <c r="C21" i="1" s="1"/>
  <c r="H15" i="1" l="1"/>
  <c r="I15" i="1" s="1"/>
  <c r="J15" i="1" s="1"/>
  <c r="H16" i="1" l="1"/>
  <c r="I16" i="1" s="1"/>
  <c r="J16" i="1" s="1"/>
  <c r="H17" i="1" l="1"/>
  <c r="I17" i="1" s="1"/>
  <c r="J17" i="1" s="1"/>
  <c r="H18" i="1" l="1"/>
  <c r="I18" i="1" s="1"/>
  <c r="J18" i="1" s="1"/>
  <c r="H20" i="1" l="1"/>
  <c r="I20" i="1" s="1"/>
  <c r="J20" i="1" s="1"/>
  <c r="H19" i="1"/>
  <c r="I19" i="1" s="1"/>
  <c r="J19" i="1" s="1"/>
</calcChain>
</file>

<file path=xl/sharedStrings.xml><?xml version="1.0" encoding="utf-8"?>
<sst xmlns="http://schemas.openxmlformats.org/spreadsheetml/2006/main" count="51" uniqueCount="47">
  <si>
    <t>INPUT PARAMETERS</t>
  </si>
  <si>
    <t>CALCULATE GEAR RATIO</t>
  </si>
  <si>
    <t>Listed Values</t>
  </si>
  <si>
    <t>Listed Power Rating</t>
  </si>
  <si>
    <t>Listed RPM</t>
  </si>
  <si>
    <t>Calculated Torque</t>
  </si>
  <si>
    <t>Target RPM</t>
  </si>
  <si>
    <t>Target Torque</t>
  </si>
  <si>
    <t>RPM</t>
  </si>
  <si>
    <t>Torque</t>
  </si>
  <si>
    <t>velocity (km/h)</t>
  </si>
  <si>
    <t>velocity (m/s)</t>
  </si>
  <si>
    <t>Friction Force (N)</t>
  </si>
  <si>
    <t>Friction Constant (n/a)</t>
  </si>
  <si>
    <t>Tire Radius (m)</t>
  </si>
  <si>
    <t>Mass (kg)</t>
  </si>
  <si>
    <t>Equation</t>
  </si>
  <si>
    <t>Constant</t>
  </si>
  <si>
    <t>Value</t>
  </si>
  <si>
    <t>Acceleration (m/s^2)</t>
  </si>
  <si>
    <t>Torque  to overcome friction (With a margin)</t>
  </si>
  <si>
    <t>Calculated Value</t>
  </si>
  <si>
    <t>Initial Parameter</t>
  </si>
  <si>
    <t>Calculated Parameter</t>
  </si>
  <si>
    <t>Gears</t>
  </si>
  <si>
    <t xml:space="preserve">Driving Gear Teeth </t>
  </si>
  <si>
    <t>Driven Gear Teeth</t>
  </si>
  <si>
    <t>Ratio (Torque Priority)</t>
  </si>
  <si>
    <t xml:space="preserve">RPM and Velocity </t>
  </si>
  <si>
    <t>Power Rating</t>
  </si>
  <si>
    <t xml:space="preserve">angular  velocity </t>
  </si>
  <si>
    <t>Approx Velocity (From Target RPM)</t>
  </si>
  <si>
    <r>
      <t xml:space="preserve">Target Values  </t>
    </r>
    <r>
      <rPr>
        <b/>
        <i/>
        <sz val="11"/>
        <color theme="0"/>
        <rFont val="Aptos Narrow"/>
        <family val="2"/>
        <scheme val="minor"/>
      </rPr>
      <t>(Taken from adjacent table)</t>
    </r>
  </si>
  <si>
    <t>Velocity and RPM</t>
  </si>
  <si>
    <t>Gear efficiency  (0-1)</t>
  </si>
  <si>
    <t>(Friction + mass * acceleration) * wheel radius / efficiency* (1 +0.1)</t>
  </si>
  <si>
    <t>Friction * radius / efficiency* (1 +0.3</t>
  </si>
  <si>
    <t>Torque with acceleration (with a margin)</t>
  </si>
  <si>
    <t>Total Mass</t>
  </si>
  <si>
    <t>Section</t>
  </si>
  <si>
    <t>Frame</t>
  </si>
  <si>
    <t>Misc</t>
  </si>
  <si>
    <t>Total</t>
  </si>
  <si>
    <t>A Person (x2)</t>
  </si>
  <si>
    <t>Battery (7)</t>
  </si>
  <si>
    <t>1:5 -- 1:6</t>
  </si>
  <si>
    <t>8:40  -- 8:48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</si>
</sst>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1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4" xfId="0" applyBorder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3" borderId="5" xfId="0" applyFill="1" applyBorder="1" applyAlignment="1">
      <alignment wrapText="1"/>
    </xf>
    <xf numFmtId="2" fontId="0" fillId="3" borderId="5" xfId="0" applyNumberFormat="1" applyFill="1" applyBorder="1"/>
    <xf numFmtId="0" fontId="1" fillId="0" borderId="0" xfId="0" applyFont="1"/>
    <xf numFmtId="0" fontId="0" fillId="4" borderId="5" xfId="0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2" fontId="0" fillId="4" borderId="5" xfId="0" applyNumberFormat="1" applyFill="1" applyBorder="1"/>
    <xf numFmtId="0" fontId="2" fillId="3" borderId="5" xfId="0" applyFont="1" applyFill="1" applyBorder="1"/>
    <xf numFmtId="0" fontId="6" fillId="2" borderId="6" xfId="0" applyFont="1" applyFill="1" applyBorder="1"/>
    <xf numFmtId="4" fontId="0" fillId="0" borderId="0" xfId="0" applyNumberFormat="1"/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3" fontId="0" fillId="0" borderId="0" xfId="0" applyNumberFormat="1"/>
    <xf numFmtId="4" fontId="8" fillId="0" borderId="0" xfId="0" applyNumberFormat="1" applyFont="1"/>
    <xf numFmtId="164" fontId="0" fillId="0" borderId="0" xfId="0" applyNumberFormat="1"/>
    <xf numFmtId="4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8" fillId="0" borderId="5" xfId="0" applyFont="1" applyBorder="1"/>
    <xf numFmtId="4" fontId="0" fillId="0" borderId="5" xfId="0" applyNumberFormat="1" applyBorder="1"/>
    <xf numFmtId="4" fontId="8" fillId="0" borderId="5" xfId="0" applyNumberFormat="1" applyFont="1" applyBorder="1"/>
    <xf numFmtId="0" fontId="3" fillId="0" borderId="0" xfId="0" applyFont="1"/>
    <xf numFmtId="0" fontId="5" fillId="0" borderId="4" xfId="0" applyFont="1" applyBorder="1"/>
    <xf numFmtId="0" fontId="9" fillId="0" borderId="0" xfId="0" applyFont="1" applyAlignment="1">
      <alignment horizontal="left"/>
    </xf>
    <xf numFmtId="0" fontId="0" fillId="0" borderId="5" xfId="0" applyBorder="1"/>
    <xf numFmtId="4" fontId="0" fillId="4" borderId="5" xfId="0" applyNumberFormat="1" applyFill="1" applyBorder="1"/>
    <xf numFmtId="0" fontId="0" fillId="4" borderId="5" xfId="0" applyFill="1" applyBorder="1"/>
    <xf numFmtId="0" fontId="11" fillId="4" borderId="5" xfId="0" applyFont="1" applyFill="1" applyBorder="1"/>
    <xf numFmtId="0" fontId="9" fillId="4" borderId="5" xfId="0" applyFont="1" applyFill="1" applyBorder="1" applyAlignment="1">
      <alignment horizontal="left"/>
    </xf>
    <xf numFmtId="165" fontId="8" fillId="4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0" fillId="6" borderId="10" xfId="0" applyFont="1" applyFill="1" applyBorder="1"/>
    <xf numFmtId="0" fontId="0" fillId="0" borderId="10" xfId="0" applyFont="1" applyBorder="1"/>
    <xf numFmtId="0" fontId="15" fillId="5" borderId="10" xfId="0" applyFont="1" applyFill="1" applyBorder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" fontId="16" fillId="0" borderId="5" xfId="0" applyNumberFormat="1" applyFont="1" applyBorder="1"/>
  </cellXfs>
  <cellStyles count="1">
    <cellStyle name="Normal" xfId="0" builtinId="0"/>
  </cellStyles>
  <dxfs count="8">
    <dxf>
      <numFmt numFmtId="166" formatCode="0.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numFmt numFmtId="166" formatCode="0.0"/>
    </dxf>
    <dxf>
      <numFmt numFmtId="2" formatCode="0.0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5BC0BF-510B-CF45-AA42-28B5BD14A809}" name="Table2" displayName="Table2" ref="G5:J23" totalsRowShown="0">
  <autoFilter ref="G5:J23" xr:uid="{FB5BC0BF-510B-CF45-AA42-28B5BD14A809}"/>
  <tableColumns count="4">
    <tableColumn id="1" xr3:uid="{BA47031B-5165-F949-886D-F90A438E671C}" name="velocity (km/h)"/>
    <tableColumn id="2" xr3:uid="{9828A892-345D-994D-AD09-907A1E797C9C}" name="velocity (m/s)" dataDxfId="5">
      <calculatedColumnFormula>G6/3.6</calculatedColumnFormula>
    </tableColumn>
    <tableColumn id="3" xr3:uid="{33D61148-2861-C847-A8DA-EA154FFF7C2D}" name="angular  velocity " dataDxfId="4">
      <calculatedColumnFormula>Table2[[#This Row],[velocity (m/s)]]/$C$8</calculatedColumnFormula>
    </tableColumn>
    <tableColumn id="5" xr3:uid="{24346A53-F046-5943-8719-A14A9EE51651}" name="RPM" dataDxfId="0">
      <calculatedColumnFormula>Table2[[#This Row],[angular  velocity ]]*60/(2*PI())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067F86-5851-824E-A0AA-B1D7DD316B4E}" name="Table5" displayName="Table5" ref="B5:E10" totalsRowShown="0" headerRowDxfId="7">
  <autoFilter ref="B5:E10" xr:uid="{A7067F86-5851-824E-A0AA-B1D7DD316B4E}"/>
  <tableColumns count="4">
    <tableColumn id="1" xr3:uid="{6B1110CC-3B08-F84C-B936-923DF033C713}" name="Initial Parameter"/>
    <tableColumn id="2" xr3:uid="{6A9859E6-0D46-724D-8EC0-4B49DDEC7B79}" name="Value"/>
    <tableColumn id="3" xr3:uid="{E332A011-0571-B943-8E60-58F51F0E8B1A}" name="Calculated Parameter" dataDxfId="6"/>
    <tableColumn id="4" xr3:uid="{D57D58C9-EAEC-9440-89AA-C796C5721FD2}" name="Calculated Valu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1DA70-2478-B543-B8BB-7DF1075E1D27}" name="Table1" displayName="Table1" ref="Q5:R23" totalsRowShown="0" tableBorderDxfId="3">
  <autoFilter ref="Q5:R23" xr:uid="{9811DA70-2478-B543-B8BB-7DF1075E1D27}"/>
  <tableColumns count="2">
    <tableColumn id="1" xr3:uid="{D89AB29B-8660-714D-A854-8849E0E2DFD0}" name="velocity (km/h)" dataDxfId="2">
      <calculatedColumnFormula>Q5+2</calculatedColumnFormula>
    </tableColumn>
    <tableColumn id="2" xr3:uid="{2C14BA4F-C0D7-8943-AA8D-27EFF89E5801}" name="RPM" dataDxfId="1">
      <calculatedColumnFormula>((Table2[[#This Row],[velocity (km/h)]]/3.6)/$C$8)*30/(2*PI())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743A0-2829-884E-8502-EE1F6030508A}" name="Table3" displayName="Table3" ref="L5:M10" totalsRowCount="1">
  <autoFilter ref="L5:M9" xr:uid="{4E3743A0-2829-884E-8502-EE1F6030508A}"/>
  <tableColumns count="2">
    <tableColumn id="1" xr3:uid="{B75C5566-0CBC-B341-A439-9461D5EAB6E7}" name="Section" totalsRowLabel="Total"/>
    <tableColumn id="2" xr3:uid="{42757B99-26A6-EA49-81B7-458437519076}" name="Value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AF0BE56-187C-A841-96C7-74E7B9489321}">
  <we:reference id="wa104380955" version="3.16.2.1" store="en-AU" storeType="OMEX"/>
  <we:alternateReferences>
    <we:reference id="WA104380955" version="3.16.2.1" store="" storeType="OMEX"/>
  </we:alternateReferences>
  <we:properties>
    <we:property name="AnalysisPlace_ItemPrefix" value="&quot;r_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174A-260A-624F-A6FA-F405742D4908}">
  <dimension ref="B3:R36"/>
  <sheetViews>
    <sheetView tabSelected="1" workbookViewId="0">
      <selection activeCell="M8" sqref="M8"/>
    </sheetView>
  </sheetViews>
  <sheetFormatPr baseColWidth="10" defaultRowHeight="16"/>
  <cols>
    <col min="1" max="1" width="4" customWidth="1"/>
    <col min="2" max="2" width="29.33203125" bestFit="1" customWidth="1"/>
    <col min="3" max="3" width="21.6640625" customWidth="1"/>
    <col min="4" max="4" width="21.5" customWidth="1"/>
    <col min="5" max="5" width="17.6640625" bestFit="1" customWidth="1"/>
    <col min="6" max="6" width="3.6640625" customWidth="1"/>
    <col min="7" max="7" width="21.5" bestFit="1" customWidth="1"/>
    <col min="8" max="8" width="19.6640625" bestFit="1" customWidth="1"/>
    <col min="9" max="9" width="17.5" bestFit="1" customWidth="1"/>
    <col min="10" max="10" width="14.33203125" customWidth="1"/>
    <col min="12" max="12" width="11.1640625" bestFit="1" customWidth="1"/>
    <col min="13" max="13" width="15.83203125" customWidth="1"/>
    <col min="14" max="14" width="10.83203125" customWidth="1"/>
  </cols>
  <sheetData>
    <row r="3" spans="2:18" ht="17" thickBot="1"/>
    <row r="4" spans="2:18" ht="17" thickBot="1">
      <c r="B4" s="39" t="s">
        <v>0</v>
      </c>
      <c r="C4" s="40"/>
      <c r="D4" s="40"/>
      <c r="E4" s="41"/>
      <c r="G4" s="45" t="s">
        <v>28</v>
      </c>
      <c r="H4" s="46"/>
      <c r="I4" s="46"/>
      <c r="J4" s="47"/>
      <c r="L4" s="45" t="s">
        <v>38</v>
      </c>
      <c r="M4" s="47"/>
      <c r="Q4" s="54" t="s">
        <v>33</v>
      </c>
      <c r="R4" s="53"/>
    </row>
    <row r="5" spans="2:18">
      <c r="B5" s="4" t="s">
        <v>22</v>
      </c>
      <c r="C5" s="4" t="s">
        <v>18</v>
      </c>
      <c r="D5" s="4" t="s">
        <v>23</v>
      </c>
      <c r="E5" s="7" t="s">
        <v>21</v>
      </c>
      <c r="G5" t="s">
        <v>10</v>
      </c>
      <c r="H5" t="s">
        <v>11</v>
      </c>
      <c r="I5" t="s">
        <v>30</v>
      </c>
      <c r="J5" t="s">
        <v>8</v>
      </c>
      <c r="L5" t="s">
        <v>39</v>
      </c>
      <c r="M5" t="s">
        <v>18</v>
      </c>
      <c r="Q5" s="52" t="s">
        <v>10</v>
      </c>
      <c r="R5" t="s">
        <v>8</v>
      </c>
    </row>
    <row r="6" spans="2:18">
      <c r="B6" t="s">
        <v>19</v>
      </c>
      <c r="C6">
        <v>0.7</v>
      </c>
      <c r="D6" s="1"/>
      <c r="G6">
        <v>20</v>
      </c>
      <c r="H6" s="2">
        <f>G6/3.6</f>
        <v>5.5555555555555554</v>
      </c>
      <c r="I6" s="3">
        <f>Table2[[#This Row],[velocity (m/s)]]/$C$8</f>
        <v>22.222222222222221</v>
      </c>
      <c r="J6" s="3">
        <f>Table2[[#This Row],[angular  velocity ]]*60/(2*PI())</f>
        <v>212.20659078919377</v>
      </c>
      <c r="L6" t="s">
        <v>40</v>
      </c>
      <c r="M6">
        <v>100</v>
      </c>
      <c r="Q6" s="50">
        <v>20</v>
      </c>
      <c r="R6" s="3">
        <f>((Table2[[#This Row],[velocity (km/h)]]/3.6)/$C$8)*30/(2*PI())</f>
        <v>106.10329539459688</v>
      </c>
    </row>
    <row r="7" spans="2:18">
      <c r="B7" t="s">
        <v>15</v>
      </c>
      <c r="C7">
        <f>Table3[[#Totals],[Value]]</f>
        <v>300</v>
      </c>
      <c r="D7" s="1"/>
      <c r="G7">
        <f>G6+2</f>
        <v>22</v>
      </c>
      <c r="H7" s="2">
        <f t="shared" ref="H7:H20" si="0">G7/3.6</f>
        <v>6.1111111111111107</v>
      </c>
      <c r="I7" s="3">
        <f>Table2[[#This Row],[velocity (m/s)]]/$C$8</f>
        <v>24.444444444444443</v>
      </c>
      <c r="J7" s="3">
        <f>Table2[[#This Row],[angular  velocity ]]*60/(2*PI())</f>
        <v>233.42724986811314</v>
      </c>
      <c r="L7" t="s">
        <v>44</v>
      </c>
      <c r="M7">
        <f>6*10 +5</f>
        <v>65</v>
      </c>
      <c r="Q7" s="51">
        <f>Q6+2</f>
        <v>22</v>
      </c>
      <c r="R7" s="3">
        <f>((Table2[[#This Row],[velocity (km/h)]]/3.6)/$C$8)*30/(2*PI())</f>
        <v>116.71362493405657</v>
      </c>
    </row>
    <row r="8" spans="2:18">
      <c r="B8" t="s">
        <v>14</v>
      </c>
      <c r="C8">
        <v>0.25</v>
      </c>
      <c r="D8" s="1"/>
      <c r="G8">
        <f t="shared" ref="G8:G23" si="1">G7+2</f>
        <v>24</v>
      </c>
      <c r="H8" s="2">
        <f t="shared" si="0"/>
        <v>6.6666666666666661</v>
      </c>
      <c r="I8" s="3">
        <f>Table2[[#This Row],[velocity (m/s)]]/$C$8</f>
        <v>26.666666666666664</v>
      </c>
      <c r="J8" s="3">
        <f>Table2[[#This Row],[angular  velocity ]]*60/(2*PI())</f>
        <v>254.64790894703251</v>
      </c>
      <c r="L8" t="s">
        <v>41</v>
      </c>
      <c r="M8">
        <v>25</v>
      </c>
      <c r="Q8" s="50">
        <f t="shared" ref="Q8:Q23" si="2">Q7+2</f>
        <v>24</v>
      </c>
      <c r="R8" s="3">
        <f>((Table2[[#This Row],[velocity (km/h)]]/3.6)/$C$8)*30/(2*PI())</f>
        <v>127.32395447351625</v>
      </c>
    </row>
    <row r="9" spans="2:18">
      <c r="B9" t="s">
        <v>13</v>
      </c>
      <c r="C9">
        <v>0.02</v>
      </c>
      <c r="D9" s="27" t="s">
        <v>12</v>
      </c>
      <c r="E9">
        <f>C9*C7*9.81</f>
        <v>58.86</v>
      </c>
      <c r="G9">
        <f t="shared" si="1"/>
        <v>26</v>
      </c>
      <c r="H9" s="2">
        <f t="shared" si="0"/>
        <v>7.2222222222222223</v>
      </c>
      <c r="I9" s="3">
        <f>Table2[[#This Row],[velocity (m/s)]]/$C$8</f>
        <v>28.888888888888889</v>
      </c>
      <c r="J9" s="3">
        <f>Table2[[#This Row],[angular  velocity ]]*60/(2*PI())</f>
        <v>275.8685680259519</v>
      </c>
      <c r="L9" t="s">
        <v>43</v>
      </c>
      <c r="M9">
        <f>55*2</f>
        <v>110</v>
      </c>
      <c r="Q9" s="51">
        <f t="shared" si="2"/>
        <v>26</v>
      </c>
      <c r="R9" s="3">
        <f>((Table2[[#This Row],[velocity (km/h)]]/3.6)/$C$8)*30/(2*PI())</f>
        <v>137.93428401297595</v>
      </c>
    </row>
    <row r="10" spans="2:18">
      <c r="B10" t="s">
        <v>34</v>
      </c>
      <c r="C10">
        <v>0.85</v>
      </c>
      <c r="D10" s="1"/>
      <c r="G10">
        <f t="shared" si="1"/>
        <v>28</v>
      </c>
      <c r="H10" s="2">
        <f t="shared" si="0"/>
        <v>7.7777777777777777</v>
      </c>
      <c r="I10" s="3">
        <f>Table2[[#This Row],[velocity (m/s)]]/$C$8</f>
        <v>31.111111111111111</v>
      </c>
      <c r="J10" s="3">
        <f>Table2[[#This Row],[angular  velocity ]]*60/(2*PI())</f>
        <v>297.08922710487133</v>
      </c>
      <c r="L10" t="s">
        <v>42</v>
      </c>
      <c r="M10">
        <f>SUBTOTAL(109,Table3[Value])</f>
        <v>300</v>
      </c>
      <c r="Q10" s="50">
        <f t="shared" si="2"/>
        <v>28</v>
      </c>
      <c r="R10" s="3">
        <f>((Table2[[#This Row],[velocity (km/h)]]/3.6)/$C$8)*30/(2*PI())</f>
        <v>148.54461355243566</v>
      </c>
    </row>
    <row r="11" spans="2:18" ht="17" thickBot="1">
      <c r="D11" s="1"/>
      <c r="G11">
        <f t="shared" si="1"/>
        <v>30</v>
      </c>
      <c r="H11" s="2">
        <f t="shared" si="0"/>
        <v>8.3333333333333339</v>
      </c>
      <c r="I11" s="3">
        <f>Table2[[#This Row],[velocity (m/s)]]/$C$8</f>
        <v>33.333333333333336</v>
      </c>
      <c r="J11" s="3">
        <f>Table2[[#This Row],[angular  velocity ]]*60/(2*PI())</f>
        <v>318.3098861837907</v>
      </c>
      <c r="Q11" s="51">
        <f t="shared" si="2"/>
        <v>30</v>
      </c>
      <c r="R11" s="3">
        <f>((Table2[[#This Row],[velocity (km/h)]]/3.6)/$C$8)*30/(2*PI())</f>
        <v>159.15494309189535</v>
      </c>
    </row>
    <row r="12" spans="2:18" ht="17" thickBot="1">
      <c r="B12" s="43" t="s">
        <v>1</v>
      </c>
      <c r="C12" s="44"/>
      <c r="D12" s="26"/>
      <c r="E12" s="26"/>
      <c r="F12" s="26"/>
      <c r="G12">
        <f t="shared" si="1"/>
        <v>32</v>
      </c>
      <c r="H12" s="2">
        <f t="shared" si="0"/>
        <v>8.8888888888888893</v>
      </c>
      <c r="I12" s="3">
        <f>Table2[[#This Row],[velocity (m/s)]]/$C$8</f>
        <v>35.555555555555557</v>
      </c>
      <c r="J12" s="3">
        <f>Table2[[#This Row],[angular  velocity ]]*60/(2*PI())</f>
        <v>339.53054526271006</v>
      </c>
      <c r="Q12" s="50">
        <f t="shared" si="2"/>
        <v>32</v>
      </c>
      <c r="R12" s="3">
        <f>((Table2[[#This Row],[velocity (km/h)]]/3.6)/$C$8)*30/(2*PI())</f>
        <v>169.76527263135503</v>
      </c>
    </row>
    <row r="13" spans="2:18">
      <c r="B13" s="48" t="s">
        <v>2</v>
      </c>
      <c r="C13" s="48"/>
      <c r="D13" s="35"/>
      <c r="E13" s="35"/>
      <c r="F13" s="14"/>
      <c r="G13">
        <f t="shared" si="1"/>
        <v>34</v>
      </c>
      <c r="H13" s="2">
        <f t="shared" si="0"/>
        <v>9.4444444444444446</v>
      </c>
      <c r="I13" s="3">
        <f>Table2[[#This Row],[velocity (m/s)]]/$C$8</f>
        <v>37.777777777777779</v>
      </c>
      <c r="J13" s="3">
        <f>Table2[[#This Row],[angular  velocity ]]*60/(2*PI())</f>
        <v>360.75120434162943</v>
      </c>
      <c r="Q13" s="51">
        <f t="shared" si="2"/>
        <v>34</v>
      </c>
      <c r="R13" s="3">
        <f>((Table2[[#This Row],[velocity (km/h)]]/3.6)/$C$8)*30/(2*PI())</f>
        <v>180.37560217081472</v>
      </c>
    </row>
    <row r="14" spans="2:18" ht="17">
      <c r="B14" s="8" t="s">
        <v>3</v>
      </c>
      <c r="C14" s="30">
        <v>3000</v>
      </c>
      <c r="D14" s="28"/>
      <c r="E14" s="15"/>
      <c r="F14" s="16"/>
      <c r="G14">
        <f t="shared" si="1"/>
        <v>36</v>
      </c>
      <c r="H14" s="2">
        <f t="shared" si="0"/>
        <v>10</v>
      </c>
      <c r="I14" s="3">
        <f>Table2[[#This Row],[velocity (m/s)]]/$C$8</f>
        <v>40</v>
      </c>
      <c r="J14" s="3">
        <f>Table2[[#This Row],[angular  velocity ]]*60/(2*PI())</f>
        <v>381.9718634205488</v>
      </c>
      <c r="Q14" s="50">
        <f t="shared" si="2"/>
        <v>36</v>
      </c>
      <c r="R14" s="3">
        <f>((Table2[[#This Row],[velocity (km/h)]]/3.6)/$C$8)*30/(2*PI())</f>
        <v>190.9859317102744</v>
      </c>
    </row>
    <row r="15" spans="2:18">
      <c r="B15" s="29" t="s">
        <v>4</v>
      </c>
      <c r="C15" s="24">
        <v>4500</v>
      </c>
      <c r="D15" s="14"/>
      <c r="E15" s="13"/>
      <c r="F15" s="17"/>
      <c r="G15">
        <f t="shared" si="1"/>
        <v>38</v>
      </c>
      <c r="H15" s="2">
        <f t="shared" si="0"/>
        <v>10.555555555555555</v>
      </c>
      <c r="I15" s="3">
        <f>Table2[[#This Row],[velocity (m/s)]]/$C$8</f>
        <v>42.222222222222221</v>
      </c>
      <c r="J15" s="3">
        <f>Table2[[#This Row],[angular  velocity ]]*60/(2*PI())</f>
        <v>403.19252249946823</v>
      </c>
      <c r="Q15" s="51">
        <f t="shared" si="2"/>
        <v>38</v>
      </c>
      <c r="R15" s="3">
        <f>((Table2[[#This Row],[velocity (km/h)]]/3.6)/$C$8)*30/(2*PI())</f>
        <v>201.59626124973411</v>
      </c>
    </row>
    <row r="16" spans="2:18">
      <c r="B16" s="31" t="s">
        <v>5</v>
      </c>
      <c r="C16" s="30">
        <f>(30/PI())*C14/C15</f>
        <v>6.366197723675814</v>
      </c>
      <c r="D16" s="18"/>
      <c r="E16" s="13"/>
      <c r="F16" s="19"/>
      <c r="G16">
        <f t="shared" si="1"/>
        <v>40</v>
      </c>
      <c r="H16" s="2">
        <f t="shared" si="0"/>
        <v>11.111111111111111</v>
      </c>
      <c r="I16" s="3">
        <f>Table2[[#This Row],[velocity (m/s)]]/$C$8</f>
        <v>44.444444444444443</v>
      </c>
      <c r="J16" s="3">
        <f>Table2[[#This Row],[angular  velocity ]]*60/(2*PI())</f>
        <v>424.41318157838754</v>
      </c>
      <c r="Q16" s="50">
        <f t="shared" si="2"/>
        <v>40</v>
      </c>
      <c r="R16" s="3">
        <f>((Table2[[#This Row],[velocity (km/h)]]/3.6)/$C$8)*30/(2*PI())</f>
        <v>212.20659078919377</v>
      </c>
    </row>
    <row r="17" spans="2:18">
      <c r="B17" s="49" t="s">
        <v>32</v>
      </c>
      <c r="C17" s="49"/>
      <c r="D17" s="20"/>
      <c r="E17" s="20"/>
      <c r="F17" s="13"/>
      <c r="G17">
        <f t="shared" si="1"/>
        <v>42</v>
      </c>
      <c r="H17" s="2">
        <f t="shared" si="0"/>
        <v>11.666666666666666</v>
      </c>
      <c r="I17" s="3">
        <f>Table2[[#This Row],[velocity (m/s)]]/$C$8</f>
        <v>46.666666666666664</v>
      </c>
      <c r="J17" s="3">
        <f>Table2[[#This Row],[angular  velocity ]]*60/(2*PI())</f>
        <v>445.63384065730696</v>
      </c>
      <c r="Q17" s="51">
        <f t="shared" si="2"/>
        <v>42</v>
      </c>
      <c r="R17" s="3">
        <f>((Table2[[#This Row],[velocity (km/h)]]/3.6)/$C$8)*30/(2*PI())</f>
        <v>222.81692032865348</v>
      </c>
    </row>
    <row r="18" spans="2:18">
      <c r="B18" s="31" t="s">
        <v>6</v>
      </c>
      <c r="C18" s="30">
        <f>C14/C19 *30/PI()</f>
        <v>329.34621321079561</v>
      </c>
      <c r="D18" s="20"/>
      <c r="E18" s="20"/>
      <c r="F18" s="20"/>
      <c r="G18">
        <f t="shared" si="1"/>
        <v>44</v>
      </c>
      <c r="H18" s="2">
        <f t="shared" si="0"/>
        <v>12.222222222222221</v>
      </c>
      <c r="I18" s="3">
        <f>Table2[[#This Row],[velocity (m/s)]]/$C$8</f>
        <v>48.888888888888886</v>
      </c>
      <c r="J18" s="3">
        <f>Table2[[#This Row],[angular  velocity ]]*60/(2*PI())</f>
        <v>466.85449973622627</v>
      </c>
      <c r="Q18" s="50">
        <f t="shared" si="2"/>
        <v>44</v>
      </c>
      <c r="R18" s="3">
        <f>((Table2[[#This Row],[velocity (km/h)]]/3.6)/$C$8)*30/(2*PI())</f>
        <v>233.42724986811314</v>
      </c>
    </row>
    <row r="19" spans="2:18">
      <c r="B19" s="29" t="s">
        <v>7</v>
      </c>
      <c r="C19" s="24">
        <f>$I$28</f>
        <v>86.984117647058838</v>
      </c>
      <c r="D19" s="13"/>
      <c r="E19" s="20"/>
      <c r="F19" s="20"/>
      <c r="G19">
        <f t="shared" si="1"/>
        <v>46</v>
      </c>
      <c r="H19" s="2">
        <f t="shared" si="0"/>
        <v>12.777777777777777</v>
      </c>
      <c r="I19" s="3">
        <f>Table2[[#This Row],[velocity (m/s)]]/$C$8</f>
        <v>51.111111111111107</v>
      </c>
      <c r="J19" s="3">
        <f>Table2[[#This Row],[angular  velocity ]]*60/(2*PI())</f>
        <v>488.0751588151457</v>
      </c>
      <c r="Q19" s="51">
        <f t="shared" si="2"/>
        <v>46</v>
      </c>
      <c r="R19" s="3">
        <f>((Table2[[#This Row],[velocity (km/h)]]/3.6)/$C$8)*30/(2*PI())</f>
        <v>244.03757940757285</v>
      </c>
    </row>
    <row r="20" spans="2:18">
      <c r="B20" s="32" t="s">
        <v>29</v>
      </c>
      <c r="C20" s="30">
        <f>(C18*PI()/30)*C19</f>
        <v>3000.0000000000009</v>
      </c>
      <c r="D20" s="20"/>
      <c r="E20" s="21"/>
      <c r="F20" s="13"/>
      <c r="G20">
        <f t="shared" si="1"/>
        <v>48</v>
      </c>
      <c r="H20" s="2">
        <f t="shared" si="0"/>
        <v>13.333333333333332</v>
      </c>
      <c r="I20" s="3">
        <f>Table2[[#This Row],[velocity (m/s)]]/$C$8</f>
        <v>53.333333333333329</v>
      </c>
      <c r="J20" s="3">
        <f>Table2[[#This Row],[angular  velocity ]]*60/(2*PI())</f>
        <v>509.29581789406501</v>
      </c>
      <c r="Q20" s="50">
        <f t="shared" si="2"/>
        <v>48</v>
      </c>
      <c r="R20" s="3">
        <f>((Table2[[#This Row],[velocity (km/h)]]/3.6)/$C$8)*30/(2*PI())</f>
        <v>254.64790894703251</v>
      </c>
    </row>
    <row r="21" spans="2:18">
      <c r="B21" s="29" t="s">
        <v>31</v>
      </c>
      <c r="C21" s="55">
        <f>INDEX(Table2[velocity (km/h)],MATCH(C18,Table2[RPM],1))</f>
        <v>30</v>
      </c>
      <c r="D21" s="20"/>
      <c r="E21" s="21"/>
      <c r="F21" s="13"/>
      <c r="G21">
        <f t="shared" si="1"/>
        <v>50</v>
      </c>
      <c r="H21" s="2">
        <f t="shared" ref="H21:H22" si="3">G21/3.6</f>
        <v>13.888888888888889</v>
      </c>
      <c r="I21" s="3">
        <f>Table2[[#This Row],[velocity (m/s)]]/$C$8</f>
        <v>55.555555555555557</v>
      </c>
      <c r="J21" s="3">
        <f>Table2[[#This Row],[angular  velocity ]]*60/(2*PI())</f>
        <v>530.51647697298449</v>
      </c>
      <c r="Q21" s="51">
        <f t="shared" si="2"/>
        <v>50</v>
      </c>
      <c r="R21" s="3">
        <f>((Table2[[#This Row],[velocity (km/h)]]/3.6)/$C$8)*30/(2*PI())</f>
        <v>265.25823848649225</v>
      </c>
    </row>
    <row r="22" spans="2:18">
      <c r="B22" s="42" t="s">
        <v>24</v>
      </c>
      <c r="C22" s="42"/>
      <c r="D22" s="20"/>
      <c r="E22" s="21"/>
      <c r="F22" s="13"/>
      <c r="G22">
        <f t="shared" si="1"/>
        <v>52</v>
      </c>
      <c r="H22" s="2">
        <f t="shared" si="3"/>
        <v>14.444444444444445</v>
      </c>
      <c r="I22" s="3">
        <f>Table2[[#This Row],[velocity (m/s)]]/$C$8</f>
        <v>57.777777777777779</v>
      </c>
      <c r="J22" s="3">
        <f>Table2[[#This Row],[angular  velocity ]]*60/(2*PI())</f>
        <v>551.7371360519038</v>
      </c>
      <c r="Q22" s="50">
        <f t="shared" si="2"/>
        <v>52</v>
      </c>
      <c r="R22" s="3">
        <f>((Table2[[#This Row],[velocity (km/h)]]/3.6)/$C$8)*30/(2*PI())</f>
        <v>275.8685680259519</v>
      </c>
    </row>
    <row r="23" spans="2:18">
      <c r="B23" s="33" t="s">
        <v>27</v>
      </c>
      <c r="C23" s="34">
        <f>I28/C16</f>
        <v>13.663433248949515</v>
      </c>
      <c r="D23" s="20" t="s">
        <v>45</v>
      </c>
      <c r="E23" s="21"/>
      <c r="F23" s="13"/>
      <c r="G23">
        <f t="shared" si="1"/>
        <v>54</v>
      </c>
      <c r="H23" s="2">
        <f>G23/3.6</f>
        <v>15</v>
      </c>
      <c r="I23" s="3">
        <f>Table2[[#This Row],[velocity (m/s)]]/$C$8</f>
        <v>60</v>
      </c>
      <c r="J23" s="3">
        <f>Table2[[#This Row],[angular  velocity ]]*60/(2*PI())</f>
        <v>572.95779513082323</v>
      </c>
      <c r="Q23" s="51">
        <f t="shared" si="2"/>
        <v>54</v>
      </c>
      <c r="R23" s="3">
        <f>((Table2[[#This Row],[velocity (km/h)]]/3.6)/$C$8)*30/(2*PI())</f>
        <v>286.47889756541161</v>
      </c>
    </row>
    <row r="24" spans="2:18" ht="17" thickBot="1">
      <c r="B24" s="23" t="s">
        <v>25</v>
      </c>
      <c r="C24" s="24">
        <v>8</v>
      </c>
      <c r="D24" s="20" t="s">
        <v>46</v>
      </c>
      <c r="E24" s="21"/>
      <c r="F24" s="13"/>
    </row>
    <row r="25" spans="2:18" ht="17" thickBot="1">
      <c r="B25" s="25" t="s">
        <v>26</v>
      </c>
      <c r="C25" s="24">
        <f>C24*C23</f>
        <v>109.30746599159612</v>
      </c>
      <c r="D25" s="22"/>
      <c r="E25" s="13"/>
      <c r="F25" s="13"/>
      <c r="G25" s="36" t="s">
        <v>9</v>
      </c>
      <c r="H25" s="37"/>
      <c r="I25" s="38"/>
    </row>
    <row r="26" spans="2:18">
      <c r="G26" s="12" t="s">
        <v>17</v>
      </c>
      <c r="H26" s="12" t="s">
        <v>16</v>
      </c>
      <c r="I26" s="12" t="s">
        <v>18</v>
      </c>
    </row>
    <row r="27" spans="2:18" ht="34">
      <c r="G27" s="9" t="s">
        <v>20</v>
      </c>
      <c r="H27" s="8" t="s">
        <v>36</v>
      </c>
      <c r="I27" s="10">
        <f>E9*C8/C10 * (1+0.1)</f>
        <v>19.042941176470592</v>
      </c>
    </row>
    <row r="28" spans="2:18" ht="68">
      <c r="G28" s="11" t="s">
        <v>37</v>
      </c>
      <c r="H28" s="5" t="s">
        <v>35</v>
      </c>
      <c r="I28" s="6">
        <f>((E9+C6*C7)*C8/C10) * (1 +0.1)</f>
        <v>86.984117647058838</v>
      </c>
    </row>
    <row r="35" spans="8:8">
      <c r="H35" s="2"/>
    </row>
    <row r="36" spans="8:8">
      <c r="H36" s="2"/>
    </row>
  </sheetData>
  <mergeCells count="9">
    <mergeCell ref="Q4:R4"/>
    <mergeCell ref="L4:M4"/>
    <mergeCell ref="G25:I25"/>
    <mergeCell ref="B4:E4"/>
    <mergeCell ref="B22:C22"/>
    <mergeCell ref="B12:C12"/>
    <mergeCell ref="G4:J4"/>
    <mergeCell ref="B13:C13"/>
    <mergeCell ref="B17:C17"/>
  </mergeCell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r_gear_ratio</vt:lpstr>
      <vt:lpstr>r_input_params</vt:lpstr>
      <vt:lpstr>r_rpm_velocity</vt:lpstr>
      <vt:lpstr>r_torque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BHANDARI</dc:creator>
  <cp:lastModifiedBy>Ryan BHANDARI</cp:lastModifiedBy>
  <dcterms:created xsi:type="dcterms:W3CDTF">2025-04-21T13:16:04Z</dcterms:created>
  <dcterms:modified xsi:type="dcterms:W3CDTF">2025-04-29T12:23:11Z</dcterms:modified>
</cp:coreProperties>
</file>