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ronitbhandari/Desktop/VELOX/Motor_calculations/"/>
    </mc:Choice>
  </mc:AlternateContent>
  <xr:revisionPtr revIDLastSave="0" documentId="13_ncr:1_{17E10C3D-E4D0-B543-8F49-5B7A76A53242}" xr6:coauthVersionLast="47" xr6:coauthVersionMax="47" xr10:uidLastSave="{00000000-0000-0000-0000-000000000000}"/>
  <bookViews>
    <workbookView xWindow="4440" yWindow="740" windowWidth="2496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C15" i="1"/>
  <c r="K2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3" i="1"/>
  <c r="C7" i="1"/>
  <c r="I4" i="1"/>
  <c r="I5" i="1" s="1"/>
  <c r="M3" i="1"/>
  <c r="J3" i="1"/>
  <c r="L3" i="1" l="1"/>
  <c r="N3" i="1" s="1"/>
  <c r="L5" i="1"/>
  <c r="J5" i="1"/>
  <c r="M5" i="1"/>
  <c r="I6" i="1"/>
  <c r="J4" i="1"/>
  <c r="M4" i="1"/>
  <c r="L4" i="1"/>
  <c r="N4" i="1" l="1"/>
  <c r="N5" i="1"/>
  <c r="M6" i="1"/>
  <c r="L6" i="1"/>
  <c r="J6" i="1"/>
  <c r="I7" i="1"/>
  <c r="N6" i="1" l="1"/>
  <c r="M7" i="1"/>
  <c r="I8" i="1"/>
  <c r="L7" i="1"/>
  <c r="N7" i="1" s="1"/>
  <c r="J7" i="1"/>
  <c r="I9" i="1" l="1"/>
  <c r="M8" i="1"/>
  <c r="L8" i="1"/>
  <c r="J8" i="1"/>
  <c r="N8" i="1" l="1"/>
  <c r="J9" i="1"/>
  <c r="I10" i="1"/>
  <c r="M9" i="1"/>
  <c r="L9" i="1"/>
  <c r="N9" i="1" l="1"/>
  <c r="L10" i="1"/>
  <c r="J10" i="1"/>
  <c r="M10" i="1"/>
  <c r="I11" i="1"/>
  <c r="N10" i="1" l="1"/>
  <c r="M11" i="1"/>
  <c r="L11" i="1"/>
  <c r="N11" i="1" s="1"/>
  <c r="J11" i="1"/>
  <c r="I12" i="1"/>
  <c r="I13" i="1" l="1"/>
  <c r="I14" i="1" s="1"/>
  <c r="M14" i="1" s="1"/>
  <c r="M12" i="1"/>
  <c r="L12" i="1"/>
  <c r="N12" i="1" s="1"/>
  <c r="J12" i="1"/>
  <c r="J14" i="1" l="1"/>
  <c r="L14" i="1"/>
  <c r="N14" i="1" s="1"/>
  <c r="J13" i="1"/>
  <c r="L13" i="1"/>
  <c r="M13" i="1"/>
  <c r="N13" i="1" l="1"/>
  <c r="I15" i="1"/>
  <c r="M15" i="1" l="1"/>
  <c r="J15" i="1"/>
  <c r="I16" i="1"/>
  <c r="I17" i="1" l="1"/>
  <c r="M16" i="1"/>
  <c r="J16" i="1"/>
  <c r="J17" i="1" l="1"/>
  <c r="I18" i="1"/>
  <c r="M17" i="1"/>
  <c r="L18" i="1" l="1"/>
  <c r="J18" i="1"/>
  <c r="I19" i="1"/>
  <c r="M18" i="1"/>
  <c r="N18" i="1" l="1"/>
  <c r="M19" i="1"/>
  <c r="L19" i="1"/>
  <c r="N19" i="1" s="1"/>
  <c r="J19" i="1"/>
  <c r="I20" i="1"/>
  <c r="I21" i="1" l="1"/>
  <c r="M20" i="1"/>
  <c r="L20" i="1"/>
  <c r="N20" i="1" s="1"/>
  <c r="J20" i="1"/>
  <c r="J21" i="1" l="1"/>
  <c r="I22" i="1"/>
  <c r="M21" i="1"/>
  <c r="L22" i="1" l="1"/>
  <c r="J22" i="1"/>
  <c r="I23" i="1"/>
  <c r="M22" i="1"/>
  <c r="N22" i="1" l="1"/>
  <c r="M23" i="1"/>
  <c r="L23" i="1"/>
  <c r="J23" i="1"/>
  <c r="L21" i="1"/>
  <c r="N21" i="1" s="1"/>
  <c r="L15" i="1"/>
  <c r="N15" i="1" s="1"/>
  <c r="L16" i="1"/>
  <c r="N16" i="1" s="1"/>
  <c r="L17" i="1"/>
  <c r="N17" i="1" s="1"/>
  <c r="N23" i="1" l="1"/>
  <c r="C17" i="1" a="1"/>
  <c r="C17" i="1" s="1"/>
  <c r="C19" i="1" a="1"/>
  <c r="C19" i="1" s="1"/>
  <c r="C18" i="1" a="1"/>
  <c r="C18" i="1" s="1"/>
  <c r="C2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<sst xmlns="http://schemas.openxmlformats.org/spreadsheetml/2006/main" count="40" uniqueCount="36">
  <si>
    <t>Quantity</t>
  </si>
  <si>
    <t>Value</t>
  </si>
  <si>
    <t>velocity (m/s) (TARGET VALUE)</t>
  </si>
  <si>
    <t>(REQUIRED) velocity (km/h)</t>
  </si>
  <si>
    <t>(REQUIRED) Thrust force (N)</t>
  </si>
  <si>
    <t>(REQUIRED) Torque (Nm)</t>
  </si>
  <si>
    <t>(REQUIRED) RPM</t>
  </si>
  <si>
    <t>(REQUIRED) Power (W)</t>
  </si>
  <si>
    <t>mass (kg)</t>
  </si>
  <si>
    <t>time to reach velocity (s)</t>
  </si>
  <si>
    <t>Friction constant</t>
  </si>
  <si>
    <t>Friction (N)</t>
  </si>
  <si>
    <t>dP/a</t>
  </si>
  <si>
    <t>CALCULATE GEAR RATIO</t>
  </si>
  <si>
    <t>Listed Power Rating</t>
  </si>
  <si>
    <t>Listed RPM</t>
  </si>
  <si>
    <t>Torque</t>
  </si>
  <si>
    <t>RPM</t>
  </si>
  <si>
    <t>Listed Values</t>
  </si>
  <si>
    <t>Target Torque</t>
  </si>
  <si>
    <t>Target RPM</t>
  </si>
  <si>
    <t>Gear Ratio</t>
  </si>
  <si>
    <t>Resultant:</t>
  </si>
  <si>
    <t>RPM Priority</t>
  </si>
  <si>
    <t>Torque Priority</t>
  </si>
  <si>
    <r>
      <t xml:space="preserve">Target Values  </t>
    </r>
    <r>
      <rPr>
        <b/>
        <i/>
        <sz val="11"/>
        <color theme="1"/>
        <rFont val="Calibri"/>
        <family val="2"/>
        <scheme val="minor"/>
      </rPr>
      <t>(Take these from the table to the right, RPM )</t>
    </r>
  </si>
  <si>
    <t>a</t>
  </si>
  <si>
    <t>b</t>
  </si>
  <si>
    <t>Midpoint</t>
  </si>
  <si>
    <t>Calculated Torque</t>
  </si>
  <si>
    <t>Power</t>
  </si>
  <si>
    <t>*pi</t>
  </si>
  <si>
    <t>/30</t>
  </si>
  <si>
    <t>tire radius (m)</t>
  </si>
  <si>
    <t>*3.6 (conversion)</t>
  </si>
  <si>
    <t>Closest Power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</si>
</sst>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/>
    <xf numFmtId="4" fontId="2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4" fontId="1" fillId="2" borderId="2" xfId="0" applyNumberFormat="1" applyFont="1" applyFill="1" applyBorder="1" applyAlignment="1">
      <alignment horizontal="right"/>
    </xf>
    <xf numFmtId="3" fontId="0" fillId="0" borderId="0" xfId="0" applyNumberFormat="1"/>
    <xf numFmtId="4" fontId="2" fillId="3" borderId="1" xfId="0" applyNumberFormat="1" applyFont="1" applyFill="1" applyBorder="1" applyAlignment="1">
      <alignment horizontal="left"/>
    </xf>
    <xf numFmtId="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" fontId="3" fillId="0" borderId="0" xfId="0" applyNumberFormat="1" applyFont="1"/>
    <xf numFmtId="0" fontId="4" fillId="0" borderId="0" xfId="0" applyFont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4" fontId="3" fillId="0" borderId="3" xfId="0" applyNumberFormat="1" applyFont="1" applyBorder="1"/>
    <xf numFmtId="0" fontId="3" fillId="0" borderId="4" xfId="0" applyFont="1" applyBorder="1" applyAlignment="1">
      <alignment horizontal="left"/>
    </xf>
    <xf numFmtId="4" fontId="0" fillId="0" borderId="5" xfId="0" applyNumberFormat="1" applyBorder="1"/>
    <xf numFmtId="4" fontId="0" fillId="0" borderId="6" xfId="0" applyNumberFormat="1" applyBorder="1"/>
    <xf numFmtId="4" fontId="0" fillId="0" borderId="7" xfId="0" applyNumberFormat="1" applyBorder="1"/>
    <xf numFmtId="4" fontId="3" fillId="0" borderId="7" xfId="0" applyNumberFormat="1" applyFont="1" applyBorder="1"/>
    <xf numFmtId="164" fontId="0" fillId="0" borderId="7" xfId="0" applyNumberFormat="1" applyBorder="1"/>
    <xf numFmtId="3" fontId="0" fillId="0" borderId="7" xfId="0" applyNumberFormat="1" applyBorder="1"/>
    <xf numFmtId="0" fontId="3" fillId="0" borderId="7" xfId="0" applyFont="1" applyBorder="1" applyAlignment="1">
      <alignment horizontal="center"/>
    </xf>
    <xf numFmtId="4" fontId="0" fillId="0" borderId="1" xfId="0" applyNumberFormat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4" fontId="3" fillId="0" borderId="3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3" fillId="0" borderId="7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1">
    <dxf>
      <numFmt numFmtId="4" formatCode="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2:N23" totalsRowShown="0">
  <autoFilter ref="I2:N23" xr:uid="{00000000-0009-0000-0100-000001000000}"/>
  <tableColumns count="6">
    <tableColumn id="1" xr3:uid="{00000000-0010-0000-0000-000001000000}" name="velocity (m/s) (TARGET VALUE)"/>
    <tableColumn id="2" xr3:uid="{00000000-0010-0000-0000-000002000000}" name="(REQUIRED) velocity (km/h)"/>
    <tableColumn id="3" xr3:uid="{00000000-0010-0000-0000-000003000000}" name="(REQUIRED) Thrust force (N)">
      <calculatedColumnFormula>I3/$C$5 *$C$3</calculatedColumnFormula>
    </tableColumn>
    <tableColumn id="4" xr3:uid="{00000000-0010-0000-0000-000004000000}" name="(REQUIRED) Torque (Nm)"/>
    <tableColumn id="5" xr3:uid="{00000000-0010-0000-0000-000005000000}" name="(REQUIRED) RPM"/>
    <tableColumn id="6" xr3:uid="{00000000-0010-0000-0000-000006000000}" name="(REQUIRED) Power (W)" dataDxfId="0">
      <calculatedColumnFormula>L3*M3*PI()/30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2:C7" totalsRowShown="0">
  <autoFilter ref="B2:C7" xr:uid="{00000000-0009-0000-0100-000002000000}"/>
  <tableColumns count="2">
    <tableColumn id="1" xr3:uid="{00000000-0010-0000-0100-000001000000}" name="Quantity"/>
    <tableColumn id="2" xr3:uid="{00000000-0010-0000-0100-000002000000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2:S39"/>
  <sheetViews>
    <sheetView tabSelected="1" topLeftCell="G1" zoomScale="91" workbookViewId="0">
      <selection activeCell="N15" sqref="N15"/>
    </sheetView>
  </sheetViews>
  <sheetFormatPr baseColWidth="10" defaultColWidth="8.83203125" defaultRowHeight="15" x14ac:dyDescent="0.2"/>
  <cols>
    <col min="2" max="2" width="23.33203125" customWidth="1"/>
    <col min="3" max="3" width="22.5" style="5" customWidth="1"/>
    <col min="4" max="7" width="12.83203125" style="5" bestFit="1" customWidth="1"/>
    <col min="8" max="8" width="12.1640625" bestFit="1" customWidth="1"/>
    <col min="9" max="9" width="27.1640625" style="9" bestFit="1" customWidth="1"/>
    <col min="10" max="10" width="25.83203125" style="5" bestFit="1" customWidth="1"/>
    <col min="11" max="11" width="26.83203125" style="9" bestFit="1" customWidth="1"/>
    <col min="12" max="12" width="23.83203125" style="5" bestFit="1" customWidth="1"/>
    <col min="13" max="13" width="16.5" style="5" bestFit="1" customWidth="1"/>
    <col min="14" max="14" width="22" style="5" bestFit="1" customWidth="1"/>
    <col min="15" max="15" width="12.5" bestFit="1" customWidth="1"/>
    <col min="16" max="16" width="89.83203125" bestFit="1" customWidth="1"/>
    <col min="17" max="19" width="12.5" bestFit="1" customWidth="1"/>
  </cols>
  <sheetData>
    <row r="2" spans="2:14" ht="18.75" customHeight="1" x14ac:dyDescent="0.2">
      <c r="B2" t="s">
        <v>0</v>
      </c>
      <c r="C2" s="1" t="s">
        <v>1</v>
      </c>
      <c r="D2" s="1"/>
      <c r="E2" s="1"/>
      <c r="F2" s="1"/>
      <c r="G2" s="1"/>
      <c r="I2" s="2" t="s">
        <v>2</v>
      </c>
      <c r="J2" s="10" t="s">
        <v>3</v>
      </c>
      <c r="K2" s="2" t="s">
        <v>4</v>
      </c>
      <c r="L2" s="3" t="s">
        <v>5</v>
      </c>
      <c r="M2" s="3" t="s">
        <v>6</v>
      </c>
      <c r="N2" s="10" t="s">
        <v>7</v>
      </c>
    </row>
    <row r="3" spans="2:14" ht="18.75" customHeight="1" x14ac:dyDescent="0.2">
      <c r="B3" t="s">
        <v>8</v>
      </c>
      <c r="C3" s="4">
        <v>300</v>
      </c>
      <c r="D3" s="4"/>
      <c r="E3" s="4"/>
      <c r="F3" s="4"/>
      <c r="G3" s="4"/>
      <c r="I3" s="4">
        <v>0</v>
      </c>
      <c r="J3" s="1">
        <f t="shared" ref="J3:J12" si="0">I3 * 3.6</f>
        <v>0</v>
      </c>
      <c r="K3" s="4">
        <f>I3/$C$5 *$C$3</f>
        <v>0</v>
      </c>
      <c r="L3" s="1">
        <f t="shared" ref="L3:L12" si="1">(K3+$C$7)*$C$4</f>
        <v>36.787500000000001</v>
      </c>
      <c r="M3" s="4">
        <f t="shared" ref="M3:M12" si="2">60*I3/2*PI()*$C$4</f>
        <v>0</v>
      </c>
      <c r="N3" s="1">
        <f t="shared" ref="N3:N12" si="3">L3*M3*PI()/30</f>
        <v>0</v>
      </c>
    </row>
    <row r="4" spans="2:14" ht="18.75" customHeight="1" x14ac:dyDescent="0.2">
      <c r="B4" t="s">
        <v>33</v>
      </c>
      <c r="C4" s="1">
        <v>0.125</v>
      </c>
      <c r="D4" s="1"/>
      <c r="E4" s="1"/>
      <c r="F4" s="1"/>
      <c r="G4" s="1"/>
      <c r="I4" s="4">
        <f t="shared" ref="I4:I12" si="4">I3+1</f>
        <v>1</v>
      </c>
      <c r="J4" s="1">
        <f t="shared" si="0"/>
        <v>3.6</v>
      </c>
      <c r="K4" s="4">
        <f t="shared" ref="K4:K23" si="5">I4/$C$5 *$C$3</f>
        <v>25</v>
      </c>
      <c r="L4" s="1">
        <f t="shared" si="1"/>
        <v>39.912500000000001</v>
      </c>
      <c r="M4" s="1">
        <f t="shared" si="2"/>
        <v>11.780972450961723</v>
      </c>
      <c r="N4" s="1">
        <f t="shared" si="3"/>
        <v>49.240073207309869</v>
      </c>
    </row>
    <row r="5" spans="2:14" ht="18.75" customHeight="1" x14ac:dyDescent="0.2">
      <c r="B5" t="s">
        <v>9</v>
      </c>
      <c r="C5" s="4">
        <v>12</v>
      </c>
      <c r="D5" s="4"/>
      <c r="E5" s="4"/>
      <c r="F5" s="4"/>
      <c r="G5" s="4"/>
      <c r="I5" s="4">
        <f t="shared" si="4"/>
        <v>2</v>
      </c>
      <c r="J5" s="1">
        <f t="shared" si="0"/>
        <v>7.2</v>
      </c>
      <c r="K5" s="4">
        <f t="shared" si="5"/>
        <v>50</v>
      </c>
      <c r="L5" s="1">
        <f t="shared" si="1"/>
        <v>43.037500000000001</v>
      </c>
      <c r="M5" s="1">
        <f t="shared" si="2"/>
        <v>23.561944901923447</v>
      </c>
      <c r="N5" s="1">
        <f t="shared" si="3"/>
        <v>106.1907748529708</v>
      </c>
    </row>
    <row r="6" spans="2:14" ht="18.75" customHeight="1" x14ac:dyDescent="0.2">
      <c r="B6" t="s">
        <v>10</v>
      </c>
      <c r="C6" s="1">
        <v>0.1</v>
      </c>
      <c r="D6" s="1"/>
      <c r="E6" s="1"/>
      <c r="F6" s="1"/>
      <c r="G6" s="1"/>
      <c r="I6" s="4">
        <f t="shared" si="4"/>
        <v>3</v>
      </c>
      <c r="J6" s="1">
        <f t="shared" si="0"/>
        <v>10.8</v>
      </c>
      <c r="K6" s="4">
        <f t="shared" si="5"/>
        <v>75</v>
      </c>
      <c r="L6" s="1">
        <f t="shared" si="1"/>
        <v>46.162500000000001</v>
      </c>
      <c r="M6" s="1">
        <f t="shared" si="2"/>
        <v>35.342917352885173</v>
      </c>
      <c r="N6" s="1">
        <f t="shared" si="3"/>
        <v>170.85210493698284</v>
      </c>
    </row>
    <row r="7" spans="2:14" ht="18.75" customHeight="1" x14ac:dyDescent="0.2">
      <c r="B7" t="s">
        <v>11</v>
      </c>
      <c r="C7" s="1">
        <f>C3*9.81*C6</f>
        <v>294.3</v>
      </c>
      <c r="D7" s="1"/>
      <c r="E7" s="1"/>
      <c r="F7" s="1"/>
      <c r="G7" s="1"/>
      <c r="I7" s="4">
        <f t="shared" si="4"/>
        <v>4</v>
      </c>
      <c r="J7" s="1">
        <f t="shared" si="0"/>
        <v>14.4</v>
      </c>
      <c r="K7" s="4">
        <f t="shared" si="5"/>
        <v>100</v>
      </c>
      <c r="L7" s="1">
        <f t="shared" si="1"/>
        <v>49.287500000000001</v>
      </c>
      <c r="M7" s="1">
        <f t="shared" si="2"/>
        <v>47.123889803846893</v>
      </c>
      <c r="N7" s="1">
        <f t="shared" si="3"/>
        <v>243.22406345934584</v>
      </c>
    </row>
    <row r="8" spans="2:14" ht="18.75" customHeight="1" x14ac:dyDescent="0.2">
      <c r="I8" s="4">
        <f t="shared" si="4"/>
        <v>5</v>
      </c>
      <c r="J8" s="1">
        <f t="shared" si="0"/>
        <v>18</v>
      </c>
      <c r="K8" s="4">
        <f t="shared" si="5"/>
        <v>125</v>
      </c>
      <c r="L8" s="1">
        <f t="shared" si="1"/>
        <v>52.412500000000001</v>
      </c>
      <c r="M8" s="1">
        <f t="shared" si="2"/>
        <v>58.90486225480862</v>
      </c>
      <c r="N8" s="1">
        <f t="shared" si="3"/>
        <v>323.30665042005995</v>
      </c>
    </row>
    <row r="9" spans="2:14" ht="18.75" customHeight="1" x14ac:dyDescent="0.2">
      <c r="I9" s="4">
        <f t="shared" si="4"/>
        <v>6</v>
      </c>
      <c r="J9" s="1">
        <f t="shared" si="0"/>
        <v>21.6</v>
      </c>
      <c r="K9" s="4">
        <f t="shared" si="5"/>
        <v>150</v>
      </c>
      <c r="L9" s="1">
        <f t="shared" si="1"/>
        <v>55.537500000000001</v>
      </c>
      <c r="M9" s="1">
        <f t="shared" si="2"/>
        <v>70.685834705770347</v>
      </c>
      <c r="N9" s="1">
        <f t="shared" si="3"/>
        <v>411.09986581912523</v>
      </c>
    </row>
    <row r="10" spans="2:14" ht="18.75" customHeight="1" thickBot="1" x14ac:dyDescent="0.25">
      <c r="I10" s="4">
        <f t="shared" si="4"/>
        <v>7</v>
      </c>
      <c r="J10" s="1">
        <f t="shared" si="0"/>
        <v>25.2</v>
      </c>
      <c r="K10" s="4">
        <f t="shared" si="5"/>
        <v>175</v>
      </c>
      <c r="L10" s="1">
        <f t="shared" si="1"/>
        <v>58.662500000000001</v>
      </c>
      <c r="M10" s="1">
        <f t="shared" si="2"/>
        <v>82.466807156732074</v>
      </c>
      <c r="N10" s="1">
        <f t="shared" si="3"/>
        <v>506.60370965654141</v>
      </c>
    </row>
    <row r="11" spans="2:14" ht="18.75" customHeight="1" thickBot="1" x14ac:dyDescent="0.25">
      <c r="B11" s="37" t="s">
        <v>13</v>
      </c>
      <c r="C11" s="38"/>
      <c r="D11" s="38"/>
      <c r="E11" s="38"/>
      <c r="F11" s="39"/>
      <c r="G11" s="16"/>
      <c r="I11" s="4">
        <f t="shared" si="4"/>
        <v>8</v>
      </c>
      <c r="J11" s="1">
        <f t="shared" si="0"/>
        <v>28.8</v>
      </c>
      <c r="K11" s="4">
        <f t="shared" si="5"/>
        <v>200</v>
      </c>
      <c r="L11" s="1">
        <f t="shared" si="1"/>
        <v>61.787500000000001</v>
      </c>
      <c r="M11" s="1">
        <f t="shared" si="2"/>
        <v>94.247779607693786</v>
      </c>
      <c r="N11" s="1">
        <f t="shared" si="3"/>
        <v>609.81818193230868</v>
      </c>
    </row>
    <row r="12" spans="2:14" ht="18.75" customHeight="1" x14ac:dyDescent="0.2">
      <c r="B12" s="35" t="s">
        <v>18</v>
      </c>
      <c r="C12" s="36"/>
      <c r="D12" s="35" t="s">
        <v>21</v>
      </c>
      <c r="E12" s="40"/>
      <c r="F12" s="36"/>
      <c r="G12" s="13"/>
      <c r="I12" s="4">
        <f t="shared" si="4"/>
        <v>9</v>
      </c>
      <c r="J12" s="1">
        <f t="shared" si="0"/>
        <v>32.4</v>
      </c>
      <c r="K12" s="4">
        <f t="shared" si="5"/>
        <v>225</v>
      </c>
      <c r="L12" s="1">
        <f t="shared" si="1"/>
        <v>64.912499999999994</v>
      </c>
      <c r="M12" s="1">
        <f t="shared" si="2"/>
        <v>106.02875205865551</v>
      </c>
      <c r="N12" s="1">
        <f t="shared" si="3"/>
        <v>720.74328264642691</v>
      </c>
    </row>
    <row r="13" spans="2:14" ht="18.75" customHeight="1" x14ac:dyDescent="0.2">
      <c r="B13" s="29" t="s">
        <v>14</v>
      </c>
      <c r="C13" s="23">
        <v>1800</v>
      </c>
      <c r="D13" s="17"/>
      <c r="E13" s="14" t="s">
        <v>26</v>
      </c>
      <c r="F13" s="27" t="s">
        <v>27</v>
      </c>
      <c r="I13" s="7">
        <f t="shared" ref="I13:I23" si="6">I12+1</f>
        <v>10</v>
      </c>
      <c r="J13" s="8">
        <f t="shared" ref="J13:J23" si="7">I13 * 3.6</f>
        <v>36</v>
      </c>
      <c r="K13" s="4">
        <f t="shared" si="5"/>
        <v>250</v>
      </c>
      <c r="L13" s="8">
        <f t="shared" ref="L13:L23" si="8">(K13+$C$7)*$C$4</f>
        <v>68.037499999999994</v>
      </c>
      <c r="M13" s="8">
        <f t="shared" ref="M13:M23" si="9">60*I13/2*PI()*$C$4</f>
        <v>117.80972450961724</v>
      </c>
      <c r="N13" s="1">
        <f t="shared" ref="N13:N23" si="10">L13*M13*PI()/30</f>
        <v>839.37901179889639</v>
      </c>
    </row>
    <row r="14" spans="2:14" ht="18.75" customHeight="1" x14ac:dyDescent="0.2">
      <c r="B14" s="30" t="s">
        <v>15</v>
      </c>
      <c r="C14" s="23">
        <v>4500</v>
      </c>
      <c r="D14" s="18" t="s">
        <v>23</v>
      </c>
      <c r="E14" s="9"/>
      <c r="F14" s="26"/>
      <c r="H14" s="6"/>
      <c r="I14" s="4">
        <f t="shared" si="6"/>
        <v>11</v>
      </c>
      <c r="J14" s="1">
        <f t="shared" si="7"/>
        <v>39.6</v>
      </c>
      <c r="K14" s="4">
        <f t="shared" si="5"/>
        <v>275</v>
      </c>
      <c r="L14" s="1">
        <f t="shared" si="8"/>
        <v>71.162499999999994</v>
      </c>
      <c r="M14" s="1">
        <f t="shared" si="9"/>
        <v>129.59069696057895</v>
      </c>
      <c r="N14" s="1">
        <f t="shared" si="10"/>
        <v>965.72536938971678</v>
      </c>
    </row>
    <row r="15" spans="2:14" ht="18.75" customHeight="1" x14ac:dyDescent="0.2">
      <c r="B15" s="30" t="s">
        <v>29</v>
      </c>
      <c r="C15" s="23">
        <f>(30/PI())*C13/C14</f>
        <v>3.819718634205489</v>
      </c>
      <c r="D15" s="19" t="s">
        <v>24</v>
      </c>
      <c r="E15" s="9"/>
      <c r="F15" s="25"/>
      <c r="I15" s="4">
        <f t="shared" si="6"/>
        <v>12</v>
      </c>
      <c r="J15" s="1">
        <f t="shared" si="7"/>
        <v>43.2</v>
      </c>
      <c r="K15" s="4">
        <f t="shared" si="5"/>
        <v>300</v>
      </c>
      <c r="L15" s="1">
        <f t="shared" si="8"/>
        <v>74.287499999999994</v>
      </c>
      <c r="M15" s="1">
        <f t="shared" si="9"/>
        <v>141.37166941154069</v>
      </c>
      <c r="N15" s="1">
        <f t="shared" si="10"/>
        <v>1099.7823554188883</v>
      </c>
    </row>
    <row r="16" spans="2:14" ht="18.75" customHeight="1" x14ac:dyDescent="0.2">
      <c r="B16" s="35" t="s">
        <v>25</v>
      </c>
      <c r="C16" s="36"/>
      <c r="D16" s="19" t="s">
        <v>28</v>
      </c>
      <c r="F16" s="23"/>
      <c r="I16" s="4">
        <f t="shared" si="6"/>
        <v>13</v>
      </c>
      <c r="J16" s="1">
        <f t="shared" si="7"/>
        <v>46.800000000000004</v>
      </c>
      <c r="K16" s="4">
        <f t="shared" si="5"/>
        <v>325</v>
      </c>
      <c r="L16" s="1">
        <f t="shared" si="8"/>
        <v>77.412499999999994</v>
      </c>
      <c r="M16" s="1">
        <f t="shared" si="9"/>
        <v>153.15264186250241</v>
      </c>
      <c r="N16" s="1">
        <f t="shared" si="10"/>
        <v>1241.549969886411</v>
      </c>
    </row>
    <row r="17" spans="2:14" ht="18.75" customHeight="1" x14ac:dyDescent="0.2">
      <c r="B17" s="30" t="s">
        <v>20</v>
      </c>
      <c r="C17" s="23" cm="1">
        <f t="array" ref="C17">INDEX(Table1[(REQUIRED) RPM],MATCH(MIN(ABS(Table1[(REQUIRED) Power (W)]- C13)), ABS(Table1[(REQUIRED) Power (W)]- C13), 0))</f>
        <v>200.27653166634931</v>
      </c>
      <c r="D17" s="32" t="s">
        <v>22</v>
      </c>
      <c r="E17" s="33"/>
      <c r="F17" s="34"/>
      <c r="G17" s="15"/>
      <c r="I17" s="4">
        <f t="shared" si="6"/>
        <v>14</v>
      </c>
      <c r="J17" s="1">
        <f t="shared" si="7"/>
        <v>50.4</v>
      </c>
      <c r="K17" s="4">
        <f t="shared" si="5"/>
        <v>350</v>
      </c>
      <c r="L17" s="1">
        <f t="shared" si="8"/>
        <v>80.537499999999994</v>
      </c>
      <c r="M17" s="1">
        <f t="shared" si="9"/>
        <v>164.93361431346415</v>
      </c>
      <c r="N17" s="1">
        <f t="shared" si="10"/>
        <v>1391.0282127922849</v>
      </c>
    </row>
    <row r="18" spans="2:14" ht="18.75" customHeight="1" x14ac:dyDescent="0.2">
      <c r="B18" s="30" t="s">
        <v>19</v>
      </c>
      <c r="C18" s="23" cm="1">
        <f t="array" ref="C18">INDEX(Table1[(REQUIRED) Torque (Nm)],MATCH(MIN(ABS(Table1[(REQUIRED) Power (W)]- C13)), ABS(Table1[(REQUIRED) Power (W)]- C13), 0))</f>
        <v>89.912499999999994</v>
      </c>
      <c r="D18" s="28"/>
      <c r="E18" s="15" t="s">
        <v>23</v>
      </c>
      <c r="F18" s="24" t="s">
        <v>24</v>
      </c>
      <c r="I18" s="4">
        <f t="shared" si="6"/>
        <v>15</v>
      </c>
      <c r="J18" s="1">
        <f t="shared" si="7"/>
        <v>54</v>
      </c>
      <c r="K18" s="4">
        <f t="shared" si="5"/>
        <v>375</v>
      </c>
      <c r="L18" s="1">
        <f t="shared" si="8"/>
        <v>83.662499999999994</v>
      </c>
      <c r="M18" s="1">
        <f t="shared" si="9"/>
        <v>176.71458676442586</v>
      </c>
      <c r="N18" s="1">
        <f t="shared" si="10"/>
        <v>1548.2170841365094</v>
      </c>
    </row>
    <row r="19" spans="2:14" ht="18.75" customHeight="1" x14ac:dyDescent="0.2">
      <c r="B19" s="31" t="s">
        <v>35</v>
      </c>
      <c r="C19" s="22" cm="1">
        <f t="array" ref="C19">INDEX(Table1[(REQUIRED) Power (W)],MATCH(MIN(ABS(Table1[(REQUIRED) Power (W)]- C13)), ABS(Table1[(REQUIRED) Power (W)]- C13), 0))</f>
        <v>1885.7267121400121</v>
      </c>
      <c r="D19" s="19" t="s">
        <v>17</v>
      </c>
      <c r="E19" s="12"/>
      <c r="F19" s="23"/>
      <c r="I19" s="4">
        <f t="shared" si="6"/>
        <v>16</v>
      </c>
      <c r="J19" s="1">
        <f t="shared" si="7"/>
        <v>57.6</v>
      </c>
      <c r="K19" s="4">
        <f t="shared" si="5"/>
        <v>400</v>
      </c>
      <c r="L19" s="1">
        <f t="shared" si="8"/>
        <v>86.787499999999994</v>
      </c>
      <c r="M19" s="1">
        <f t="shared" si="9"/>
        <v>188.49555921538757</v>
      </c>
      <c r="N19" s="1">
        <f t="shared" si="10"/>
        <v>1713.1165839190851</v>
      </c>
    </row>
    <row r="20" spans="2:14" ht="18.75" customHeight="1" x14ac:dyDescent="0.2">
      <c r="B20" s="13"/>
      <c r="D20" s="20" t="s">
        <v>16</v>
      </c>
      <c r="E20" s="21"/>
      <c r="F20" s="22"/>
      <c r="I20" s="4">
        <f t="shared" si="6"/>
        <v>17</v>
      </c>
      <c r="J20" s="1">
        <f t="shared" si="7"/>
        <v>61.2</v>
      </c>
      <c r="K20" s="4">
        <f t="shared" si="5"/>
        <v>425</v>
      </c>
      <c r="L20" s="1">
        <f t="shared" si="8"/>
        <v>89.912499999999994</v>
      </c>
      <c r="M20" s="1">
        <f t="shared" si="9"/>
        <v>200.27653166634931</v>
      </c>
      <c r="N20" s="1">
        <f t="shared" si="10"/>
        <v>1885.7267121400121</v>
      </c>
    </row>
    <row r="21" spans="2:14" ht="18.75" customHeight="1" x14ac:dyDescent="0.2">
      <c r="B21" s="13"/>
      <c r="D21" s="28"/>
      <c r="I21" s="4">
        <f t="shared" si="6"/>
        <v>18</v>
      </c>
      <c r="J21" s="1">
        <f t="shared" si="7"/>
        <v>64.8</v>
      </c>
      <c r="K21" s="4">
        <f t="shared" si="5"/>
        <v>450</v>
      </c>
      <c r="L21" s="1">
        <f t="shared" si="8"/>
        <v>93.037499999999994</v>
      </c>
      <c r="M21" s="1">
        <f t="shared" si="9"/>
        <v>212.05750411731103</v>
      </c>
      <c r="N21" s="1">
        <f t="shared" si="10"/>
        <v>2066.0474687992896</v>
      </c>
    </row>
    <row r="22" spans="2:14" ht="18.75" customHeight="1" x14ac:dyDescent="0.2">
      <c r="I22" s="4">
        <f t="shared" si="6"/>
        <v>19</v>
      </c>
      <c r="J22" s="1">
        <f t="shared" si="7"/>
        <v>68.400000000000006</v>
      </c>
      <c r="K22" s="4">
        <f t="shared" si="5"/>
        <v>475</v>
      </c>
      <c r="L22" s="1">
        <f t="shared" si="8"/>
        <v>96.162499999999994</v>
      </c>
      <c r="M22" s="1">
        <f t="shared" si="9"/>
        <v>223.83847656827277</v>
      </c>
      <c r="N22" s="1">
        <f t="shared" si="10"/>
        <v>2254.0788538969191</v>
      </c>
    </row>
    <row r="23" spans="2:14" ht="18.75" customHeight="1" x14ac:dyDescent="0.2">
      <c r="C23" s="5">
        <f>C17*C18*PI()/30</f>
        <v>1885.7267121400121</v>
      </c>
      <c r="E23" s="5">
        <f>3.82*15</f>
        <v>57.3</v>
      </c>
      <c r="I23" s="4">
        <f t="shared" si="6"/>
        <v>20</v>
      </c>
      <c r="J23" s="1">
        <f t="shared" si="7"/>
        <v>72</v>
      </c>
      <c r="K23" s="4">
        <f>I23/$C$5 *$C$3</f>
        <v>500</v>
      </c>
      <c r="L23" s="1">
        <f t="shared" si="8"/>
        <v>99.287499999999994</v>
      </c>
      <c r="M23" s="1">
        <f t="shared" si="9"/>
        <v>235.61944901923448</v>
      </c>
      <c r="N23" s="1">
        <f t="shared" si="10"/>
        <v>2449.8208674328989</v>
      </c>
    </row>
    <row r="24" spans="2:14" ht="17.25" customHeight="1" x14ac:dyDescent="0.2"/>
    <row r="25" spans="2:14" ht="17.25" customHeight="1" x14ac:dyDescent="0.2"/>
    <row r="26" spans="2:14" ht="17.25" customHeight="1" x14ac:dyDescent="0.2">
      <c r="C26" s="5" t="s">
        <v>30</v>
      </c>
      <c r="D26" s="5" t="s">
        <v>17</v>
      </c>
      <c r="E26" s="5" t="s">
        <v>16</v>
      </c>
      <c r="F26" s="5" t="s">
        <v>31</v>
      </c>
      <c r="G26" s="5" t="s">
        <v>32</v>
      </c>
      <c r="J26" s="5" t="s">
        <v>34</v>
      </c>
    </row>
    <row r="27" spans="2:14" ht="17.25" customHeight="1" x14ac:dyDescent="0.2"/>
    <row r="29" spans="2:14" ht="17.25" customHeight="1" x14ac:dyDescent="0.2"/>
    <row r="30" spans="2:14" ht="17.25" customHeight="1" x14ac:dyDescent="0.2"/>
    <row r="31" spans="2:14" ht="17.25" customHeight="1" x14ac:dyDescent="0.2">
      <c r="J31" s="11"/>
    </row>
    <row r="32" spans="2:14" ht="17.25" customHeight="1" x14ac:dyDescent="0.2"/>
    <row r="33" spans="19:19" ht="17.25" customHeight="1" x14ac:dyDescent="0.2"/>
    <row r="34" spans="19:19" ht="17.25" customHeight="1" x14ac:dyDescent="0.2"/>
    <row r="35" spans="19:19" ht="17.25" customHeight="1" x14ac:dyDescent="0.2"/>
    <row r="36" spans="19:19" ht="17.25" customHeight="1" x14ac:dyDescent="0.2"/>
    <row r="37" spans="19:19" ht="17.25" customHeight="1" x14ac:dyDescent="0.2"/>
    <row r="38" spans="19:19" ht="17.25" customHeight="1" x14ac:dyDescent="0.2"/>
    <row r="39" spans="19:19" ht="17.25" customHeight="1" x14ac:dyDescent="0.2">
      <c r="S39" t="s">
        <v>12</v>
      </c>
    </row>
  </sheetData>
  <mergeCells count="5">
    <mergeCell ref="D17:F17"/>
    <mergeCell ref="B16:C16"/>
    <mergeCell ref="B12:C12"/>
    <mergeCell ref="B11:F11"/>
    <mergeCell ref="D12:F12"/>
  </mergeCells>
  <conditionalFormatting sqref="B22">
    <cfRule type="colorScale" priority="1">
      <colorScale>
        <cfvo type="num" val="0"/>
        <cfvo type="num" val="1"/>
        <color rgb="FFFF0000"/>
        <color rgb="FF00B050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Ronit BHANDARI</cp:lastModifiedBy>
  <dcterms:created xsi:type="dcterms:W3CDTF">2025-04-18T03:04:20Z</dcterms:created>
  <dcterms:modified xsi:type="dcterms:W3CDTF">2025-04-21T13:16:15Z</dcterms:modified>
</cp:coreProperties>
</file>