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ramo\Desktop\Data Analytics Folder\Data Analytics Projects for Portfolio\"/>
    </mc:Choice>
  </mc:AlternateContent>
  <xr:revisionPtr revIDLastSave="0" documentId="13_ncr:1_{55240048-8E64-4BA0-A021-BB7CBDB86310}" xr6:coauthVersionLast="47" xr6:coauthVersionMax="47" xr10:uidLastSave="{00000000-0000-0000-0000-000000000000}"/>
  <bookViews>
    <workbookView xWindow="-108" yWindow="-108" windowWidth="23256" windowHeight="12576" firstSheet="6" activeTab="9" xr2:uid="{00000000-000D-0000-FFFF-FFFF00000000}"/>
  </bookViews>
  <sheets>
    <sheet name="Task 1 The Basics" sheetId="1" r:id="rId1"/>
    <sheet name="Task 2 Cell References" sheetId="2" r:id="rId2"/>
    <sheet name="Task 3 Basic Functions" sheetId="3" r:id="rId3"/>
    <sheet name="Task 4 Error Messages" sheetId="4" r:id="rId4"/>
    <sheet name="Task 5 Advanced Functions" sheetId="5" r:id="rId5"/>
    <sheet name="Task 6 Formatting &amp; Sorting" sheetId="6" r:id="rId6"/>
    <sheet name="Task 7a Analyse your expenses" sheetId="7" r:id="rId7"/>
    <sheet name="Task 7b Expense data" sheetId="8" r:id="rId8"/>
    <sheet name="Task 8 Basic charts" sheetId="9" r:id="rId9"/>
    <sheet name="Task 7 &amp; 8 Solution example" sheetId="10" r:id="rId10"/>
    <sheet name="Task 7 &amp; 8 Solution data" sheetId="11" r:id="rId11"/>
  </sheets>
  <definedNames>
    <definedName name="_xlnm._FilterDatabase" localSheetId="5" hidden="1">'Task 6 Formatting &amp; Sorting'!$B$16:$M$36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1" l="1"/>
  <c r="C101" i="11"/>
  <c r="B101" i="11"/>
  <c r="H100" i="11"/>
  <c r="C100" i="11"/>
  <c r="B100" i="11"/>
  <c r="H99" i="11"/>
  <c r="C99" i="11"/>
  <c r="B99" i="11"/>
  <c r="H98" i="11"/>
  <c r="C98" i="11"/>
  <c r="B98" i="11"/>
  <c r="H97" i="11"/>
  <c r="C97" i="11"/>
  <c r="B97" i="11"/>
  <c r="H96" i="11"/>
  <c r="C96" i="11"/>
  <c r="B96" i="11"/>
  <c r="H95" i="11"/>
  <c r="C95" i="11"/>
  <c r="B95" i="11"/>
  <c r="H94" i="11"/>
  <c r="C94" i="11"/>
  <c r="B94" i="11"/>
  <c r="H93" i="11"/>
  <c r="C93" i="11"/>
  <c r="B93" i="11"/>
  <c r="H92" i="11"/>
  <c r="C92" i="11"/>
  <c r="B92" i="11"/>
  <c r="H91" i="11"/>
  <c r="C91" i="11"/>
  <c r="B91" i="11"/>
  <c r="H90" i="11"/>
  <c r="C90" i="11"/>
  <c r="B90" i="11"/>
  <c r="H89" i="11"/>
  <c r="C89" i="11"/>
  <c r="H16" i="10" s="1"/>
  <c r="B89" i="11"/>
  <c r="H88" i="11"/>
  <c r="C88" i="11"/>
  <c r="B88" i="11"/>
  <c r="H87" i="11"/>
  <c r="C87" i="11"/>
  <c r="B87" i="11"/>
  <c r="H86" i="11"/>
  <c r="C86" i="11"/>
  <c r="B86" i="11"/>
  <c r="H85" i="11"/>
  <c r="C85" i="11"/>
  <c r="B85" i="11"/>
  <c r="H84" i="11"/>
  <c r="C84" i="11"/>
  <c r="B84" i="11"/>
  <c r="H83" i="11"/>
  <c r="C83" i="11"/>
  <c r="B83" i="11"/>
  <c r="H82" i="11"/>
  <c r="C82" i="11"/>
  <c r="B82" i="11"/>
  <c r="H81" i="11"/>
  <c r="C81" i="11"/>
  <c r="B81" i="11"/>
  <c r="H80" i="11"/>
  <c r="C80" i="11"/>
  <c r="B80" i="11"/>
  <c r="H79" i="11"/>
  <c r="C79" i="11"/>
  <c r="B79" i="11"/>
  <c r="H78" i="11"/>
  <c r="C78" i="11"/>
  <c r="B78" i="11"/>
  <c r="H77" i="11"/>
  <c r="C77" i="11"/>
  <c r="B77" i="11"/>
  <c r="H76" i="11"/>
  <c r="C76" i="11"/>
  <c r="B76" i="11"/>
  <c r="H75" i="11"/>
  <c r="C75" i="11"/>
  <c r="B75" i="11"/>
  <c r="H74" i="11"/>
  <c r="C74" i="11"/>
  <c r="B74" i="11"/>
  <c r="H73" i="11"/>
  <c r="C73" i="11"/>
  <c r="B21" i="10" s="1"/>
  <c r="B73" i="11"/>
  <c r="H72" i="11"/>
  <c r="C72" i="11"/>
  <c r="B72" i="11"/>
  <c r="H71" i="11"/>
  <c r="C71" i="11"/>
  <c r="B71" i="11"/>
  <c r="H70" i="11"/>
  <c r="B9" i="9" s="1"/>
  <c r="C70" i="11"/>
  <c r="B70" i="11"/>
  <c r="H69" i="11"/>
  <c r="C69" i="11"/>
  <c r="B69" i="11"/>
  <c r="H68" i="11"/>
  <c r="C68" i="11"/>
  <c r="B68" i="11"/>
  <c r="H67" i="11"/>
  <c r="C67" i="11"/>
  <c r="B67" i="11"/>
  <c r="H66" i="11"/>
  <c r="C66" i="11"/>
  <c r="B66" i="11"/>
  <c r="H65" i="11"/>
  <c r="C65" i="11"/>
  <c r="B65" i="11"/>
  <c r="H64" i="11"/>
  <c r="C64" i="11"/>
  <c r="B64" i="11"/>
  <c r="H63" i="11"/>
  <c r="C63" i="11"/>
  <c r="B63" i="11"/>
  <c r="H62" i="11"/>
  <c r="C62" i="11"/>
  <c r="B62" i="11"/>
  <c r="H61" i="11"/>
  <c r="C61" i="11"/>
  <c r="B61" i="11"/>
  <c r="H60" i="11"/>
  <c r="C60" i="11"/>
  <c r="B60" i="11"/>
  <c r="H59" i="11"/>
  <c r="C59" i="11"/>
  <c r="B59" i="11"/>
  <c r="H58" i="11"/>
  <c r="C58" i="11"/>
  <c r="B58" i="11"/>
  <c r="H57" i="11"/>
  <c r="C57" i="11"/>
  <c r="B57" i="11"/>
  <c r="H56" i="11"/>
  <c r="C56" i="11"/>
  <c r="B56" i="11"/>
  <c r="H55" i="11"/>
  <c r="C55" i="11"/>
  <c r="B55" i="11"/>
  <c r="H54" i="11"/>
  <c r="C54" i="11"/>
  <c r="B54" i="11"/>
  <c r="H53" i="11"/>
  <c r="C53" i="11"/>
  <c r="B53" i="11"/>
  <c r="H52" i="11"/>
  <c r="C52" i="11"/>
  <c r="B52" i="11"/>
  <c r="H51" i="11"/>
  <c r="C51" i="11"/>
  <c r="B51" i="11"/>
  <c r="H50" i="11"/>
  <c r="C50" i="11"/>
  <c r="B50" i="11"/>
  <c r="H49" i="11"/>
  <c r="C49" i="11"/>
  <c r="B49" i="11"/>
  <c r="H48" i="11"/>
  <c r="C48" i="11"/>
  <c r="B48" i="11"/>
  <c r="H47" i="11"/>
  <c r="C47" i="11"/>
  <c r="B47" i="11"/>
  <c r="H46" i="11"/>
  <c r="C46" i="11"/>
  <c r="B46" i="11"/>
  <c r="H45" i="11"/>
  <c r="C45" i="11"/>
  <c r="B45" i="11"/>
  <c r="H44" i="11"/>
  <c r="C44" i="11"/>
  <c r="B44" i="11"/>
  <c r="H43" i="11"/>
  <c r="C43" i="11"/>
  <c r="B43" i="11"/>
  <c r="H42" i="11"/>
  <c r="C42" i="11"/>
  <c r="B42" i="11"/>
  <c r="H41" i="11"/>
  <c r="C41" i="11"/>
  <c r="B41" i="11"/>
  <c r="H40" i="11"/>
  <c r="C40" i="11"/>
  <c r="B40" i="11"/>
  <c r="H39" i="11"/>
  <c r="C39" i="11"/>
  <c r="B39" i="11"/>
  <c r="H38" i="11"/>
  <c r="C38" i="11"/>
  <c r="B38" i="11"/>
  <c r="H37" i="11"/>
  <c r="C37" i="11"/>
  <c r="B37" i="11"/>
  <c r="H36" i="11"/>
  <c r="C36" i="11"/>
  <c r="B36" i="11"/>
  <c r="H35" i="11"/>
  <c r="C35" i="11"/>
  <c r="B35" i="11"/>
  <c r="H34" i="11"/>
  <c r="C34" i="11"/>
  <c r="B34" i="11"/>
  <c r="H33" i="11"/>
  <c r="C33" i="11"/>
  <c r="B33" i="11"/>
  <c r="H32" i="11"/>
  <c r="C32" i="11"/>
  <c r="B32" i="11"/>
  <c r="H31" i="11"/>
  <c r="C31" i="11"/>
  <c r="B31" i="11"/>
  <c r="H30" i="11"/>
  <c r="C30" i="11"/>
  <c r="B30" i="11"/>
  <c r="H29" i="11"/>
  <c r="C29" i="11"/>
  <c r="B29" i="11"/>
  <c r="H28" i="11"/>
  <c r="C28" i="11"/>
  <c r="B28" i="11"/>
  <c r="H27" i="11"/>
  <c r="C27" i="11"/>
  <c r="B27" i="11"/>
  <c r="H26" i="11"/>
  <c r="C26" i="11"/>
  <c r="B26" i="11"/>
  <c r="H25" i="11"/>
  <c r="C25" i="11"/>
  <c r="B25" i="11"/>
  <c r="H24" i="11"/>
  <c r="C24" i="11"/>
  <c r="B24" i="11"/>
  <c r="H23" i="11"/>
  <c r="C23" i="11"/>
  <c r="B23" i="11"/>
  <c r="H22" i="11"/>
  <c r="C22" i="11"/>
  <c r="B22" i="11"/>
  <c r="H21" i="11"/>
  <c r="C21" i="11"/>
  <c r="B21" i="11"/>
  <c r="H20" i="11"/>
  <c r="C20" i="11"/>
  <c r="B20" i="11"/>
  <c r="H19" i="11"/>
  <c r="C19" i="11"/>
  <c r="B19" i="11"/>
  <c r="H18" i="11"/>
  <c r="C18" i="11"/>
  <c r="B18" i="11"/>
  <c r="H17" i="11"/>
  <c r="C17" i="11"/>
  <c r="B17" i="11"/>
  <c r="H16" i="11"/>
  <c r="C16" i="11"/>
  <c r="B16" i="11"/>
  <c r="H15" i="11"/>
  <c r="C15" i="11"/>
  <c r="B15" i="11"/>
  <c r="H14" i="11"/>
  <c r="C14" i="11"/>
  <c r="B14" i="11"/>
  <c r="H13" i="11"/>
  <c r="C13" i="11"/>
  <c r="B13" i="11"/>
  <c r="H12" i="11"/>
  <c r="C12" i="11"/>
  <c r="B12" i="11"/>
  <c r="H11" i="11"/>
  <c r="C11" i="11"/>
  <c r="B11" i="11"/>
  <c r="H10" i="11"/>
  <c r="C10" i="11"/>
  <c r="B10" i="11"/>
  <c r="H9" i="11"/>
  <c r="C9" i="11"/>
  <c r="B9" i="11"/>
  <c r="H8" i="11"/>
  <c r="C8" i="11"/>
  <c r="B8" i="11"/>
  <c r="H7" i="11"/>
  <c r="C7" i="11"/>
  <c r="B7" i="11"/>
  <c r="H6" i="11"/>
  <c r="C6" i="11"/>
  <c r="B6" i="11"/>
  <c r="H5" i="11"/>
  <c r="C5" i="11"/>
  <c r="B30" i="10" s="1"/>
  <c r="D30" i="10" s="1"/>
  <c r="B5" i="11"/>
  <c r="H4" i="11"/>
  <c r="C4" i="11"/>
  <c r="B4" i="11"/>
  <c r="H3" i="11"/>
  <c r="C3" i="11"/>
  <c r="B3" i="11"/>
  <c r="H2" i="11"/>
  <c r="C8" i="9" s="1"/>
  <c r="C2" i="11"/>
  <c r="B2" i="11"/>
  <c r="C25" i="10"/>
  <c r="B24" i="10"/>
  <c r="D24" i="10" s="1"/>
  <c r="C23" i="10"/>
  <c r="C20" i="10"/>
  <c r="B19" i="10"/>
  <c r="D19" i="10" s="1"/>
  <c r="G17" i="10"/>
  <c r="B14" i="10"/>
  <c r="D14" i="10" s="1"/>
  <c r="C13" i="10"/>
  <c r="B12" i="10"/>
  <c r="D12" i="10" s="1"/>
  <c r="C10" i="10"/>
  <c r="H9" i="10"/>
  <c r="C9" i="10"/>
  <c r="B8" i="10"/>
  <c r="D8" i="10" s="1"/>
  <c r="C6" i="10"/>
  <c r="C31" i="10" s="1"/>
  <c r="B8" i="9"/>
  <c r="G101" i="8"/>
  <c r="B101" i="8"/>
  <c r="G100" i="8"/>
  <c r="B100" i="8"/>
  <c r="G99" i="8"/>
  <c r="B99" i="8"/>
  <c r="G98" i="8"/>
  <c r="B98" i="8"/>
  <c r="G97" i="8"/>
  <c r="B97" i="8"/>
  <c r="G96" i="8"/>
  <c r="B96" i="8"/>
  <c r="G95" i="8"/>
  <c r="B95" i="8"/>
  <c r="G94" i="8"/>
  <c r="B94" i="8"/>
  <c r="G93" i="8"/>
  <c r="B93" i="8"/>
  <c r="G92" i="8"/>
  <c r="B92" i="8"/>
  <c r="G91" i="8"/>
  <c r="B91" i="8"/>
  <c r="G90" i="8"/>
  <c r="B90" i="8"/>
  <c r="G89" i="8"/>
  <c r="B89" i="8"/>
  <c r="G88" i="8"/>
  <c r="B88" i="8"/>
  <c r="G87" i="8"/>
  <c r="B87" i="8"/>
  <c r="G86" i="8"/>
  <c r="B86" i="8"/>
  <c r="G85" i="8"/>
  <c r="B85" i="8"/>
  <c r="G84" i="8"/>
  <c r="B84" i="8"/>
  <c r="G83" i="8"/>
  <c r="B83" i="8"/>
  <c r="G82" i="8"/>
  <c r="B82" i="8"/>
  <c r="G81" i="8"/>
  <c r="B81" i="8"/>
  <c r="G80" i="8"/>
  <c r="B80" i="8"/>
  <c r="G79" i="8"/>
  <c r="B79" i="8"/>
  <c r="G78" i="8"/>
  <c r="B78" i="8"/>
  <c r="G77" i="8"/>
  <c r="B77" i="8"/>
  <c r="G76" i="8"/>
  <c r="B76" i="8"/>
  <c r="G75" i="8"/>
  <c r="B75" i="8"/>
  <c r="G74" i="8"/>
  <c r="B74" i="8"/>
  <c r="B27" i="7" s="1"/>
  <c r="D27" i="7" s="1"/>
  <c r="G73" i="8"/>
  <c r="B73" i="8"/>
  <c r="G72" i="8"/>
  <c r="B72" i="8"/>
  <c r="G71" i="8"/>
  <c r="B71" i="8"/>
  <c r="G70" i="8"/>
  <c r="B70" i="8"/>
  <c r="B8" i="7" s="1"/>
  <c r="D8" i="7" s="1"/>
  <c r="G69" i="8"/>
  <c r="B69" i="8"/>
  <c r="G68" i="8"/>
  <c r="B68" i="8"/>
  <c r="G67" i="8"/>
  <c r="B67" i="8"/>
  <c r="G66" i="8"/>
  <c r="B66" i="8"/>
  <c r="G65" i="8"/>
  <c r="B65" i="8"/>
  <c r="G64" i="8"/>
  <c r="B64" i="8"/>
  <c r="G63" i="8"/>
  <c r="B63" i="8"/>
  <c r="G62" i="8"/>
  <c r="B62" i="8"/>
  <c r="G61" i="8"/>
  <c r="B61" i="8"/>
  <c r="G60" i="8"/>
  <c r="B60" i="8"/>
  <c r="G59" i="8"/>
  <c r="B59" i="8"/>
  <c r="G58" i="8"/>
  <c r="B58" i="8"/>
  <c r="G57" i="8"/>
  <c r="B57" i="8"/>
  <c r="G56" i="8"/>
  <c r="B56" i="8"/>
  <c r="G55" i="8"/>
  <c r="B55" i="8"/>
  <c r="G54" i="8"/>
  <c r="B54" i="8"/>
  <c r="G53" i="8"/>
  <c r="B53" i="8"/>
  <c r="G52" i="8"/>
  <c r="B52" i="8"/>
  <c r="G51" i="8"/>
  <c r="B51" i="8"/>
  <c r="G50" i="8"/>
  <c r="B50" i="8"/>
  <c r="B29" i="7" s="1"/>
  <c r="D29" i="7" s="1"/>
  <c r="G49" i="8"/>
  <c r="B49" i="8"/>
  <c r="G48" i="8"/>
  <c r="B48" i="8"/>
  <c r="G47" i="8"/>
  <c r="B47" i="8"/>
  <c r="G46" i="8"/>
  <c r="B46" i="8"/>
  <c r="G45" i="8"/>
  <c r="B45" i="8"/>
  <c r="G44" i="8"/>
  <c r="B44" i="8"/>
  <c r="G43" i="8"/>
  <c r="B43" i="8"/>
  <c r="G42" i="8"/>
  <c r="B42" i="8"/>
  <c r="G41" i="8"/>
  <c r="B41" i="8"/>
  <c r="G40" i="8"/>
  <c r="B40" i="8"/>
  <c r="G39" i="8"/>
  <c r="B39" i="8"/>
  <c r="G38" i="8"/>
  <c r="B38" i="8"/>
  <c r="G37" i="8"/>
  <c r="B37" i="8"/>
  <c r="G36" i="8"/>
  <c r="B36" i="8"/>
  <c r="G35" i="8"/>
  <c r="B35" i="8"/>
  <c r="G34" i="8"/>
  <c r="B34" i="8"/>
  <c r="G33" i="8"/>
  <c r="B33" i="8"/>
  <c r="G32" i="8"/>
  <c r="B32" i="8"/>
  <c r="G31" i="8"/>
  <c r="B31" i="8"/>
  <c r="G30" i="8"/>
  <c r="B30" i="8"/>
  <c r="G29" i="8"/>
  <c r="B29" i="8"/>
  <c r="G28" i="8"/>
  <c r="B28" i="8"/>
  <c r="G27" i="8"/>
  <c r="B27" i="8"/>
  <c r="G26" i="8"/>
  <c r="B26" i="8"/>
  <c r="G25" i="8"/>
  <c r="B25" i="8"/>
  <c r="G24" i="8"/>
  <c r="B24" i="8"/>
  <c r="G23" i="8"/>
  <c r="B23" i="8"/>
  <c r="G22" i="8"/>
  <c r="B22" i="8"/>
  <c r="B18" i="7" s="1"/>
  <c r="D18" i="7" s="1"/>
  <c r="G21" i="8"/>
  <c r="B21" i="8"/>
  <c r="G20" i="8"/>
  <c r="B20" i="8"/>
  <c r="G19" i="8"/>
  <c r="B19" i="8"/>
  <c r="G18" i="8"/>
  <c r="B18" i="8"/>
  <c r="G17" i="8"/>
  <c r="B17" i="8"/>
  <c r="G16" i="8"/>
  <c r="B16" i="8"/>
  <c r="G15" i="8"/>
  <c r="B15" i="8"/>
  <c r="G14" i="8"/>
  <c r="B14" i="8"/>
  <c r="G13" i="8"/>
  <c r="B13" i="8"/>
  <c r="G12" i="8"/>
  <c r="B12" i="8"/>
  <c r="G11" i="8"/>
  <c r="B11" i="8"/>
  <c r="G10" i="8"/>
  <c r="B10" i="8"/>
  <c r="G9" i="8"/>
  <c r="B9" i="8"/>
  <c r="G8" i="8"/>
  <c r="B8" i="8"/>
  <c r="B11" i="7" s="1"/>
  <c r="G7" i="8"/>
  <c r="B7" i="8"/>
  <c r="G6" i="8"/>
  <c r="B6" i="8"/>
  <c r="G5" i="8"/>
  <c r="B5" i="8"/>
  <c r="G4" i="8"/>
  <c r="B4" i="8"/>
  <c r="G3" i="8"/>
  <c r="B3" i="8"/>
  <c r="G2" i="8"/>
  <c r="B2" i="8"/>
  <c r="B30" i="7" s="1"/>
  <c r="D30" i="7" s="1"/>
  <c r="C25" i="7"/>
  <c r="C23" i="7"/>
  <c r="B22" i="7"/>
  <c r="D22" i="7" s="1"/>
  <c r="C20" i="7"/>
  <c r="D19" i="7"/>
  <c r="C16" i="7"/>
  <c r="B14" i="7"/>
  <c r="D14" i="7" s="1"/>
  <c r="C13" i="7"/>
  <c r="C10" i="7"/>
  <c r="C9" i="7"/>
  <c r="C6" i="7"/>
  <c r="C31" i="7" s="1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B23" i="5"/>
  <c r="C22" i="5"/>
  <c r="B22" i="5"/>
  <c r="F22" i="5" s="1"/>
  <c r="C21" i="5"/>
  <c r="B21" i="5"/>
  <c r="F21" i="5" s="1"/>
  <c r="C20" i="5"/>
  <c r="B20" i="5"/>
  <c r="F20" i="5" s="1"/>
  <c r="C19" i="5"/>
  <c r="B19" i="5"/>
  <c r="F19" i="5" s="1"/>
  <c r="C18" i="5"/>
  <c r="B18" i="5"/>
  <c r="F18" i="5" s="1"/>
  <c r="C17" i="5"/>
  <c r="B26" i="5" s="1"/>
  <c r="B17" i="5"/>
  <c r="B28" i="5" s="1"/>
  <c r="C27" i="4"/>
  <c r="F26" i="4"/>
  <c r="C26" i="4"/>
  <c r="F23" i="4"/>
  <c r="B23" i="4"/>
  <c r="F22" i="4"/>
  <c r="B22" i="4"/>
  <c r="F21" i="4"/>
  <c r="B21" i="4"/>
  <c r="B18" i="4"/>
  <c r="F17" i="4"/>
  <c r="F16" i="4"/>
  <c r="G15" i="4"/>
  <c r="C15" i="4"/>
  <c r="G14" i="4"/>
  <c r="C14" i="4"/>
  <c r="G13" i="4"/>
  <c r="C13" i="4"/>
  <c r="B29" i="3"/>
  <c r="B28" i="3"/>
  <c r="C26" i="3"/>
  <c r="B26" i="3"/>
  <c r="D25" i="3"/>
  <c r="C25" i="3"/>
  <c r="B25" i="3"/>
  <c r="D24" i="3"/>
  <c r="C24" i="3"/>
  <c r="B24" i="3"/>
  <c r="C23" i="3"/>
  <c r="B23" i="3"/>
  <c r="C22" i="3"/>
  <c r="B22" i="3"/>
  <c r="J19" i="3"/>
  <c r="I19" i="3"/>
  <c r="G19" i="3"/>
  <c r="C19" i="3"/>
  <c r="J18" i="3"/>
  <c r="I18" i="3"/>
  <c r="G18" i="3"/>
  <c r="C18" i="3"/>
  <c r="J17" i="3"/>
  <c r="I17" i="3"/>
  <c r="G17" i="3"/>
  <c r="C17" i="3"/>
  <c r="J16" i="3"/>
  <c r="I16" i="3"/>
  <c r="G16" i="3"/>
  <c r="C16" i="3"/>
  <c r="J15" i="3"/>
  <c r="I15" i="3"/>
  <c r="G15" i="3"/>
  <c r="C15" i="3"/>
  <c r="J14" i="3"/>
  <c r="I14" i="3"/>
  <c r="G14" i="3"/>
  <c r="D26" i="3" s="1"/>
  <c r="C14" i="3"/>
  <c r="E37" i="2"/>
  <c r="D37" i="2"/>
  <c r="E36" i="2"/>
  <c r="D36" i="2"/>
  <c r="E35" i="2"/>
  <c r="D35" i="2"/>
  <c r="E34" i="2"/>
  <c r="D34" i="2"/>
  <c r="E33" i="2"/>
  <c r="D33" i="2"/>
  <c r="D28" i="2"/>
  <c r="D27" i="2"/>
  <c r="D26" i="2"/>
  <c r="E26" i="2" s="1"/>
  <c r="F26" i="2" s="1"/>
  <c r="E25" i="2"/>
  <c r="F25" i="2" s="1"/>
  <c r="D25" i="2"/>
  <c r="D24" i="2"/>
  <c r="F19" i="2"/>
  <c r="E19" i="2"/>
  <c r="F18" i="2"/>
  <c r="E18" i="2"/>
  <c r="F17" i="2"/>
  <c r="E17" i="2"/>
  <c r="H16" i="2"/>
  <c r="F16" i="2"/>
  <c r="E16" i="2"/>
  <c r="I15" i="2"/>
  <c r="H15" i="2"/>
  <c r="G15" i="2"/>
  <c r="F15" i="2"/>
  <c r="E15" i="2"/>
  <c r="H14" i="2"/>
  <c r="G10" i="2"/>
  <c r="F10" i="2"/>
  <c r="G9" i="2"/>
  <c r="F9" i="2"/>
  <c r="G8" i="2"/>
  <c r="F8" i="2"/>
  <c r="G7" i="2"/>
  <c r="F7" i="2"/>
  <c r="G6" i="2"/>
  <c r="F6" i="2"/>
  <c r="D42" i="1"/>
  <c r="C42" i="1"/>
  <c r="D41" i="1"/>
  <c r="C41" i="1"/>
  <c r="D40" i="1"/>
  <c r="C40" i="1"/>
  <c r="D39" i="1"/>
  <c r="C39" i="1"/>
  <c r="D38" i="1"/>
  <c r="C38" i="1"/>
  <c r="D37" i="1"/>
  <c r="C37" i="1"/>
  <c r="D29" i="1"/>
  <c r="D28" i="1"/>
  <c r="D27" i="1"/>
  <c r="D26" i="1"/>
  <c r="D25" i="1"/>
  <c r="D11" i="7" l="1"/>
  <c r="D21" i="10"/>
  <c r="E24" i="2"/>
  <c r="F24" i="2" s="1"/>
  <c r="E28" i="2"/>
  <c r="F28" i="2" s="1"/>
  <c r="B25" i="5"/>
  <c r="B13" i="7"/>
  <c r="D13" i="7" s="1"/>
  <c r="E27" i="2"/>
  <c r="F27" i="2" s="1"/>
  <c r="D23" i="3"/>
  <c r="B24" i="7"/>
  <c r="B7" i="9"/>
  <c r="B16" i="9"/>
  <c r="C17" i="9"/>
  <c r="G6" i="10"/>
  <c r="G7" i="10"/>
  <c r="G8" i="10"/>
  <c r="B11" i="10"/>
  <c r="B13" i="10"/>
  <c r="D13" i="10" s="1"/>
  <c r="B17" i="10"/>
  <c r="I17" i="10"/>
  <c r="B29" i="5"/>
  <c r="E17" i="5"/>
  <c r="E18" i="5"/>
  <c r="E19" i="5"/>
  <c r="E20" i="5"/>
  <c r="E21" i="5"/>
  <c r="E22" i="5"/>
  <c r="B30" i="5"/>
  <c r="B15" i="7"/>
  <c r="D15" i="7" s="1"/>
  <c r="D22" i="3"/>
  <c r="F17" i="5"/>
  <c r="B27" i="5"/>
  <c r="B31" i="5"/>
  <c r="B7" i="7"/>
  <c r="B12" i="7"/>
  <c r="D12" i="7" s="1"/>
  <c r="B17" i="7"/>
  <c r="B21" i="7"/>
  <c r="B26" i="7"/>
  <c r="B28" i="7"/>
  <c r="D28" i="7" s="1"/>
  <c r="C7" i="9"/>
  <c r="C9" i="9"/>
  <c r="C16" i="9"/>
  <c r="C18" i="9" s="1"/>
  <c r="D17" i="9"/>
  <c r="H6" i="10"/>
  <c r="H7" i="10"/>
  <c r="H8" i="10"/>
  <c r="G9" i="10"/>
  <c r="B15" i="10"/>
  <c r="D15" i="10" s="1"/>
  <c r="G16" i="10"/>
  <c r="G18" i="10" s="1"/>
  <c r="B18" i="10"/>
  <c r="D18" i="10" s="1"/>
  <c r="B22" i="10"/>
  <c r="D22" i="10" s="1"/>
  <c r="B27" i="10"/>
  <c r="D27" i="10" s="1"/>
  <c r="B29" i="10"/>
  <c r="D29" i="10" s="1"/>
  <c r="B6" i="9"/>
  <c r="D16" i="9"/>
  <c r="D18" i="9" s="1"/>
  <c r="B7" i="10"/>
  <c r="C6" i="9"/>
  <c r="C10" i="9" s="1"/>
  <c r="B17" i="9"/>
  <c r="I16" i="10"/>
  <c r="I18" i="10" s="1"/>
  <c r="H17" i="10"/>
  <c r="H18" i="10" s="1"/>
  <c r="B23" i="10"/>
  <c r="D23" i="10" s="1"/>
  <c r="B26" i="10"/>
  <c r="B28" i="10"/>
  <c r="D28" i="10" s="1"/>
  <c r="B16" i="10" l="1"/>
  <c r="D16" i="10" s="1"/>
  <c r="D17" i="10"/>
  <c r="D26" i="10"/>
  <c r="B25" i="10"/>
  <c r="D25" i="10" s="1"/>
  <c r="B10" i="9"/>
  <c r="D7" i="7"/>
  <c r="B6" i="7"/>
  <c r="G10" i="10"/>
  <c r="D24" i="7"/>
  <c r="B23" i="7"/>
  <c r="D23" i="7" s="1"/>
  <c r="D21" i="7"/>
  <c r="B20" i="7"/>
  <c r="D20" i="7" s="1"/>
  <c r="B10" i="10"/>
  <c r="D11" i="10"/>
  <c r="B20" i="10"/>
  <c r="D20" i="10" s="1"/>
  <c r="B10" i="7"/>
  <c r="D26" i="7"/>
  <c r="B25" i="7"/>
  <c r="D25" i="7" s="1"/>
  <c r="D7" i="10"/>
  <c r="B6" i="10"/>
  <c r="H10" i="10"/>
  <c r="D17" i="7"/>
  <c r="B16" i="7"/>
  <c r="D16" i="7" s="1"/>
  <c r="B18" i="9"/>
  <c r="D6" i="10" l="1"/>
  <c r="B31" i="7"/>
  <c r="D31" i="7" s="1"/>
  <c r="D6" i="7"/>
  <c r="D10" i="7"/>
  <c r="B9" i="7"/>
  <c r="D9" i="7" s="1"/>
  <c r="B9" i="10"/>
  <c r="D9" i="10" s="1"/>
  <c r="D10" i="10"/>
  <c r="B31" i="10" l="1"/>
  <c r="D31" i="10"/>
</calcChain>
</file>

<file path=xl/sharedStrings.xml><?xml version="1.0" encoding="utf-8"?>
<sst xmlns="http://schemas.openxmlformats.org/spreadsheetml/2006/main" count="1316" uniqueCount="431">
  <si>
    <t>THE BASICS: DATA ENTRY &amp; FORMATTING</t>
  </si>
  <si>
    <t>Column F</t>
  </si>
  <si>
    <t>Row 4</t>
  </si>
  <si>
    <t>Cell F4</t>
  </si>
  <si>
    <t>Example</t>
  </si>
  <si>
    <t>Try it out</t>
  </si>
  <si>
    <t>TEXT</t>
  </si>
  <si>
    <t>normal</t>
  </si>
  <si>
    <t>Coursera</t>
  </si>
  <si>
    <t>Bold</t>
  </si>
  <si>
    <t>Italic</t>
  </si>
  <si>
    <t>Strikethrough</t>
  </si>
  <si>
    <t>Combination</t>
  </si>
  <si>
    <t>NUMBERS</t>
  </si>
  <si>
    <t>Integer</t>
  </si>
  <si>
    <t xml:space="preserve">Decimal </t>
  </si>
  <si>
    <r>
      <rPr>
        <b/>
        <sz val="10"/>
        <color rgb="FF000000"/>
        <rFont val="Arial"/>
      </rPr>
      <t>Note:</t>
    </r>
    <r>
      <rPr>
        <sz val="10"/>
        <color rgb="FF000000"/>
        <rFont val="Arial"/>
      </rPr>
      <t xml:space="preserve"> Some countries use "," instead of "." for decimals</t>
    </r>
  </si>
  <si>
    <t xml:space="preserve">Percentage </t>
  </si>
  <si>
    <t>Currency</t>
  </si>
  <si>
    <t>Accounting</t>
  </si>
  <si>
    <t>Scientific</t>
  </si>
  <si>
    <t>DATES</t>
  </si>
  <si>
    <t xml:space="preserve">Date long </t>
  </si>
  <si>
    <t>Date short</t>
  </si>
  <si>
    <t>Date text long</t>
  </si>
  <si>
    <t>Date text Short</t>
  </si>
  <si>
    <t>BASIC CALCULATIONS</t>
  </si>
  <si>
    <t>Addition: +</t>
  </si>
  <si>
    <t>=6+3</t>
  </si>
  <si>
    <t>Subtraction: -</t>
  </si>
  <si>
    <t>=6-3</t>
  </si>
  <si>
    <t>Multiplication: *</t>
  </si>
  <si>
    <t>=6*3</t>
  </si>
  <si>
    <t>Division: /</t>
  </si>
  <si>
    <t>=6/3</t>
  </si>
  <si>
    <t>Exponential: ^</t>
  </si>
  <si>
    <t>=6^3</t>
  </si>
  <si>
    <t>ORDER OF OPERATIONS</t>
  </si>
  <si>
    <t>PEMDAS</t>
  </si>
  <si>
    <r>
      <rPr>
        <b/>
        <sz val="10"/>
        <color theme="1"/>
        <rFont val="Arial"/>
      </rPr>
      <t>P</t>
    </r>
    <r>
      <rPr>
        <sz val="10"/>
        <color rgb="FF000000"/>
        <rFont val="Arial"/>
      </rPr>
      <t>arenthesis</t>
    </r>
  </si>
  <si>
    <r>
      <rPr>
        <b/>
        <sz val="10"/>
        <color theme="1"/>
        <rFont val="Arial"/>
      </rPr>
      <t>E</t>
    </r>
    <r>
      <rPr>
        <sz val="10"/>
        <color rgb="FF000000"/>
        <rFont val="Arial"/>
      </rPr>
      <t>xponential</t>
    </r>
  </si>
  <si>
    <r>
      <rPr>
        <b/>
        <sz val="10"/>
        <color theme="1"/>
        <rFont val="Arial"/>
      </rPr>
      <t>M</t>
    </r>
    <r>
      <rPr>
        <sz val="10"/>
        <color rgb="FF000000"/>
        <rFont val="Arial"/>
      </rPr>
      <t xml:space="preserve">ultiplication &amp; </t>
    </r>
    <r>
      <rPr>
        <b/>
        <sz val="10"/>
        <color theme="1"/>
        <rFont val="Arial"/>
      </rPr>
      <t>D</t>
    </r>
    <r>
      <rPr>
        <sz val="10"/>
        <color rgb="FF000000"/>
        <rFont val="Arial"/>
      </rPr>
      <t>ivision: from left to right</t>
    </r>
  </si>
  <si>
    <r>
      <rPr>
        <b/>
        <sz val="10"/>
        <color theme="1"/>
        <rFont val="Arial"/>
      </rPr>
      <t>A</t>
    </r>
    <r>
      <rPr>
        <sz val="10"/>
        <color rgb="FF000000"/>
        <rFont val="Arial"/>
      </rPr>
      <t xml:space="preserve">ddition &amp; </t>
    </r>
    <r>
      <rPr>
        <b/>
        <sz val="10"/>
        <color theme="1"/>
        <rFont val="Arial"/>
      </rPr>
      <t>S</t>
    </r>
    <r>
      <rPr>
        <sz val="10"/>
        <color rgb="FF000000"/>
        <rFont val="Arial"/>
      </rPr>
      <t>ubtraction: from left to right</t>
    </r>
  </si>
  <si>
    <t>5+8</t>
  </si>
  <si>
    <t>(5+8)^2</t>
  </si>
  <si>
    <t>4/12</t>
  </si>
  <si>
    <t>4/12*3</t>
  </si>
  <si>
    <t>4/(12*3)</t>
  </si>
  <si>
    <t>(5+8)^2-4/12*3</t>
  </si>
  <si>
    <t>BASIC FORMATTING</t>
  </si>
  <si>
    <t>Horizontal align left</t>
  </si>
  <si>
    <t>Hello</t>
  </si>
  <si>
    <t>Horizontal align middle</t>
  </si>
  <si>
    <t>Horizontal align right</t>
  </si>
  <si>
    <t>Vertical align top</t>
  </si>
  <si>
    <t>Vertical align middle</t>
  </si>
  <si>
    <t>Vertical align bottom</t>
  </si>
  <si>
    <t>Text color</t>
  </si>
  <si>
    <t>Pick a text color</t>
  </si>
  <si>
    <t>Fill color</t>
  </si>
  <si>
    <t>Pick a fill color</t>
  </si>
  <si>
    <t>Text wrapping</t>
  </si>
  <si>
    <t>This text is very long, so I want to wrap it to keep the column dimensions right</t>
  </si>
  <si>
    <t>Hello, my name is David and im using Google Sheets</t>
  </si>
  <si>
    <t>Merge Cells</t>
  </si>
  <si>
    <t>Merged</t>
  </si>
  <si>
    <t>Borders</t>
  </si>
  <si>
    <t>CELL REFERENCES</t>
  </si>
  <si>
    <t>RELATIVE REFERENCES</t>
  </si>
  <si>
    <t>(1)</t>
  </si>
  <si>
    <t>(2)</t>
  </si>
  <si>
    <t>(3)</t>
  </si>
  <si>
    <t>(4)</t>
  </si>
  <si>
    <t>(1)*(3)</t>
  </si>
  <si>
    <t>(2)*(4)</t>
  </si>
  <si>
    <t>Item</t>
  </si>
  <si>
    <t>Unit Cost</t>
  </si>
  <si>
    <t>Sell Price</t>
  </si>
  <si>
    <t>Qty Purchased</t>
  </si>
  <si>
    <t>Qty Sold</t>
  </si>
  <si>
    <t>COGS</t>
  </si>
  <si>
    <t>Revenue</t>
  </si>
  <si>
    <t>Water</t>
  </si>
  <si>
    <t>Soft Drink</t>
  </si>
  <si>
    <t>Milk</t>
  </si>
  <si>
    <t>Banana</t>
  </si>
  <si>
    <t>Cereal</t>
  </si>
  <si>
    <t>ABSOLUTE REFERENCES</t>
  </si>
  <si>
    <t>(1)*(2)</t>
  </si>
  <si>
    <t>Quantity</t>
  </si>
  <si>
    <t>Cost</t>
  </si>
  <si>
    <t>Tax rate (1)</t>
  </si>
  <si>
    <t>(4) = (2) * (3)</t>
  </si>
  <si>
    <t>(5) = (1)*(4)</t>
  </si>
  <si>
    <t>(4)+(5)</t>
  </si>
  <si>
    <t>Pre-Tax Rev.</t>
  </si>
  <si>
    <t>Sales Tax</t>
  </si>
  <si>
    <t>Quantity (1)</t>
  </si>
  <si>
    <t>BASIC FUNCTIONS</t>
  </si>
  <si>
    <t>=&gt; use ' = '  +  'FUNCTION NAME'</t>
  </si>
  <si>
    <t>CONCATENATE (1)</t>
  </si>
  <si>
    <t>=CONCATENATE(string1, [string2, …])</t>
  </si>
  <si>
    <t>SPLIT (2)</t>
  </si>
  <si>
    <t>=SPLIT(text, delimiter, [split_by_each], [remove_empty_text])</t>
  </si>
  <si>
    <t>SUM (3)</t>
  </si>
  <si>
    <t>=SUM(value1, [value2, …])</t>
  </si>
  <si>
    <t>AVERAGE (4)</t>
  </si>
  <si>
    <t>=AVERAGE(value1, [value2, …])</t>
  </si>
  <si>
    <t>MEDIAN (5)</t>
  </si>
  <si>
    <t>=MEDIAN(value1, [value2, …])</t>
  </si>
  <si>
    <t>MIN (6)</t>
  </si>
  <si>
    <t>=MIN(value1, [value2, …])</t>
  </si>
  <si>
    <t>MAX (7)</t>
  </si>
  <si>
    <t>=MAX(value1, [value2, …])</t>
  </si>
  <si>
    <t>COUNT (8)</t>
  </si>
  <si>
    <t>=COUNT(value1, [value2, …])</t>
  </si>
  <si>
    <t>COUNTA (9)</t>
  </si>
  <si>
    <t>=COUNTA(value1, [value2, …])</t>
  </si>
  <si>
    <t>First Name</t>
  </si>
  <si>
    <t>Last Name</t>
  </si>
  <si>
    <t>First &amp; Last Name</t>
  </si>
  <si>
    <t>Gender</t>
  </si>
  <si>
    <t>Age</t>
  </si>
  <si>
    <t>Monthly Salary</t>
  </si>
  <si>
    <t>Annual Salary</t>
  </si>
  <si>
    <t>City, State</t>
  </si>
  <si>
    <t>City</t>
  </si>
  <si>
    <t>State</t>
  </si>
  <si>
    <t>Rigoberto</t>
  </si>
  <si>
    <t>Montoya</t>
  </si>
  <si>
    <t>Male</t>
  </si>
  <si>
    <t>Phoenix, AZ</t>
  </si>
  <si>
    <t>Valentine</t>
  </si>
  <si>
    <t>Ramirez</t>
  </si>
  <si>
    <t>Female</t>
  </si>
  <si>
    <t>New York, NY</t>
  </si>
  <si>
    <t>Benedict</t>
  </si>
  <si>
    <t>Carney</t>
  </si>
  <si>
    <t>Miami, FL</t>
  </si>
  <si>
    <t>Lisa</t>
  </si>
  <si>
    <t>Villa</t>
  </si>
  <si>
    <t>San Francisco, CA</t>
  </si>
  <si>
    <t>Beverly</t>
  </si>
  <si>
    <t>Landry</t>
  </si>
  <si>
    <t>Los Angeles, CA</t>
  </si>
  <si>
    <t>Raquel</t>
  </si>
  <si>
    <t>Pierce</t>
  </si>
  <si>
    <t>Porltland, OR</t>
  </si>
  <si>
    <t>Total</t>
  </si>
  <si>
    <t>Average</t>
  </si>
  <si>
    <t>Max</t>
  </si>
  <si>
    <t>(5)</t>
  </si>
  <si>
    <t>Min</t>
  </si>
  <si>
    <t>(6)</t>
  </si>
  <si>
    <t>Median</t>
  </si>
  <si>
    <t>(7)</t>
  </si>
  <si>
    <t>Number of people</t>
  </si>
  <si>
    <t>(8)</t>
  </si>
  <si>
    <t>(9)</t>
  </si>
  <si>
    <t>ERROR MESSAGES</t>
  </si>
  <si>
    <t>Occurs when the second paramer of a division is zero</t>
  </si>
  <si>
    <t>Occurs when your formula is expecting a certain data type as an input but receives the wrong type</t>
  </si>
  <si>
    <t>Occurs when there is an invalid cell reference from circular dependency or a deleted cell, row or column</t>
  </si>
  <si>
    <t>Occurs when there is an error in your formula syntax</t>
  </si>
  <si>
    <t>Occurs when the formula contains a numeric value that isn't valid</t>
  </si>
  <si>
    <t>Occurs when the value is not available, i.e. the searched term is not found</t>
  </si>
  <si>
    <t>#ERROR!</t>
  </si>
  <si>
    <t>Occurs when Google Sheets can't understand the formula you've entered (doens't exist in Microsoft Excel)</t>
  </si>
  <si>
    <t># of months</t>
  </si>
  <si>
    <t>Total Salary</t>
  </si>
  <si>
    <t>AGE</t>
  </si>
  <si>
    <t>Total # months</t>
  </si>
  <si>
    <t>Number</t>
  </si>
  <si>
    <t>Square Root</t>
  </si>
  <si>
    <t>Date 1</t>
  </si>
  <si>
    <t>Date 2</t>
  </si>
  <si>
    <t># days in between</t>
  </si>
  <si>
    <t>Cell $A$26</t>
  </si>
  <si>
    <t>ADVANCED FUNCTIONS</t>
  </si>
  <si>
    <t>VLOOKUP (1)</t>
  </si>
  <si>
    <t>=VLOOKUP(search_key, range, index, [is_sorted])</t>
  </si>
  <si>
    <t>IF (2)</t>
  </si>
  <si>
    <t>=IF(logical_expression, value_if_true, value_if_false)</t>
  </si>
  <si>
    <t>AND (3)</t>
  </si>
  <si>
    <t>=AND(logical_expression1, [logical_expression2, …])</t>
  </si>
  <si>
    <t>OR (4)</t>
  </si>
  <si>
    <t>=OR((logical_expression1, [logical_expression2, …])</t>
  </si>
  <si>
    <t>IFERROR (5)</t>
  </si>
  <si>
    <t>=IFERROR(value, [value_if_error])</t>
  </si>
  <si>
    <t>COUNTIF (6)</t>
  </si>
  <si>
    <t>=COUNTIF(range, criterion)</t>
  </si>
  <si>
    <t>COUNTIFS (7)</t>
  </si>
  <si>
    <t>=COUNTIFS(criteria_range1, criterion1, [criteria_range2, …], [criterion2, …])</t>
  </si>
  <si>
    <t>AVERAGEIF (8)</t>
  </si>
  <si>
    <t>=AVERAGEIF(range, criterion)</t>
  </si>
  <si>
    <t>AVERAGEIFS (9)</t>
  </si>
  <si>
    <t>=AVERAGEIFS(average_range, criteria_range1, criterion1, [criteria_range2, …], [criterion2, …])</t>
  </si>
  <si>
    <t>SUMIF (10)</t>
  </si>
  <si>
    <t>=SUMIF(range, criterion)</t>
  </si>
  <si>
    <t>SUMIFS (11)</t>
  </si>
  <si>
    <t>=SUMIFS(sum_range, criteria_range1, criterion1, [criteria_range2, …], [criterion2, …])</t>
  </si>
  <si>
    <t>True or False (3)</t>
  </si>
  <si>
    <t>Yes or No (2) + (4)</t>
  </si>
  <si>
    <t>Female and &gt;45</t>
  </si>
  <si>
    <t>Male or &lt;=45</t>
  </si>
  <si>
    <t>Rigoberto Montoya</t>
  </si>
  <si>
    <t>Valentine Ramirez</t>
  </si>
  <si>
    <t>Benedict Carney</t>
  </si>
  <si>
    <t>Lisa Villa</t>
  </si>
  <si>
    <t>Beverly Landry</t>
  </si>
  <si>
    <t>Raquel Pierce</t>
  </si>
  <si>
    <t>Melba Beasly</t>
  </si>
  <si>
    <t>Name</t>
  </si>
  <si>
    <t>Marital Status</t>
  </si>
  <si>
    <t>Number of females</t>
  </si>
  <si>
    <t>Married</t>
  </si>
  <si>
    <t>Number of individuals over 45</t>
  </si>
  <si>
    <t>Number of males of 45 or less</t>
  </si>
  <si>
    <t>Charlotte King</t>
  </si>
  <si>
    <t>Single</t>
  </si>
  <si>
    <t>Average age of females</t>
  </si>
  <si>
    <t>Clara Spencer</t>
  </si>
  <si>
    <t>Average males over 45 salaries</t>
  </si>
  <si>
    <t>Clarence Kirby</t>
  </si>
  <si>
    <t>Sum of females' salaries</t>
  </si>
  <si>
    <t>(10)</t>
  </si>
  <si>
    <t>Emery Reid</t>
  </si>
  <si>
    <t>Sum of females under 41 salaries</t>
  </si>
  <si>
    <t>(11)</t>
  </si>
  <si>
    <t>Ernest Vaughn</t>
  </si>
  <si>
    <t>Frances Camacho</t>
  </si>
  <si>
    <t>Horacio Fisher</t>
  </si>
  <si>
    <t>Jaime Compton</t>
  </si>
  <si>
    <t>Jed Bauer</t>
  </si>
  <si>
    <t>Martin Beasley</t>
  </si>
  <si>
    <t>Melba Buchanan</t>
  </si>
  <si>
    <t>Phyllis Jefferson</t>
  </si>
  <si>
    <t>Terra Greer</t>
  </si>
  <si>
    <t>Valarie Thornton</t>
  </si>
  <si>
    <t>FORMATTING &amp; SORTING</t>
  </si>
  <si>
    <t>Task:</t>
  </si>
  <si>
    <t>1) Split Names into First and Last Names using 'Split text to column' under 'Data' in the menu bar --&gt; Hint: You will need to insert a column first</t>
  </si>
  <si>
    <t>2) Format Salary with currency in South African Rand and no decimals --&gt; example R1234</t>
  </si>
  <si>
    <t>3) Add an Annual Salary column</t>
  </si>
  <si>
    <t>4) Format phone number as (123) 456-789</t>
  </si>
  <si>
    <r>
      <rPr>
        <sz val="10"/>
        <color theme="1"/>
        <rFont val="Arial"/>
      </rPr>
      <t xml:space="preserve">5) Make the header </t>
    </r>
    <r>
      <rPr>
        <b/>
        <sz val="10"/>
        <color theme="1"/>
        <rFont val="Arial"/>
      </rPr>
      <t>Bold</t>
    </r>
    <r>
      <rPr>
        <sz val="10"/>
        <color rgb="FF000000"/>
        <rFont val="Arial"/>
      </rPr>
      <t xml:space="preserve"> and align it to the center                                                        </t>
    </r>
  </si>
  <si>
    <t>6) Add borders</t>
  </si>
  <si>
    <t>7) Add alternating colors for each row</t>
  </si>
  <si>
    <t>8) Using conditional formatting - Highlight ages over 45</t>
  </si>
  <si>
    <t>9) Adjust the columns width to ensure everything fits</t>
  </si>
  <si>
    <t>10) Sort the table by alphabetical order using the first name</t>
  </si>
  <si>
    <t>11) Filter out individuals who have 3 children or more</t>
  </si>
  <si>
    <t>Phone</t>
  </si>
  <si>
    <t>Education</t>
  </si>
  <si>
    <t>Number of Children</t>
  </si>
  <si>
    <t>Miami</t>
  </si>
  <si>
    <t>FL</t>
  </si>
  <si>
    <t>Master</t>
  </si>
  <si>
    <t>Los Angeles</t>
  </si>
  <si>
    <t>CA</t>
  </si>
  <si>
    <t>Primary</t>
  </si>
  <si>
    <t>Charlotte</t>
  </si>
  <si>
    <t>King</t>
  </si>
  <si>
    <t>Tampa</t>
  </si>
  <si>
    <t>Upper secondary</t>
  </si>
  <si>
    <t>Clara</t>
  </si>
  <si>
    <t>Spencer</t>
  </si>
  <si>
    <t>Dallas</t>
  </si>
  <si>
    <t>TX</t>
  </si>
  <si>
    <t>Clarence</t>
  </si>
  <si>
    <t>Kirby</t>
  </si>
  <si>
    <t>Athens</t>
  </si>
  <si>
    <t>GA</t>
  </si>
  <si>
    <t>Lower secondary</t>
  </si>
  <si>
    <t>Emery</t>
  </si>
  <si>
    <t>Reid</t>
  </si>
  <si>
    <t>Seatle</t>
  </si>
  <si>
    <t>WA</t>
  </si>
  <si>
    <t>Doctoral</t>
  </si>
  <si>
    <t>Ernest</t>
  </si>
  <si>
    <t>Vaughn</t>
  </si>
  <si>
    <t>Boston</t>
  </si>
  <si>
    <t>MA</t>
  </si>
  <si>
    <t>Frances</t>
  </si>
  <si>
    <t>Camacho</t>
  </si>
  <si>
    <t>New York</t>
  </si>
  <si>
    <t>NY</t>
  </si>
  <si>
    <t>Horacio</t>
  </si>
  <si>
    <t>Fisher</t>
  </si>
  <si>
    <t>Detroit</t>
  </si>
  <si>
    <t>MI</t>
  </si>
  <si>
    <t>Jaime</t>
  </si>
  <si>
    <t>Compton</t>
  </si>
  <si>
    <t>Raleigh</t>
  </si>
  <si>
    <t>NC</t>
  </si>
  <si>
    <t>Jed</t>
  </si>
  <si>
    <t>Bauer</t>
  </si>
  <si>
    <t>San Francisco</t>
  </si>
  <si>
    <t>Bachelor</t>
  </si>
  <si>
    <t>Martin</t>
  </si>
  <si>
    <t>Beasley</t>
  </si>
  <si>
    <t>Chicago</t>
  </si>
  <si>
    <t>IL</t>
  </si>
  <si>
    <t>Melba</t>
  </si>
  <si>
    <t>Buchanan</t>
  </si>
  <si>
    <t>Washington</t>
  </si>
  <si>
    <t>DC</t>
  </si>
  <si>
    <t>Phyllis</t>
  </si>
  <si>
    <t>Jefferson</t>
  </si>
  <si>
    <t>Houston</t>
  </si>
  <si>
    <t>Porltland</t>
  </si>
  <si>
    <t>OR</t>
  </si>
  <si>
    <t>Phoenix</t>
  </si>
  <si>
    <t>AZ</t>
  </si>
  <si>
    <t>Terra</t>
  </si>
  <si>
    <t>Greer</t>
  </si>
  <si>
    <t>Las Vegas</t>
  </si>
  <si>
    <t>NV</t>
  </si>
  <si>
    <t>Valarie</t>
  </si>
  <si>
    <t>Thornton</t>
  </si>
  <si>
    <t>Austin</t>
  </si>
  <si>
    <t>Month</t>
  </si>
  <si>
    <t>February 2018</t>
  </si>
  <si>
    <t>MONTHLY EXPENSES</t>
  </si>
  <si>
    <t>Actuals</t>
  </si>
  <si>
    <t>Monthly Budget</t>
  </si>
  <si>
    <t>Difference</t>
  </si>
  <si>
    <t>TOTAL INCOME</t>
  </si>
  <si>
    <t>Paycheck</t>
  </si>
  <si>
    <t>Freelance</t>
  </si>
  <si>
    <t>TOTAL EXPENSES</t>
  </si>
  <si>
    <t>House</t>
  </si>
  <si>
    <t>Mortgage</t>
  </si>
  <si>
    <t>Home Improvements</t>
  </si>
  <si>
    <t>Bills</t>
  </si>
  <si>
    <t>Utilities</t>
  </si>
  <si>
    <t>Food</t>
  </si>
  <si>
    <t>Groceries</t>
  </si>
  <si>
    <t>Eating Out</t>
  </si>
  <si>
    <t>Coffee</t>
  </si>
  <si>
    <t>Vehicle</t>
  </si>
  <si>
    <t>Auto and Gas</t>
  </si>
  <si>
    <t>Parking</t>
  </si>
  <si>
    <t>Donations</t>
  </si>
  <si>
    <t>Charity</t>
  </si>
  <si>
    <t>Miscelaneous</t>
  </si>
  <si>
    <t>Travel</t>
  </si>
  <si>
    <t>Stuff</t>
  </si>
  <si>
    <t>Classes</t>
  </si>
  <si>
    <t>Gear and Clothing</t>
  </si>
  <si>
    <t>Subscriptions</t>
  </si>
  <si>
    <t>NET INCOME/SAVINGS</t>
  </si>
  <si>
    <t>Date</t>
  </si>
  <si>
    <t>Date Formatted</t>
  </si>
  <si>
    <t>Description</t>
  </si>
  <si>
    <t>Category</t>
  </si>
  <si>
    <t>Amount</t>
  </si>
  <si>
    <t>Account #</t>
  </si>
  <si>
    <t>Family Member</t>
  </si>
  <si>
    <t>Account</t>
  </si>
  <si>
    <t>Owner</t>
  </si>
  <si>
    <t>Methow Conservancy</t>
  </si>
  <si>
    <t>xxxx3244</t>
  </si>
  <si>
    <t>Family Checking</t>
  </si>
  <si>
    <t>Family</t>
  </si>
  <si>
    <t>Zeitgeist Coffee, Seattle, WA</t>
  </si>
  <si>
    <t>xxxx1561</t>
  </si>
  <si>
    <t>xxxx1005</t>
  </si>
  <si>
    <t>Dad - American Express</t>
  </si>
  <si>
    <t>Dad</t>
  </si>
  <si>
    <t>Shell Oil, Auto Fuel Dispenser</t>
  </si>
  <si>
    <t>xxxx3827</t>
  </si>
  <si>
    <t>Dad - Mastercard Credit Card</t>
  </si>
  <si>
    <t>Winthrop Mountain Sports Winthrop, WA</t>
  </si>
  <si>
    <t>xxxx3499</t>
  </si>
  <si>
    <t>xxxx5345</t>
  </si>
  <si>
    <t>Mom - Mastercard Credit Card</t>
  </si>
  <si>
    <t>Mom</t>
  </si>
  <si>
    <t>Toyota of Seattle, Seattle, WA</t>
  </si>
  <si>
    <t>Daughter - Visa Credit Card</t>
  </si>
  <si>
    <t>Daughter</t>
  </si>
  <si>
    <t>Amazon.com</t>
  </si>
  <si>
    <t>xxxx2387</t>
  </si>
  <si>
    <t>Mom - Visa Credit Card</t>
  </si>
  <si>
    <t>Chase Bank Mortgage</t>
  </si>
  <si>
    <t>Dad - Visa Credit Card</t>
  </si>
  <si>
    <t>Audible</t>
  </si>
  <si>
    <t>Storyville Coffee, Seattle, WA</t>
  </si>
  <si>
    <t>Hank's Harvest Foodstwisp WA</t>
  </si>
  <si>
    <t>Ikea Seattle, Renton, WA</t>
  </si>
  <si>
    <t>Itunes.com</t>
  </si>
  <si>
    <t>Mazama Store, Mazama</t>
  </si>
  <si>
    <t>New York Times Digital</t>
  </si>
  <si>
    <t>Roadpost Usa</t>
  </si>
  <si>
    <t>Chevron Service Stn</t>
  </si>
  <si>
    <t>Texaco Service Stn</t>
  </si>
  <si>
    <t>Costco Gas, Burlington</t>
  </si>
  <si>
    <t>Dropbox</t>
  </si>
  <si>
    <t>Zoka Coffee Roa, Seattle, WA</t>
  </si>
  <si>
    <t>Okanogan County Energy, Winthrop, WA</t>
  </si>
  <si>
    <t>Alaska Air</t>
  </si>
  <si>
    <t>Seattle YMCA</t>
  </si>
  <si>
    <t>Trader Joe's #130, Seattle</t>
  </si>
  <si>
    <t>Tiller (tillerhq.com)</t>
  </si>
  <si>
    <t>Alaska Wilderness League</t>
  </si>
  <si>
    <t>Big Star Montessori</t>
  </si>
  <si>
    <t>PCC Natural Market - Issaquah WA</t>
  </si>
  <si>
    <t>Etsy</t>
  </si>
  <si>
    <t>Espresso Vivace Seattle, Seattle, WA</t>
  </si>
  <si>
    <t>The Essential Baking Co, Seattle, WA</t>
  </si>
  <si>
    <t>AT&amp;T</t>
  </si>
  <si>
    <t>Centurylink</t>
  </si>
  <si>
    <t>Portage Bay Cafe and Cate, Seattle, WA</t>
  </si>
  <si>
    <t>Whole Foods - Seattle WA</t>
  </si>
  <si>
    <t>REI, Store 11, Seattle</t>
  </si>
  <si>
    <t>Union Garage</t>
  </si>
  <si>
    <t>Evergreen Iga Market</t>
  </si>
  <si>
    <t>Glover Street Market</t>
  </si>
  <si>
    <t>Home Depot</t>
  </si>
  <si>
    <t>United Way</t>
  </si>
  <si>
    <t>Khan Academy</t>
  </si>
  <si>
    <t>North Valley Lumber</t>
  </si>
  <si>
    <t>EXPENSES BY FAMILY MEMBER</t>
  </si>
  <si>
    <t>Income</t>
  </si>
  <si>
    <t>Expense</t>
  </si>
  <si>
    <t>EXPENSES BY MONTH</t>
  </si>
  <si>
    <t>December 2017</t>
  </si>
  <si>
    <t>January 2018</t>
  </si>
  <si>
    <t>Expenses</t>
  </si>
  <si>
    <t>Net Income/Savings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</si>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</sst>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4" formatCode="_(&quot;$&quot;* #,##0.00_);_(&quot;$&quot;* \(#,##0.00\);_(&quot;$&quot;* &quot;-&quot;??_);_(@_)"/>
    <numFmt numFmtId="164" formatCode="0.0000"/>
    <numFmt numFmtId="165" formatCode="&quot;$&quot;#,##0.00"/>
    <numFmt numFmtId="166" formatCode="[$R$]#,##0.00"/>
    <numFmt numFmtId="167" formatCode="m/d"/>
    <numFmt numFmtId="168" formatCode="mmmm\ d\,\ yyyy"/>
    <numFmt numFmtId="169" formatCode="mmmm\ d\,yyyy"/>
    <numFmt numFmtId="170" formatCode="mmm\ d\,\ yyyy"/>
    <numFmt numFmtId="171" formatCode="mmm&quot; &quot;d&quot;, &quot;yyyy"/>
    <numFmt numFmtId="172" formatCode="#,##0.0000000000"/>
    <numFmt numFmtId="173" formatCode="&quot;$&quot;#,##0"/>
    <numFmt numFmtId="174" formatCode="[$R]#,##0"/>
    <numFmt numFmtId="175" formatCode="\(000\)\ 000\-000"/>
    <numFmt numFmtId="176" formatCode="mmmm\ yyyy"/>
    <numFmt numFmtId="177" formatCode="m/d/yyyy\ h:mm:ss"/>
    <numFmt numFmtId="178" formatCode="mmm&quot; &quot;yyyy"/>
  </numFmts>
  <fonts count="22">
    <font>
      <sz val="10"/>
      <color rgb="FF000000"/>
      <name val="Arial"/>
      <scheme val="minor"/>
    </font>
    <font>
      <b/>
      <u/>
      <sz val="1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00"/>
      <name val="Arial"/>
    </font>
    <font>
      <b/>
      <u/>
      <sz val="10"/>
      <color theme="1"/>
      <name val="Arial"/>
    </font>
    <font>
      <sz val="12"/>
      <color theme="1"/>
      <name val="Times New Roman"/>
    </font>
    <font>
      <i/>
      <sz val="10"/>
      <color theme="1"/>
      <name val="Arial"/>
    </font>
    <font>
      <strike/>
      <sz val="10"/>
      <color theme="1"/>
      <name val="Arial"/>
    </font>
    <font>
      <b/>
      <i/>
      <strike/>
      <sz val="10"/>
      <color theme="1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name val="Arial"/>
    </font>
    <font>
      <sz val="10"/>
      <color theme="1"/>
      <name val="Arial"/>
      <scheme val="minor"/>
    </font>
    <font>
      <b/>
      <u/>
      <sz val="14"/>
      <color theme="1"/>
      <name val="Arial"/>
    </font>
    <font>
      <b/>
      <u/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b/>
      <sz val="10"/>
      <color theme="1"/>
      <name val="Arial"/>
      <scheme val="minor"/>
    </font>
    <font>
      <b/>
      <i/>
      <sz val="10"/>
      <color theme="1"/>
      <name val="Arial"/>
    </font>
    <font>
      <sz val="10"/>
      <color rgb="FFFFFFFF"/>
      <name val="Overpass"/>
    </font>
    <font>
      <b/>
      <sz val="10"/>
      <color rgb="FF000000"/>
      <name val="Arial"/>
    </font>
  </fonts>
  <fills count="2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E7F9EF"/>
        <bgColor rgb="FFE7F9EF"/>
      </patternFill>
    </fill>
    <fill>
      <patternFill patternType="solid">
        <fgColor rgb="FFB7E1CD"/>
        <bgColor rgb="FFB7E1CD"/>
      </patternFill>
    </fill>
    <fill>
      <patternFill patternType="solid">
        <fgColor rgb="FFFEF8E3"/>
        <bgColor rgb="FFFEF8E3"/>
      </patternFill>
    </fill>
    <fill>
      <patternFill patternType="solid">
        <fgColor rgb="FFF9CB9C"/>
        <bgColor rgb="FFF9CB9C"/>
      </patternFill>
    </fill>
    <fill>
      <patternFill patternType="solid">
        <fgColor rgb="FFFFE6DD"/>
        <bgColor rgb="FFFFE6DD"/>
      </patternFill>
    </fill>
    <fill>
      <patternFill patternType="solid">
        <fgColor rgb="FFF6B26B"/>
        <bgColor rgb="FFF6B26B"/>
      </patternFill>
    </fill>
    <fill>
      <patternFill patternType="solid">
        <fgColor rgb="FF2E86DE"/>
        <bgColor rgb="FF2E86DE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5" borderId="1" xfId="0" applyFont="1" applyFill="1" applyBorder="1" applyAlignment="1"/>
    <xf numFmtId="0" fontId="2" fillId="0" borderId="0" xfId="0" applyFont="1" applyAlignment="1">
      <alignment horizontal="left"/>
    </xf>
    <xf numFmtId="0" fontId="2" fillId="5" borderId="1" xfId="0" applyFont="1" applyFill="1" applyBorder="1" applyAlignment="1"/>
    <xf numFmtId="0" fontId="7" fillId="0" borderId="0" xfId="0" applyFont="1"/>
    <xf numFmtId="0" fontId="7" fillId="0" borderId="0" xfId="0" applyFont="1" applyAlignment="1">
      <alignment horizontal="left"/>
    </xf>
    <xf numFmtId="0" fontId="7" fillId="5" borderId="1" xfId="0" applyFont="1" applyFill="1" applyBorder="1" applyAlignment="1"/>
    <xf numFmtId="0" fontId="8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/>
    <xf numFmtId="0" fontId="9" fillId="0" borderId="0" xfId="0" applyFont="1"/>
    <xf numFmtId="0" fontId="9" fillId="0" borderId="0" xfId="0" applyFont="1" applyAlignment="1">
      <alignment horizontal="left"/>
    </xf>
    <xf numFmtId="0" fontId="9" fillId="5" borderId="1" xfId="0" applyFont="1" applyFill="1" applyBorder="1" applyAlignment="1"/>
    <xf numFmtId="0" fontId="3" fillId="0" borderId="0" xfId="0" applyFont="1"/>
    <xf numFmtId="0" fontId="3" fillId="0" borderId="0" xfId="0" applyFont="1" applyAlignment="1">
      <alignment horizontal="right"/>
    </xf>
    <xf numFmtId="0" fontId="3" fillId="5" borderId="1" xfId="0" applyFont="1" applyFill="1" applyBorder="1" applyAlignment="1"/>
    <xf numFmtId="164" fontId="3" fillId="5" borderId="1" xfId="0" applyNumberFormat="1" applyFont="1" applyFill="1" applyBorder="1" applyAlignment="1"/>
    <xf numFmtId="0" fontId="10" fillId="6" borderId="1" xfId="0" applyFont="1" applyFill="1" applyBorder="1"/>
    <xf numFmtId="0" fontId="3" fillId="6" borderId="1" xfId="0" applyFont="1" applyFill="1" applyBorder="1"/>
    <xf numFmtId="10" fontId="3" fillId="0" borderId="0" xfId="0" applyNumberFormat="1" applyFont="1" applyAlignment="1">
      <alignment horizontal="right"/>
    </xf>
    <xf numFmtId="10" fontId="3" fillId="5" borderId="1" xfId="0" applyNumberFormat="1" applyFont="1" applyFill="1" applyBorder="1" applyAlignment="1"/>
    <xf numFmtId="165" fontId="3" fillId="0" borderId="0" xfId="0" applyNumberFormat="1" applyFont="1" applyAlignment="1">
      <alignment horizontal="right"/>
    </xf>
    <xf numFmtId="166" fontId="3" fillId="5" borderId="1" xfId="0" applyNumberFormat="1" applyFont="1" applyFill="1" applyBorder="1" applyAlignment="1"/>
    <xf numFmtId="44" fontId="3" fillId="0" borderId="0" xfId="0" applyNumberFormat="1" applyFont="1" applyAlignment="1">
      <alignment horizontal="right"/>
    </xf>
    <xf numFmtId="44" fontId="3" fillId="5" borderId="1" xfId="0" applyNumberFormat="1" applyFont="1" applyFill="1" applyBorder="1" applyAlignment="1"/>
    <xf numFmtId="11" fontId="3" fillId="0" borderId="0" xfId="0" applyNumberFormat="1" applyFont="1" applyAlignment="1">
      <alignment horizontal="right"/>
    </xf>
    <xf numFmtId="11" fontId="3" fillId="5" borderId="1" xfId="0" applyNumberFormat="1" applyFont="1" applyFill="1" applyBorder="1" applyAlignment="1"/>
    <xf numFmtId="14" fontId="3" fillId="0" borderId="0" xfId="0" applyNumberFormat="1" applyFont="1"/>
    <xf numFmtId="14" fontId="3" fillId="5" borderId="1" xfId="0" applyNumberFormat="1" applyFont="1" applyFill="1" applyBorder="1" applyAlignment="1"/>
    <xf numFmtId="167" fontId="3" fillId="0" borderId="0" xfId="0" applyNumberFormat="1" applyFont="1"/>
    <xf numFmtId="167" fontId="3" fillId="5" borderId="1" xfId="0" applyNumberFormat="1" applyFont="1" applyFill="1" applyBorder="1" applyAlignment="1"/>
    <xf numFmtId="168" fontId="3" fillId="0" borderId="0" xfId="0" applyNumberFormat="1" applyFont="1"/>
    <xf numFmtId="169" fontId="3" fillId="5" borderId="1" xfId="0" applyNumberFormat="1" applyFont="1" applyFill="1" applyBorder="1" applyAlignment="1"/>
    <xf numFmtId="170" fontId="3" fillId="0" borderId="0" xfId="0" applyNumberFormat="1" applyFont="1"/>
    <xf numFmtId="171" fontId="3" fillId="5" borderId="1" xfId="0" applyNumberFormat="1" applyFont="1" applyFill="1" applyBorder="1" applyAlignment="1"/>
    <xf numFmtId="0" fontId="3" fillId="0" borderId="0" xfId="0" quotePrefix="1" applyFont="1" applyAlignment="1">
      <alignment horizontal="left"/>
    </xf>
    <xf numFmtId="0" fontId="3" fillId="5" borderId="1" xfId="0" applyFont="1" applyFill="1" applyBorder="1"/>
    <xf numFmtId="172" fontId="3" fillId="5" borderId="1" xfId="0" applyNumberFormat="1" applyFont="1" applyFill="1" applyBorder="1" applyAlignme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3" fillId="0" borderId="0" xfId="0" applyFont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11" fillId="0" borderId="0" xfId="0" applyFont="1"/>
    <xf numFmtId="0" fontId="11" fillId="5" borderId="1" xfId="0" applyFont="1" applyFill="1" applyBorder="1" applyAlignment="1"/>
    <xf numFmtId="0" fontId="3" fillId="7" borderId="1" xfId="0" applyFont="1" applyFill="1" applyBorder="1"/>
    <xf numFmtId="0" fontId="3" fillId="8" borderId="1" xfId="0" applyFont="1" applyFill="1" applyBorder="1" applyAlignment="1"/>
    <xf numFmtId="0" fontId="3" fillId="0" borderId="0" xfId="0" applyFont="1" applyAlignment="1">
      <alignment wrapText="1"/>
    </xf>
    <xf numFmtId="0" fontId="3" fillId="5" borderId="1" xfId="0" applyFont="1" applyFill="1" applyBorder="1" applyAlignment="1">
      <alignment vertical="top" wrapText="1"/>
    </xf>
    <xf numFmtId="0" fontId="3" fillId="0" borderId="5" xfId="0" applyFont="1" applyBorder="1"/>
    <xf numFmtId="0" fontId="3" fillId="5" borderId="6" xfId="0" applyFont="1" applyFill="1" applyBorder="1"/>
    <xf numFmtId="0" fontId="1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0" xfId="0" quotePrefix="1" applyFont="1" applyAlignment="1">
      <alignment horizontal="center"/>
    </xf>
    <xf numFmtId="0" fontId="2" fillId="9" borderId="0" xfId="0" applyFont="1" applyFill="1" applyAlignment="1">
      <alignment horizontal="center"/>
    </xf>
    <xf numFmtId="0" fontId="3" fillId="10" borderId="0" xfId="0" applyFont="1" applyFill="1"/>
    <xf numFmtId="165" fontId="3" fillId="10" borderId="0" xfId="0" applyNumberFormat="1" applyFont="1" applyFill="1"/>
    <xf numFmtId="0" fontId="3" fillId="10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5" fontId="3" fillId="0" borderId="0" xfId="0" applyNumberFormat="1" applyFont="1"/>
    <xf numFmtId="0" fontId="13" fillId="0" borderId="0" xfId="0" applyFont="1"/>
    <xf numFmtId="0" fontId="2" fillId="0" borderId="0" xfId="0" applyFont="1" applyAlignment="1">
      <alignment horizontal="right"/>
    </xf>
    <xf numFmtId="9" fontId="2" fillId="11" borderId="1" xfId="0" applyNumberFormat="1" applyFont="1" applyFill="1" applyBorder="1" applyAlignment="1">
      <alignment horizontal="center"/>
    </xf>
    <xf numFmtId="165" fontId="3" fillId="10" borderId="0" xfId="0" applyNumberFormat="1" applyFont="1" applyFill="1" applyAlignment="1">
      <alignment horizontal="right"/>
    </xf>
    <xf numFmtId="0" fontId="2" fillId="11" borderId="1" xfId="0" applyFont="1" applyFill="1" applyBorder="1" applyAlignment="1">
      <alignment horizontal="center"/>
    </xf>
    <xf numFmtId="0" fontId="14" fillId="0" borderId="0" xfId="0" applyFont="1"/>
    <xf numFmtId="0" fontId="2" fillId="11" borderId="2" xfId="0" applyFont="1" applyFill="1" applyBorder="1"/>
    <xf numFmtId="0" fontId="3" fillId="13" borderId="1" xfId="0" applyFont="1" applyFill="1" applyBorder="1"/>
    <xf numFmtId="0" fontId="15" fillId="0" borderId="0" xfId="0" applyFont="1"/>
    <xf numFmtId="0" fontId="2" fillId="9" borderId="0" xfId="0" applyFont="1" applyFill="1"/>
    <xf numFmtId="173" fontId="3" fillId="10" borderId="0" xfId="0" applyNumberFormat="1" applyFont="1" applyFill="1"/>
    <xf numFmtId="173" fontId="3" fillId="5" borderId="1" xfId="0" applyNumberFormat="1" applyFont="1" applyFill="1" applyBorder="1"/>
    <xf numFmtId="173" fontId="3" fillId="0" borderId="0" xfId="0" applyNumberFormat="1" applyFont="1"/>
    <xf numFmtId="0" fontId="2" fillId="0" borderId="0" xfId="0" applyFont="1" applyAlignment="1">
      <alignment horizontal="center"/>
    </xf>
    <xf numFmtId="173" fontId="3" fillId="5" borderId="1" xfId="0" applyNumberFormat="1" applyFont="1" applyFill="1" applyBorder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2" fillId="1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3" fillId="0" borderId="0" xfId="0" applyFont="1" applyAlignme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" fontId="3" fillId="5" borderId="1" xfId="0" applyNumberFormat="1" applyFont="1" applyFill="1" applyBorder="1"/>
    <xf numFmtId="14" fontId="3" fillId="5" borderId="1" xfId="0" applyNumberFormat="1" applyFont="1" applyFill="1" applyBorder="1"/>
    <xf numFmtId="0" fontId="2" fillId="0" borderId="0" xfId="0" applyFont="1" applyAlignment="1">
      <alignment vertic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/>
    <xf numFmtId="0" fontId="13" fillId="5" borderId="0" xfId="0" applyFont="1" applyFill="1"/>
    <xf numFmtId="0" fontId="2" fillId="12" borderId="14" xfId="0" applyFont="1" applyFill="1" applyBorder="1"/>
    <xf numFmtId="0" fontId="2" fillId="12" borderId="15" xfId="0" applyFont="1" applyFill="1" applyBorder="1"/>
    <xf numFmtId="0" fontId="2" fillId="12" borderId="1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14" borderId="2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3" fillId="13" borderId="2" xfId="0" applyFont="1" applyFill="1" applyBorder="1"/>
    <xf numFmtId="0" fontId="3" fillId="13" borderId="2" xfId="0" applyFont="1" applyFill="1" applyBorder="1"/>
    <xf numFmtId="174" fontId="3" fillId="13" borderId="2" xfId="0" applyNumberFormat="1" applyFont="1" applyFill="1" applyBorder="1"/>
    <xf numFmtId="175" fontId="3" fillId="13" borderId="2" xfId="0" applyNumberFormat="1" applyFont="1" applyFill="1" applyBorder="1"/>
    <xf numFmtId="0" fontId="3" fillId="15" borderId="2" xfId="0" applyFont="1" applyFill="1" applyBorder="1"/>
    <xf numFmtId="0" fontId="3" fillId="15" borderId="2" xfId="0" applyFont="1" applyFill="1" applyBorder="1"/>
    <xf numFmtId="174" fontId="3" fillId="15" borderId="2" xfId="0" applyNumberFormat="1" applyFont="1" applyFill="1" applyBorder="1"/>
    <xf numFmtId="175" fontId="3" fillId="15" borderId="2" xfId="0" applyNumberFormat="1" applyFont="1" applyFill="1" applyBorder="1"/>
    <xf numFmtId="1" fontId="3" fillId="13" borderId="2" xfId="0" applyNumberFormat="1" applyFont="1" applyFill="1" applyBorder="1"/>
    <xf numFmtId="0" fontId="3" fillId="15" borderId="21" xfId="0" applyFont="1" applyFill="1" applyBorder="1"/>
    <xf numFmtId="0" fontId="3" fillId="15" borderId="21" xfId="0" applyFont="1" applyFill="1" applyBorder="1"/>
    <xf numFmtId="174" fontId="3" fillId="15" borderId="21" xfId="0" applyNumberFormat="1" applyFont="1" applyFill="1" applyBorder="1"/>
    <xf numFmtId="175" fontId="3" fillId="15" borderId="21" xfId="0" applyNumberFormat="1" applyFont="1" applyFill="1" applyBorder="1"/>
    <xf numFmtId="0" fontId="17" fillId="13" borderId="1" xfId="0" applyFont="1" applyFill="1" applyBorder="1"/>
    <xf numFmtId="0" fontId="17" fillId="13" borderId="4" xfId="0" applyFont="1" applyFill="1" applyBorder="1"/>
    <xf numFmtId="0" fontId="17" fillId="13" borderId="0" xfId="0" applyFont="1" applyFill="1"/>
    <xf numFmtId="0" fontId="18" fillId="0" borderId="0" xfId="0" applyFont="1" applyAlignment="1"/>
    <xf numFmtId="49" fontId="13" fillId="11" borderId="2" xfId="0" applyNumberFormat="1" applyFont="1" applyFill="1" applyBorder="1" applyAlignment="1"/>
    <xf numFmtId="0" fontId="2" fillId="0" borderId="15" xfId="0" applyFont="1" applyBorder="1" applyAlignment="1">
      <alignment horizontal="center"/>
    </xf>
    <xf numFmtId="0" fontId="2" fillId="16" borderId="15" xfId="0" applyFont="1" applyFill="1" applyBorder="1"/>
    <xf numFmtId="44" fontId="2" fillId="16" borderId="15" xfId="0" applyNumberFormat="1" applyFont="1" applyFill="1" applyBorder="1"/>
    <xf numFmtId="0" fontId="7" fillId="0" borderId="31" xfId="0" applyFont="1" applyBorder="1" applyAlignment="1">
      <alignment horizontal="right"/>
    </xf>
    <xf numFmtId="44" fontId="7" fillId="0" borderId="31" xfId="0" applyNumberFormat="1" applyFont="1" applyBorder="1"/>
    <xf numFmtId="44" fontId="7" fillId="17" borderId="32" xfId="0" applyNumberFormat="1" applyFont="1" applyFill="1" applyBorder="1"/>
    <xf numFmtId="0" fontId="7" fillId="0" borderId="33" xfId="0" applyFont="1" applyBorder="1" applyAlignment="1">
      <alignment horizontal="right"/>
    </xf>
    <xf numFmtId="44" fontId="7" fillId="0" borderId="33" xfId="0" applyNumberFormat="1" applyFont="1" applyBorder="1"/>
    <xf numFmtId="44" fontId="7" fillId="17" borderId="33" xfId="0" applyNumberFormat="1" applyFont="1" applyFill="1" applyBorder="1"/>
    <xf numFmtId="0" fontId="2" fillId="18" borderId="15" xfId="0" applyFont="1" applyFill="1" applyBorder="1"/>
    <xf numFmtId="44" fontId="2" fillId="18" borderId="15" xfId="0" applyNumberFormat="1" applyFont="1" applyFill="1" applyBorder="1"/>
    <xf numFmtId="0" fontId="19" fillId="19" borderId="15" xfId="0" applyFont="1" applyFill="1" applyBorder="1"/>
    <xf numFmtId="44" fontId="2" fillId="19" borderId="15" xfId="0" applyNumberFormat="1" applyFont="1" applyFill="1" applyBorder="1"/>
    <xf numFmtId="0" fontId="7" fillId="0" borderId="34" xfId="0" applyFont="1" applyBorder="1" applyAlignment="1">
      <alignment horizontal="right"/>
    </xf>
    <xf numFmtId="44" fontId="7" fillId="0" borderId="34" xfId="0" applyNumberFormat="1" applyFont="1" applyBorder="1"/>
    <xf numFmtId="44" fontId="7" fillId="17" borderId="35" xfId="0" applyNumberFormat="1" applyFont="1" applyFill="1" applyBorder="1"/>
    <xf numFmtId="0" fontId="2" fillId="19" borderId="15" xfId="0" applyFont="1" applyFill="1" applyBorder="1"/>
    <xf numFmtId="0" fontId="7" fillId="0" borderId="36" xfId="0" applyFont="1" applyBorder="1" applyAlignment="1">
      <alignment horizontal="right"/>
    </xf>
    <xf numFmtId="44" fontId="7" fillId="0" borderId="36" xfId="0" applyNumberFormat="1" applyFont="1" applyBorder="1"/>
    <xf numFmtId="44" fontId="7" fillId="17" borderId="36" xfId="0" applyNumberFormat="1" applyFont="1" applyFill="1" applyBorder="1"/>
    <xf numFmtId="0" fontId="7" fillId="0" borderId="18" xfId="0" applyFont="1" applyBorder="1" applyAlignment="1">
      <alignment horizontal="right"/>
    </xf>
    <xf numFmtId="44" fontId="7" fillId="0" borderId="18" xfId="0" applyNumberFormat="1" applyFont="1" applyBorder="1"/>
    <xf numFmtId="44" fontId="7" fillId="17" borderId="37" xfId="0" applyNumberFormat="1" applyFont="1" applyFill="1" applyBorder="1"/>
    <xf numFmtId="0" fontId="2" fillId="20" borderId="15" xfId="0" applyFont="1" applyFill="1" applyBorder="1"/>
    <xf numFmtId="44" fontId="2" fillId="20" borderId="15" xfId="0" applyNumberFormat="1" applyFont="1" applyFill="1" applyBorder="1"/>
    <xf numFmtId="49" fontId="20" fillId="21" borderId="1" xfId="0" quotePrefix="1" applyNumberFormat="1" applyFont="1" applyFill="1" applyBorder="1" applyAlignment="1">
      <alignment horizontal="center"/>
    </xf>
    <xf numFmtId="0" fontId="20" fillId="21" borderId="1" xfId="0" applyFont="1" applyFill="1" applyBorder="1" applyAlignment="1">
      <alignment horizontal="center"/>
    </xf>
    <xf numFmtId="0" fontId="20" fillId="21" borderId="1" xfId="0" applyFont="1" applyFill="1" applyBorder="1"/>
    <xf numFmtId="165" fontId="20" fillId="21" borderId="1" xfId="0" applyNumberFormat="1" applyFont="1" applyFill="1" applyBorder="1" applyAlignment="1">
      <alignment horizontal="center"/>
    </xf>
    <xf numFmtId="0" fontId="20" fillId="21" borderId="0" xfId="0" applyFont="1" applyFill="1" applyAlignment="1"/>
    <xf numFmtId="165" fontId="20" fillId="21" borderId="1" xfId="0" applyNumberFormat="1" applyFont="1" applyFill="1" applyBorder="1"/>
    <xf numFmtId="14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49" fontId="2" fillId="2" borderId="15" xfId="0" applyNumberFormat="1" applyFont="1" applyFill="1" applyBorder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44" fontId="3" fillId="0" borderId="0" xfId="0" applyNumberFormat="1" applyFont="1"/>
    <xf numFmtId="44" fontId="2" fillId="0" borderId="0" xfId="0" applyNumberFormat="1" applyFont="1"/>
    <xf numFmtId="0" fontId="2" fillId="0" borderId="0" xfId="0" quotePrefix="1" applyFont="1"/>
    <xf numFmtId="177" fontId="20" fillId="21" borderId="1" xfId="0" applyNumberFormat="1" applyFont="1" applyFill="1" applyBorder="1" applyAlignment="1">
      <alignment horizontal="center"/>
    </xf>
    <xf numFmtId="178" fontId="3" fillId="0" borderId="0" xfId="0" applyNumberFormat="1" applyFo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3" fillId="5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3" fillId="11" borderId="11" xfId="0" quotePrefix="1" applyFont="1" applyFill="1" applyBorder="1"/>
    <xf numFmtId="0" fontId="12" fillId="0" borderId="12" xfId="0" applyFont="1" applyBorder="1"/>
    <xf numFmtId="0" fontId="12" fillId="0" borderId="13" xfId="0" applyFont="1" applyBorder="1"/>
    <xf numFmtId="0" fontId="2" fillId="12" borderId="9" xfId="0" quotePrefix="1" applyFont="1" applyFill="1" applyBorder="1" applyAlignment="1">
      <alignment vertical="center"/>
    </xf>
    <xf numFmtId="0" fontId="12" fillId="0" borderId="10" xfId="0" applyFont="1" applyBorder="1"/>
    <xf numFmtId="0" fontId="3" fillId="11" borderId="11" xfId="0" applyFont="1" applyFill="1" applyBorder="1"/>
    <xf numFmtId="0" fontId="3" fillId="11" borderId="26" xfId="0" applyFont="1" applyFill="1" applyBorder="1"/>
    <xf numFmtId="0" fontId="12" fillId="0" borderId="27" xfId="0" applyFont="1" applyBorder="1"/>
    <xf numFmtId="0" fontId="3" fillId="11" borderId="28" xfId="0" applyFont="1" applyFill="1" applyBorder="1"/>
    <xf numFmtId="0" fontId="12" fillId="0" borderId="29" xfId="0" applyFont="1" applyBorder="1"/>
    <xf numFmtId="0" fontId="12" fillId="0" borderId="30" xfId="0" applyFont="1" applyBorder="1"/>
    <xf numFmtId="0" fontId="2" fillId="11" borderId="23" xfId="0" applyFont="1" applyFill="1" applyBorder="1"/>
    <xf numFmtId="0" fontId="12" fillId="0" borderId="24" xfId="0" applyFont="1" applyBorder="1"/>
    <xf numFmtId="0" fontId="12" fillId="0" borderId="25" xfId="0" applyFont="1" applyBorder="1"/>
  </cellXfs>
  <cellStyles count="1">
    <cellStyle name="Normal" xfId="0" builtinId="0"/>
  </cellStyles>
  <dxfs count="25"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4">
    <tableStyle name="Task 8 Basic charts-style" pivot="0" count="4" xr9:uid="{00000000-0011-0000-FFFF-FFFF00000000}">
      <tableStyleElement type="headerRow" dxfId="24"/>
      <tableStyleElement type="totalRow" dxfId="21"/>
      <tableStyleElement type="firstRowStripe" dxfId="23"/>
      <tableStyleElement type="secondRowStripe" dxfId="22"/>
    </tableStyle>
    <tableStyle name="Task 8 Basic charts-style 2" pivot="0" count="4" xr9:uid="{00000000-0011-0000-FFFF-FFFF01000000}">
      <tableStyleElement type="headerRow" dxfId="20"/>
      <tableStyleElement type="totalRow" dxfId="17"/>
      <tableStyleElement type="firstRowStripe" dxfId="19"/>
      <tableStyleElement type="secondRowStripe" dxfId="18"/>
    </tableStyle>
    <tableStyle name="Task 7 &amp; 8 Solution example-style" pivot="0" count="4" xr9:uid="{00000000-0011-0000-FFFF-FFFF02000000}">
      <tableStyleElement type="headerRow" dxfId="16"/>
      <tableStyleElement type="totalRow" dxfId="13"/>
      <tableStyleElement type="firstRowStripe" dxfId="15"/>
      <tableStyleElement type="secondRowStripe" dxfId="14"/>
    </tableStyle>
    <tableStyle name="Task 7 &amp; 8 Solution example-style 2" pivot="0" count="4" xr9:uid="{00000000-0011-0000-FFFF-FFFF03000000}">
      <tableStyleElement type="headerRow" dxfId="12"/>
      <tableStyleElement type="totalRow" dxfId="9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Income, Expenses &amp; Net Income for December 2017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'Task 8 Basic charts'!$B$15</c:f>
              <c:strCache>
                <c:ptCount val="1"/>
                <c:pt idx="0">
                  <c:v>December 2017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2A2F-4F7D-B0A3-FF8AD45F0EE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2A2F-4F7D-B0A3-FF8AD45F0EE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2A2F-4F7D-B0A3-FF8AD45F0EEE}"/>
              </c:ext>
            </c:extLst>
          </c:dPt>
          <c:cat>
            <c:strRef>
              <c:f>'Task 8 Basic charts'!$A$16:$A$18</c:f>
              <c:strCache>
                <c:ptCount val="3"/>
                <c:pt idx="0">
                  <c:v>Income</c:v>
                </c:pt>
                <c:pt idx="1">
                  <c:v>Expenses</c:v>
                </c:pt>
                <c:pt idx="2">
                  <c:v>Net Income/Savings</c:v>
                </c:pt>
              </c:strCache>
            </c:strRef>
          </c:cat>
          <c:val>
            <c:numRef>
              <c:f>'Task 8 Basic charts'!$B$16:$B$18</c:f>
              <c:numCache>
                <c:formatCode>_("$"* #,##0.00_);_("$"* \(#,##0.00\);_("$"* "-"??_);_(@_)</c:formatCode>
                <c:ptCount val="3"/>
                <c:pt idx="0">
                  <c:v>6197.587855184428</c:v>
                </c:pt>
                <c:pt idx="1">
                  <c:v>5257.1023498064096</c:v>
                </c:pt>
                <c:pt idx="2">
                  <c:v>940.48550537801839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F-4F7D-B0A3-FF8AD45F0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Income and Expense By Family Members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8 Basic charts'!$A$5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8 Basic charts'!$B$5:$C$5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482-4A23-966B-8E3E3CEA2028}"/>
            </c:ext>
          </c:extLst>
        </c:ser>
        <c:ser>
          <c:idx val="1"/>
          <c:order val="1"/>
          <c:tx>
            <c:strRef>
              <c:f>'Task 8 Basic charts'!$A$6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8 Basic charts'!$B$6:$C$6</c:f>
              <c:numCache>
                <c:formatCode>_("$"* #,##0.00_);_("$"* \(#,##0.00\);_("$"* "-"??_);_(@_)</c:formatCode>
                <c:ptCount val="2"/>
                <c:pt idx="0">
                  <c:v>5544</c:v>
                </c:pt>
                <c:pt idx="1">
                  <c:v>2153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482-4A23-966B-8E3E3CEA2028}"/>
            </c:ext>
          </c:extLst>
        </c:ser>
        <c:ser>
          <c:idx val="2"/>
          <c:order val="2"/>
          <c:tx>
            <c:strRef>
              <c:f>'Task 8 Basic charts'!$A$7</c:f>
              <c:strCache>
                <c:ptCount val="1"/>
                <c:pt idx="0">
                  <c:v>Dad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8 Basic charts'!$B$7:$C$7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3780.8196135331204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482-4A23-966B-8E3E3CEA2028}"/>
            </c:ext>
          </c:extLst>
        </c:ser>
        <c:ser>
          <c:idx val="3"/>
          <c:order val="3"/>
          <c:tx>
            <c:strRef>
              <c:f>'Task 8 Basic charts'!$A$8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8 Basic charts'!$B$8:$C$8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34.787815517242038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482-4A23-966B-8E3E3CEA2028}"/>
            </c:ext>
          </c:extLst>
        </c:ser>
        <c:ser>
          <c:idx val="4"/>
          <c:order val="4"/>
          <c:tx>
            <c:strRef>
              <c:f>'Task 8 Basic charts'!$A$9</c:f>
              <c:strCache>
                <c:ptCount val="1"/>
                <c:pt idx="0">
                  <c:v>Daughter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8 Basic charts'!$B$9:$C$9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10.095479406824349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482-4A23-966B-8E3E3CEA2028}"/>
            </c:ext>
          </c:extLst>
        </c:ser>
        <c:ser>
          <c:idx val="5"/>
          <c:order val="5"/>
          <c:tx>
            <c:strRef>
              <c:f>'Task 8 Basic charts'!$A$10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'Task 8 Basic charts'!$B$10:$C$10</c:f>
              <c:numCache>
                <c:formatCode>_("$"* #,##0.00_);_("$"* \(#,##0.00\);_("$"* "-"??_);_(@_)</c:formatCode>
                <c:ptCount val="2"/>
                <c:pt idx="0">
                  <c:v>5544</c:v>
                </c:pt>
                <c:pt idx="1">
                  <c:v>5978.7029084571868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2-4A23-966B-8E3E3CEA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557397"/>
        <c:axId val="1314165627"/>
      </c:barChart>
      <c:catAx>
        <c:axId val="673557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4165627"/>
        <c:crosses val="autoZero"/>
        <c:auto val="1"/>
        <c:lblAlgn val="ctr"/>
        <c:lblOffset val="100"/>
        <c:noMultiLvlLbl val="1"/>
      </c:catAx>
      <c:valAx>
        <c:axId val="1314165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35573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and Expense by Family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'Task 7 &amp; 8 Solution example'!$F$6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'Task 7 &amp; 8 Solution example'!$G$5:$H$5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'Task 7 &amp; 8 Solution example'!$G$6:$H$6</c:f>
              <c:numCache>
                <c:formatCode>_("$"* #,##0.00_);_("$"* \(#,##0.00\);_("$"* "-"??_);_(@_)</c:formatCode>
                <c:ptCount val="2"/>
                <c:pt idx="0">
                  <c:v>5544</c:v>
                </c:pt>
                <c:pt idx="1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2-4C57-847E-7F51D9BD85B1}"/>
            </c:ext>
          </c:extLst>
        </c:ser>
        <c:ser>
          <c:idx val="1"/>
          <c:order val="1"/>
          <c:tx>
            <c:strRef>
              <c:f>'Task 7 &amp; 8 Solution example'!$F$7</c:f>
              <c:strCache>
                <c:ptCount val="1"/>
                <c:pt idx="0">
                  <c:v>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'Task 7 &amp; 8 Solution example'!$G$5:$H$5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'Task 7 &amp; 8 Solution example'!$G$7:$H$7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3780.8196135331204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2-4C57-847E-7F51D9BD85B1}"/>
            </c:ext>
          </c:extLst>
        </c:ser>
        <c:ser>
          <c:idx val="2"/>
          <c:order val="2"/>
          <c:tx>
            <c:strRef>
              <c:f>'Task 7 &amp; 8 Solution example'!$F$8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1"/>
          <c:dLbls>
            <c:dLbl>
              <c:idx val="1"/>
              <c:layout>
                <c:manualLayout>
                  <c:x val="0"/>
                  <c:y val="-1.7406434418688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62-4C57-847E-7F51D9BD8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'Task 7 &amp; 8 Solution example'!$G$5:$H$5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'Task 7 &amp; 8 Solution example'!$G$8:$H$8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34.787815517242038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2-4C57-847E-7F51D9BD85B1}"/>
            </c:ext>
          </c:extLst>
        </c:ser>
        <c:ser>
          <c:idx val="3"/>
          <c:order val="3"/>
          <c:tx>
            <c:strRef>
              <c:f>'Task 7 &amp; 8 Solution example'!$F$9</c:f>
              <c:strCache>
                <c:ptCount val="1"/>
                <c:pt idx="0">
                  <c:v>Daughter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1"/>
          <c:dLbls>
            <c:dLbl>
              <c:idx val="1"/>
              <c:layout>
                <c:manualLayout>
                  <c:x val="-2.6881720430107529E-3"/>
                  <c:y val="-6.1515348902555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62-4C57-847E-7F51D9BD85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'Task 7 &amp; 8 Solution example'!$G$5:$H$5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'Task 7 &amp; 8 Solution example'!$G$9:$H$9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10.095479406824349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2-4C57-847E-7F51D9BD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301930"/>
        <c:axId val="1719677829"/>
      </c:barChart>
      <c:catAx>
        <c:axId val="200830193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77829"/>
        <c:crosses val="autoZero"/>
        <c:auto val="1"/>
        <c:lblAlgn val="ctr"/>
        <c:lblOffset val="100"/>
        <c:noMultiLvlLbl val="1"/>
      </c:catAx>
      <c:valAx>
        <c:axId val="17196778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019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Income and Expenses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'Task 7 &amp; 8 Solution example'!$F$15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7 &amp; 8 Solution example'!$G$15:$I$15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639-4822-A0D9-603150915981}"/>
            </c:ext>
          </c:extLst>
        </c:ser>
        <c:ser>
          <c:idx val="1"/>
          <c:order val="1"/>
          <c:tx>
            <c:strRef>
              <c:f>'Task 7 &amp; 8 Solution example'!$F$16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7 &amp; 8 Solution example'!$G$16:$I$16</c:f>
              <c:numCache>
                <c:formatCode>_("$"* #,##0.00_);_("$"* \(#,##0.00\);_("$"* "-"??_);_(@_)</c:formatCode>
                <c:ptCount val="3"/>
                <c:pt idx="0">
                  <c:v>6197.587855184428</c:v>
                </c:pt>
                <c:pt idx="1">
                  <c:v>6467</c:v>
                </c:pt>
                <c:pt idx="2">
                  <c:v>5544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639-4822-A0D9-603150915981}"/>
            </c:ext>
          </c:extLst>
        </c:ser>
        <c:ser>
          <c:idx val="2"/>
          <c:order val="2"/>
          <c:tx>
            <c:strRef>
              <c:f>'Task 7 &amp; 8 Solution example'!$F$17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'Task 7 &amp; 8 Solution example'!$G$17:$I$17</c:f>
              <c:numCache>
                <c:formatCode>_("$"* #,##0.00_);_("$"* \(#,##0.00\);_("$"* "-"??_);_(@_)</c:formatCode>
                <c:ptCount val="3"/>
                <c:pt idx="0">
                  <c:v>5257.1023498064096</c:v>
                </c:pt>
                <c:pt idx="1">
                  <c:v>6333.4427366906002</c:v>
                </c:pt>
                <c:pt idx="2">
                  <c:v>5978.7029084571868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639-4822-A0D9-603150915981}"/>
            </c:ext>
          </c:extLst>
        </c:ser>
        <c:ser>
          <c:idx val="3"/>
          <c:order val="3"/>
          <c:tx>
            <c:strRef>
              <c:f>'Task 7 &amp; 8 Solution example'!$F$18</c:f>
              <c:strCache>
                <c:ptCount val="1"/>
                <c:pt idx="0">
                  <c:v>Net Income/Savings</c:v>
                </c:pt>
              </c:strCache>
            </c:strRef>
          </c:tx>
          <c:invertIfNegative val="0"/>
          <c:val>
            <c:numRef>
              <c:f>'Task 7 &amp; 8 Solution example'!$G$18:$I$18</c:f>
              <c:numCache>
                <c:formatCode>_("$"* #,##0.00_);_("$"* \(#,##0.00\);_("$"* "-"??_);_(@_)</c:formatCode>
                <c:ptCount val="3"/>
                <c:pt idx="0">
                  <c:v>940.48550537801839</c:v>
                </c:pt>
                <c:pt idx="1">
                  <c:v>133.55726330939979</c:v>
                </c:pt>
                <c:pt idx="2">
                  <c:v>-434.70290845718682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39-4822-A0D9-60315091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969084"/>
        <c:axId val="1013361567"/>
      </c:barChart>
      <c:catAx>
        <c:axId val="194396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013361567"/>
        <c:crosses val="autoZero"/>
        <c:auto val="1"/>
        <c:lblAlgn val="ctr"/>
        <c:lblOffset val="100"/>
        <c:noMultiLvlLbl val="1"/>
      </c:catAx>
      <c:valAx>
        <c:axId val="1013361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439690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21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85725</xdr:colOff>
      <xdr:row>39</xdr:row>
      <xdr:rowOff>76200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0</xdr:row>
      <xdr:rowOff>76201</xdr:rowOff>
    </xdr:from>
    <xdr:ext cx="4724400" cy="313182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247650</xdr:colOff>
      <xdr:row>16</xdr:row>
      <xdr:rowOff>161925</xdr:rowOff>
    </xdr:from>
    <xdr:ext cx="4724400" cy="29241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C10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Task 8 Basic chart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5:D18" headerRowCount="0">
  <tableColumns count="4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</tableColumns>
  <tableStyleInfo name="Task 8 Basic chart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5:H1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Task 7 &amp; 8 Solution examp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5:I18" headerRowCount="0">
  <tableColumns count="4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</tableColumns>
  <tableStyleInfo name="Task 7 &amp; 8 Solution exampl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Z1000"/>
  <sheetViews>
    <sheetView topLeftCell="A44" workbookViewId="0"/>
  </sheetViews>
  <sheetFormatPr defaultColWidth="12.6640625" defaultRowHeight="15" customHeight="1"/>
  <cols>
    <col min="1" max="1" width="27.77734375" customWidth="1"/>
    <col min="2" max="2" width="21" customWidth="1"/>
    <col min="3" max="3" width="15.33203125" customWidth="1"/>
    <col min="4" max="4" width="14.33203125" customWidth="1"/>
    <col min="5" max="5" width="16.21875" customWidth="1"/>
    <col min="6" max="6" width="15.77734375" customWidth="1"/>
    <col min="7" max="7" width="17.21875" customWidth="1"/>
    <col min="8" max="26" width="14.33203125" customWidth="1"/>
  </cols>
  <sheetData>
    <row r="1" spans="1:26" ht="15.75" customHeight="1">
      <c r="A1" s="1" t="s">
        <v>0</v>
      </c>
      <c r="F1" s="2" t="s">
        <v>1</v>
      </c>
    </row>
    <row r="2" spans="1:26" ht="15.75" customHeight="1">
      <c r="F2" s="3"/>
    </row>
    <row r="3" spans="1:26" ht="15.75" customHeight="1">
      <c r="A3" s="4"/>
      <c r="F3" s="3"/>
    </row>
    <row r="4" spans="1:26" ht="15.75" customHeight="1">
      <c r="A4" s="5" t="s">
        <v>2</v>
      </c>
      <c r="B4" s="6"/>
      <c r="C4" s="6"/>
      <c r="D4" s="6"/>
      <c r="E4" s="6"/>
      <c r="F4" s="7" t="s">
        <v>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.25" customHeight="1">
      <c r="F5" s="3"/>
    </row>
    <row r="6" spans="1:26" ht="15.75" customHeight="1">
      <c r="C6" s="8" t="s">
        <v>4</v>
      </c>
      <c r="D6" s="8" t="s">
        <v>5</v>
      </c>
      <c r="F6" s="3"/>
    </row>
    <row r="7" spans="1:26" ht="15.75" customHeight="1">
      <c r="A7" s="4" t="s">
        <v>6</v>
      </c>
      <c r="B7" s="9" t="s">
        <v>7</v>
      </c>
      <c r="C7" s="9" t="s">
        <v>8</v>
      </c>
      <c r="D7" s="10" t="s">
        <v>8</v>
      </c>
      <c r="F7" s="3"/>
    </row>
    <row r="8" spans="1:26" ht="15.75" customHeight="1">
      <c r="B8" s="4" t="s">
        <v>9</v>
      </c>
      <c r="C8" s="11" t="s">
        <v>8</v>
      </c>
      <c r="D8" s="12" t="s">
        <v>8</v>
      </c>
      <c r="F8" s="3"/>
    </row>
    <row r="9" spans="1:26" ht="15.75" customHeight="1">
      <c r="B9" s="13" t="s">
        <v>10</v>
      </c>
      <c r="C9" s="14" t="s">
        <v>8</v>
      </c>
      <c r="D9" s="15" t="s">
        <v>8</v>
      </c>
      <c r="F9" s="3"/>
    </row>
    <row r="10" spans="1:26" ht="15.75" customHeight="1">
      <c r="B10" s="16" t="s">
        <v>11</v>
      </c>
      <c r="C10" s="17" t="s">
        <v>8</v>
      </c>
      <c r="D10" s="18" t="s">
        <v>8</v>
      </c>
      <c r="F10" s="3"/>
    </row>
    <row r="11" spans="1:26" ht="15.75" customHeight="1">
      <c r="B11" s="19" t="s">
        <v>12</v>
      </c>
      <c r="C11" s="20" t="s">
        <v>8</v>
      </c>
      <c r="D11" s="21" t="s">
        <v>8</v>
      </c>
      <c r="F11" s="3"/>
    </row>
    <row r="12" spans="1:26" ht="15.75" customHeight="1">
      <c r="F12" s="3"/>
    </row>
    <row r="13" spans="1:26" ht="15.75" customHeight="1">
      <c r="A13" s="4" t="s">
        <v>13</v>
      </c>
      <c r="B13" s="22" t="s">
        <v>14</v>
      </c>
      <c r="C13" s="23">
        <v>5</v>
      </c>
      <c r="D13" s="24">
        <v>5</v>
      </c>
      <c r="F13" s="3"/>
    </row>
    <row r="14" spans="1:26" ht="15.75" customHeight="1">
      <c r="B14" s="22" t="s">
        <v>15</v>
      </c>
      <c r="C14" s="23">
        <v>109.34</v>
      </c>
      <c r="D14" s="25">
        <v>109.35760000000001</v>
      </c>
      <c r="E14" s="26" t="s">
        <v>16</v>
      </c>
      <c r="F14" s="27"/>
      <c r="G14" s="27"/>
    </row>
    <row r="15" spans="1:26" ht="15.75" customHeight="1">
      <c r="B15" s="22" t="s">
        <v>17</v>
      </c>
      <c r="C15" s="28">
        <v>0.87029999999999996</v>
      </c>
      <c r="D15" s="29">
        <v>0.87649999999999995</v>
      </c>
      <c r="F15" s="3"/>
    </row>
    <row r="16" spans="1:26" ht="15.75" customHeight="1">
      <c r="B16" s="22" t="s">
        <v>18</v>
      </c>
      <c r="C16" s="30">
        <v>750.5</v>
      </c>
      <c r="D16" s="31">
        <v>750.50300000000004</v>
      </c>
      <c r="F16" s="3"/>
    </row>
    <row r="17" spans="1:6" ht="15.75" customHeight="1">
      <c r="B17" s="22" t="s">
        <v>19</v>
      </c>
      <c r="C17" s="32">
        <v>-1300.5</v>
      </c>
      <c r="D17" s="33">
        <v>-1300.5</v>
      </c>
      <c r="F17" s="3"/>
    </row>
    <row r="18" spans="1:6" ht="15.75" customHeight="1">
      <c r="B18" s="22" t="s">
        <v>20</v>
      </c>
      <c r="C18" s="34">
        <v>100000000000</v>
      </c>
      <c r="D18" s="35">
        <v>10000000000000</v>
      </c>
      <c r="F18" s="3"/>
    </row>
    <row r="19" spans="1:6" ht="15.75" customHeight="1">
      <c r="F19" s="3"/>
    </row>
    <row r="20" spans="1:6" ht="15.75" customHeight="1">
      <c r="A20" s="4" t="s">
        <v>21</v>
      </c>
      <c r="B20" s="22" t="s">
        <v>22</v>
      </c>
      <c r="C20" s="36">
        <v>43842</v>
      </c>
      <c r="D20" s="37">
        <v>43842</v>
      </c>
      <c r="F20" s="3"/>
    </row>
    <row r="21" spans="1:6" ht="15.75" customHeight="1">
      <c r="B21" s="22" t="s">
        <v>23</v>
      </c>
      <c r="C21" s="38">
        <v>43842</v>
      </c>
      <c r="D21" s="39">
        <v>44938</v>
      </c>
      <c r="F21" s="3"/>
    </row>
    <row r="22" spans="1:6" ht="15.75" customHeight="1">
      <c r="B22" s="22" t="s">
        <v>24</v>
      </c>
      <c r="C22" s="40">
        <v>43842</v>
      </c>
      <c r="D22" s="41">
        <v>43842</v>
      </c>
      <c r="F22" s="3"/>
    </row>
    <row r="23" spans="1:6" ht="15.75" customHeight="1">
      <c r="B23" s="22" t="s">
        <v>25</v>
      </c>
      <c r="C23" s="42">
        <v>43842</v>
      </c>
      <c r="D23" s="43">
        <v>43842</v>
      </c>
      <c r="F23" s="3"/>
    </row>
    <row r="24" spans="1:6" ht="15.75" customHeight="1">
      <c r="F24" s="3"/>
    </row>
    <row r="25" spans="1:6" ht="15.75" customHeight="1">
      <c r="A25" s="11" t="s">
        <v>26</v>
      </c>
      <c r="B25" s="22" t="s">
        <v>27</v>
      </c>
      <c r="C25" s="44" t="s">
        <v>28</v>
      </c>
      <c r="D25" s="45">
        <f>6+3</f>
        <v>9</v>
      </c>
      <c r="F25" s="3"/>
    </row>
    <row r="26" spans="1:6" ht="15.75" customHeight="1">
      <c r="B26" s="22" t="s">
        <v>29</v>
      </c>
      <c r="C26" s="44" t="s">
        <v>30</v>
      </c>
      <c r="D26" s="45">
        <f>6-3</f>
        <v>3</v>
      </c>
      <c r="F26" s="3"/>
    </row>
    <row r="27" spans="1:6" ht="15.75" customHeight="1">
      <c r="B27" s="22" t="s">
        <v>31</v>
      </c>
      <c r="C27" s="44" t="s">
        <v>32</v>
      </c>
      <c r="D27" s="45">
        <f>6*3</f>
        <v>18</v>
      </c>
      <c r="F27" s="3"/>
    </row>
    <row r="28" spans="1:6" ht="15.75" customHeight="1">
      <c r="B28" s="22" t="s">
        <v>33</v>
      </c>
      <c r="C28" s="44" t="s">
        <v>34</v>
      </c>
      <c r="D28" s="45">
        <f>6/3</f>
        <v>2</v>
      </c>
      <c r="F28" s="3"/>
    </row>
    <row r="29" spans="1:6" ht="15.75" customHeight="1">
      <c r="B29" s="22" t="s">
        <v>35</v>
      </c>
      <c r="C29" s="44" t="s">
        <v>36</v>
      </c>
      <c r="D29" s="45">
        <f>6^3</f>
        <v>216</v>
      </c>
      <c r="F29" s="3"/>
    </row>
    <row r="30" spans="1:6" ht="15.75" customHeight="1">
      <c r="F30" s="3"/>
    </row>
    <row r="31" spans="1:6" ht="15.75" customHeight="1">
      <c r="A31" s="4" t="s">
        <v>37</v>
      </c>
      <c r="B31" s="4" t="s">
        <v>38</v>
      </c>
      <c r="F31" s="3"/>
    </row>
    <row r="32" spans="1:6" ht="15.75" customHeight="1">
      <c r="B32" s="22" t="s">
        <v>39</v>
      </c>
      <c r="F32" s="3"/>
    </row>
    <row r="33" spans="1:6" ht="15.75" customHeight="1">
      <c r="B33" s="22" t="s">
        <v>40</v>
      </c>
      <c r="F33" s="3"/>
    </row>
    <row r="34" spans="1:6" ht="15.75" customHeight="1">
      <c r="B34" s="22" t="s">
        <v>41</v>
      </c>
      <c r="F34" s="3"/>
    </row>
    <row r="35" spans="1:6" ht="15.75" customHeight="1">
      <c r="B35" s="22" t="s">
        <v>42</v>
      </c>
      <c r="F35" s="3"/>
    </row>
    <row r="36" spans="1:6" ht="15.75" customHeight="1">
      <c r="F36" s="3"/>
    </row>
    <row r="37" spans="1:6" ht="15.75" customHeight="1">
      <c r="B37" s="22" t="s">
        <v>43</v>
      </c>
      <c r="C37" s="22">
        <f>5+8</f>
        <v>13</v>
      </c>
      <c r="D37" s="45">
        <f>5+8</f>
        <v>13</v>
      </c>
      <c r="F37" s="3"/>
    </row>
    <row r="38" spans="1:6" ht="15.75" customHeight="1">
      <c r="B38" s="22" t="s">
        <v>44</v>
      </c>
      <c r="C38" s="22">
        <f>(5+8)^2</f>
        <v>169</v>
      </c>
      <c r="D38" s="45">
        <f>(5+8)^2</f>
        <v>169</v>
      </c>
      <c r="F38" s="3"/>
    </row>
    <row r="39" spans="1:6" ht="15.75" customHeight="1">
      <c r="B39" s="44" t="s">
        <v>45</v>
      </c>
      <c r="C39" s="22">
        <f>4/12</f>
        <v>0.33333333333333331</v>
      </c>
      <c r="D39" s="46">
        <f>4/12</f>
        <v>0.33333333333333331</v>
      </c>
      <c r="F39" s="3"/>
    </row>
    <row r="40" spans="1:6" ht="15.75" customHeight="1">
      <c r="B40" s="47" t="s">
        <v>46</v>
      </c>
      <c r="C40" s="22">
        <f>4/12*3</f>
        <v>1</v>
      </c>
      <c r="D40" s="45">
        <f>4/12*3</f>
        <v>1</v>
      </c>
      <c r="F40" s="3"/>
    </row>
    <row r="41" spans="1:6" ht="15.75" customHeight="1">
      <c r="B41" s="22" t="s">
        <v>47</v>
      </c>
      <c r="C41" s="22">
        <f>4/(12*3)</f>
        <v>0.1111111111111111</v>
      </c>
      <c r="D41" s="45">
        <f>4/(12*3)</f>
        <v>0.1111111111111111</v>
      </c>
      <c r="F41" s="3"/>
    </row>
    <row r="42" spans="1:6" ht="15.75" customHeight="1">
      <c r="B42" s="22" t="s">
        <v>48</v>
      </c>
      <c r="C42" s="22">
        <f>(5+8)^2-4/12*3</f>
        <v>168</v>
      </c>
      <c r="D42" s="45">
        <f>(5+8)^2-4/12*3</f>
        <v>168</v>
      </c>
      <c r="F42" s="3"/>
    </row>
    <row r="43" spans="1:6" ht="15.75" customHeight="1">
      <c r="F43" s="3"/>
    </row>
    <row r="44" spans="1:6" ht="15.75" customHeight="1">
      <c r="F44" s="3"/>
    </row>
    <row r="45" spans="1:6" ht="15.75" customHeight="1">
      <c r="A45" s="4" t="s">
        <v>49</v>
      </c>
      <c r="B45" s="22" t="s">
        <v>50</v>
      </c>
      <c r="C45" s="22" t="s">
        <v>51</v>
      </c>
      <c r="D45" s="24" t="s">
        <v>51</v>
      </c>
      <c r="F45" s="3"/>
    </row>
    <row r="46" spans="1:6" ht="15.75" customHeight="1">
      <c r="B46" s="22" t="s">
        <v>52</v>
      </c>
      <c r="C46" s="48" t="s">
        <v>51</v>
      </c>
      <c r="D46" s="49" t="s">
        <v>51</v>
      </c>
      <c r="F46" s="3"/>
    </row>
    <row r="47" spans="1:6" ht="15.75" customHeight="1">
      <c r="B47" s="22" t="s">
        <v>53</v>
      </c>
      <c r="C47" s="23" t="s">
        <v>51</v>
      </c>
      <c r="D47" s="50" t="s">
        <v>51</v>
      </c>
      <c r="F47" s="3"/>
    </row>
    <row r="48" spans="1:6" ht="15.75" customHeight="1">
      <c r="F48" s="3"/>
    </row>
    <row r="49" spans="2:6" ht="36" customHeight="1">
      <c r="B49" s="22" t="s">
        <v>54</v>
      </c>
      <c r="C49" s="51" t="s">
        <v>51</v>
      </c>
      <c r="D49" s="52" t="s">
        <v>51</v>
      </c>
      <c r="F49" s="3"/>
    </row>
    <row r="50" spans="2:6" ht="33" customHeight="1">
      <c r="B50" s="22" t="s">
        <v>55</v>
      </c>
      <c r="C50" s="53" t="s">
        <v>51</v>
      </c>
      <c r="D50" s="54" t="s">
        <v>51</v>
      </c>
      <c r="F50" s="3"/>
    </row>
    <row r="51" spans="2:6" ht="33.75" customHeight="1">
      <c r="B51" s="22" t="s">
        <v>56</v>
      </c>
      <c r="C51" s="22" t="s">
        <v>51</v>
      </c>
      <c r="D51" s="55" t="s">
        <v>51</v>
      </c>
      <c r="F51" s="3"/>
    </row>
    <row r="52" spans="2:6" ht="15.75" customHeight="1">
      <c r="F52" s="3"/>
    </row>
    <row r="53" spans="2:6" ht="15.75" customHeight="1">
      <c r="B53" s="22" t="s">
        <v>57</v>
      </c>
      <c r="C53" s="56" t="s">
        <v>58</v>
      </c>
      <c r="D53" s="57" t="s">
        <v>51</v>
      </c>
      <c r="F53" s="3"/>
    </row>
    <row r="54" spans="2:6" ht="15.75" customHeight="1">
      <c r="B54" s="22" t="s">
        <v>59</v>
      </c>
      <c r="C54" s="58" t="s">
        <v>60</v>
      </c>
      <c r="D54" s="59" t="s">
        <v>51</v>
      </c>
      <c r="F54" s="3"/>
    </row>
    <row r="55" spans="2:6" ht="15.75" customHeight="1">
      <c r="F55" s="3"/>
    </row>
    <row r="56" spans="2:6" ht="15.75" customHeight="1">
      <c r="B56" s="22" t="s">
        <v>61</v>
      </c>
      <c r="C56" s="60" t="s">
        <v>62</v>
      </c>
      <c r="D56" s="61" t="s">
        <v>63</v>
      </c>
      <c r="F56" s="3"/>
    </row>
    <row r="57" spans="2:6" ht="15.75" customHeight="1">
      <c r="F57" s="3"/>
    </row>
    <row r="58" spans="2:6" ht="15.75" customHeight="1">
      <c r="B58" s="22" t="s">
        <v>64</v>
      </c>
      <c r="C58" s="174" t="s">
        <v>65</v>
      </c>
      <c r="D58" s="176" t="s">
        <v>51</v>
      </c>
      <c r="F58" s="3"/>
    </row>
    <row r="59" spans="2:6" ht="15.75" customHeight="1">
      <c r="C59" s="175"/>
      <c r="D59" s="177"/>
      <c r="F59" s="3"/>
    </row>
    <row r="60" spans="2:6" ht="15.75" customHeight="1">
      <c r="F60" s="3"/>
    </row>
    <row r="61" spans="2:6" ht="15.75" customHeight="1">
      <c r="B61" s="22" t="s">
        <v>66</v>
      </c>
      <c r="C61" s="62"/>
      <c r="D61" s="63"/>
      <c r="E61" s="64"/>
      <c r="F61" s="65"/>
    </row>
    <row r="62" spans="2:6" ht="15.75" customHeight="1">
      <c r="C62" s="66"/>
      <c r="D62" s="63"/>
      <c r="E62" s="64"/>
      <c r="F62" s="65"/>
    </row>
    <row r="63" spans="2:6" ht="15.75" customHeight="1">
      <c r="F63" s="3"/>
    </row>
    <row r="64" spans="2:6" ht="15.75" customHeight="1">
      <c r="F64" s="3"/>
    </row>
    <row r="65" spans="6:6" ht="15.75" customHeight="1">
      <c r="F65" s="3"/>
    </row>
    <row r="66" spans="6:6" ht="15.75" customHeight="1">
      <c r="F66" s="3"/>
    </row>
    <row r="67" spans="6:6" ht="15.75" customHeight="1">
      <c r="F67" s="3"/>
    </row>
    <row r="68" spans="6:6" ht="15.75" customHeight="1">
      <c r="F68" s="3"/>
    </row>
    <row r="69" spans="6:6" ht="15.75" customHeight="1">
      <c r="F69" s="3"/>
    </row>
    <row r="70" spans="6:6" ht="15.75" customHeight="1">
      <c r="F70" s="3"/>
    </row>
    <row r="71" spans="6:6" ht="15.75" customHeight="1">
      <c r="F71" s="3"/>
    </row>
    <row r="72" spans="6:6" ht="15.75" customHeight="1">
      <c r="F72" s="3"/>
    </row>
    <row r="73" spans="6:6" ht="15.75" customHeight="1">
      <c r="F73" s="3"/>
    </row>
    <row r="74" spans="6:6" ht="15.75" customHeight="1">
      <c r="F74" s="3"/>
    </row>
    <row r="75" spans="6:6" ht="15.75" customHeight="1">
      <c r="F75" s="3"/>
    </row>
    <row r="76" spans="6:6" ht="15.75" customHeight="1">
      <c r="F76" s="3"/>
    </row>
    <row r="77" spans="6:6" ht="15.75" customHeight="1">
      <c r="F77" s="3"/>
    </row>
    <row r="78" spans="6:6" ht="15.75" customHeight="1">
      <c r="F78" s="3"/>
    </row>
    <row r="79" spans="6:6" ht="15.75" customHeight="1">
      <c r="F79" s="3"/>
    </row>
    <row r="80" spans="6:6" ht="15.75" customHeight="1">
      <c r="F80" s="3"/>
    </row>
    <row r="81" spans="6:6" ht="15.75" customHeight="1">
      <c r="F81" s="3"/>
    </row>
    <row r="82" spans="6:6" ht="15.75" customHeight="1">
      <c r="F82" s="3"/>
    </row>
    <row r="83" spans="6:6" ht="15.75" customHeight="1">
      <c r="F83" s="3"/>
    </row>
    <row r="84" spans="6:6" ht="15.75" customHeight="1">
      <c r="F84" s="3"/>
    </row>
    <row r="85" spans="6:6" ht="15.75" customHeight="1">
      <c r="F85" s="3"/>
    </row>
    <row r="86" spans="6:6" ht="15.75" customHeight="1">
      <c r="F86" s="3"/>
    </row>
    <row r="87" spans="6:6" ht="15.75" customHeight="1">
      <c r="F87" s="3"/>
    </row>
    <row r="88" spans="6:6" ht="15.75" customHeight="1">
      <c r="F88" s="3"/>
    </row>
    <row r="89" spans="6:6" ht="15.75" customHeight="1">
      <c r="F89" s="3"/>
    </row>
    <row r="90" spans="6:6" ht="15.75" customHeight="1">
      <c r="F90" s="3"/>
    </row>
    <row r="91" spans="6:6" ht="15.75" customHeight="1">
      <c r="F91" s="3"/>
    </row>
    <row r="92" spans="6:6" ht="15.75" customHeight="1">
      <c r="F92" s="3"/>
    </row>
    <row r="93" spans="6:6" ht="15.75" customHeight="1">
      <c r="F93" s="3"/>
    </row>
    <row r="94" spans="6:6" ht="15.75" customHeight="1">
      <c r="F94" s="3"/>
    </row>
    <row r="95" spans="6:6" ht="15.75" customHeight="1">
      <c r="F95" s="3"/>
    </row>
    <row r="96" spans="6:6" ht="15.75" customHeight="1">
      <c r="F96" s="3"/>
    </row>
    <row r="97" spans="6:6" ht="15.75" customHeight="1">
      <c r="F97" s="3"/>
    </row>
    <row r="98" spans="6:6" ht="15.75" customHeight="1">
      <c r="F98" s="3"/>
    </row>
    <row r="99" spans="6:6" ht="15.75" customHeight="1">
      <c r="F99" s="3"/>
    </row>
    <row r="100" spans="6:6" ht="15.75" customHeight="1">
      <c r="F100" s="3"/>
    </row>
    <row r="101" spans="6:6" ht="15.75" customHeight="1">
      <c r="F101" s="3"/>
    </row>
    <row r="102" spans="6:6" ht="15.75" customHeight="1">
      <c r="F102" s="3"/>
    </row>
    <row r="103" spans="6:6" ht="15.75" customHeight="1">
      <c r="F103" s="3"/>
    </row>
    <row r="104" spans="6:6" ht="15.75" customHeight="1">
      <c r="F104" s="3"/>
    </row>
    <row r="105" spans="6:6" ht="15.75" customHeight="1">
      <c r="F105" s="3"/>
    </row>
    <row r="106" spans="6:6" ht="15.75" customHeight="1">
      <c r="F106" s="3"/>
    </row>
    <row r="107" spans="6:6" ht="15.75" customHeight="1">
      <c r="F107" s="3"/>
    </row>
    <row r="108" spans="6:6" ht="15.75" customHeight="1">
      <c r="F108" s="3"/>
    </row>
    <row r="109" spans="6:6" ht="15.75" customHeight="1">
      <c r="F109" s="3"/>
    </row>
    <row r="110" spans="6:6" ht="15.75" customHeight="1">
      <c r="F110" s="3"/>
    </row>
    <row r="111" spans="6:6" ht="15.75" customHeight="1">
      <c r="F111" s="3"/>
    </row>
    <row r="112" spans="6:6" ht="15.75" customHeight="1">
      <c r="F112" s="3"/>
    </row>
    <row r="113" spans="6:6" ht="15.75" customHeight="1">
      <c r="F113" s="3"/>
    </row>
    <row r="114" spans="6:6" ht="15.75" customHeight="1">
      <c r="F114" s="3"/>
    </row>
    <row r="115" spans="6:6" ht="15.75" customHeight="1">
      <c r="F115" s="3"/>
    </row>
    <row r="116" spans="6:6" ht="15.75" customHeight="1">
      <c r="F116" s="3"/>
    </row>
    <row r="117" spans="6:6" ht="15.75" customHeight="1">
      <c r="F117" s="3"/>
    </row>
    <row r="118" spans="6:6" ht="15.75" customHeight="1">
      <c r="F118" s="3"/>
    </row>
    <row r="119" spans="6:6" ht="15.75" customHeight="1">
      <c r="F119" s="3"/>
    </row>
    <row r="120" spans="6:6" ht="15.75" customHeight="1">
      <c r="F120" s="3"/>
    </row>
    <row r="121" spans="6:6" ht="15.75" customHeight="1">
      <c r="F121" s="3"/>
    </row>
    <row r="122" spans="6:6" ht="15.75" customHeight="1">
      <c r="F122" s="3"/>
    </row>
    <row r="123" spans="6:6" ht="15.75" customHeight="1">
      <c r="F123" s="3"/>
    </row>
    <row r="124" spans="6:6" ht="15.75" customHeight="1">
      <c r="F124" s="3"/>
    </row>
    <row r="125" spans="6:6" ht="15.75" customHeight="1">
      <c r="F125" s="3"/>
    </row>
    <row r="126" spans="6:6" ht="15.75" customHeight="1">
      <c r="F126" s="3"/>
    </row>
    <row r="127" spans="6:6" ht="15.75" customHeight="1">
      <c r="F127" s="3"/>
    </row>
    <row r="128" spans="6:6" ht="15.75" customHeight="1">
      <c r="F128" s="3"/>
    </row>
    <row r="129" spans="6:6" ht="15.75" customHeight="1">
      <c r="F129" s="3"/>
    </row>
    <row r="130" spans="6:6" ht="15.75" customHeight="1">
      <c r="F130" s="3"/>
    </row>
    <row r="131" spans="6:6" ht="15.75" customHeight="1">
      <c r="F131" s="3"/>
    </row>
    <row r="132" spans="6:6" ht="15.75" customHeight="1">
      <c r="F132" s="3"/>
    </row>
    <row r="133" spans="6:6" ht="15.75" customHeight="1">
      <c r="F133" s="3"/>
    </row>
    <row r="134" spans="6:6" ht="15.75" customHeight="1">
      <c r="F134" s="3"/>
    </row>
    <row r="135" spans="6:6" ht="15.75" customHeight="1">
      <c r="F135" s="3"/>
    </row>
    <row r="136" spans="6:6" ht="15.75" customHeight="1">
      <c r="F136" s="3"/>
    </row>
    <row r="137" spans="6:6" ht="15.75" customHeight="1">
      <c r="F137" s="3"/>
    </row>
    <row r="138" spans="6:6" ht="15.75" customHeight="1">
      <c r="F138" s="3"/>
    </row>
    <row r="139" spans="6:6" ht="15.75" customHeight="1">
      <c r="F139" s="3"/>
    </row>
    <row r="140" spans="6:6" ht="15.75" customHeight="1">
      <c r="F140" s="3"/>
    </row>
    <row r="141" spans="6:6" ht="15.75" customHeight="1">
      <c r="F141" s="3"/>
    </row>
    <row r="142" spans="6:6" ht="15.75" customHeight="1">
      <c r="F142" s="3"/>
    </row>
    <row r="143" spans="6:6" ht="15.75" customHeight="1">
      <c r="F143" s="3"/>
    </row>
    <row r="144" spans="6:6" ht="15.75" customHeight="1">
      <c r="F144" s="3"/>
    </row>
    <row r="145" spans="6:6" ht="15.75" customHeight="1">
      <c r="F145" s="3"/>
    </row>
    <row r="146" spans="6:6" ht="15.75" customHeight="1">
      <c r="F146" s="3"/>
    </row>
    <row r="147" spans="6:6" ht="15.75" customHeight="1">
      <c r="F147" s="3"/>
    </row>
    <row r="148" spans="6:6" ht="15.75" customHeight="1">
      <c r="F148" s="3"/>
    </row>
    <row r="149" spans="6:6" ht="15.75" customHeight="1">
      <c r="F149" s="3"/>
    </row>
    <row r="150" spans="6:6" ht="15.75" customHeight="1">
      <c r="F150" s="3"/>
    </row>
    <row r="151" spans="6:6" ht="15.75" customHeight="1">
      <c r="F151" s="3"/>
    </row>
    <row r="152" spans="6:6" ht="15.75" customHeight="1">
      <c r="F152" s="3"/>
    </row>
    <row r="153" spans="6:6" ht="15.75" customHeight="1">
      <c r="F153" s="3"/>
    </row>
    <row r="154" spans="6:6" ht="15.75" customHeight="1">
      <c r="F154" s="3"/>
    </row>
    <row r="155" spans="6:6" ht="15.75" customHeight="1">
      <c r="F155" s="3"/>
    </row>
    <row r="156" spans="6:6" ht="15.75" customHeight="1">
      <c r="F156" s="3"/>
    </row>
    <row r="157" spans="6:6" ht="15.75" customHeight="1">
      <c r="F157" s="3"/>
    </row>
    <row r="158" spans="6:6" ht="15.75" customHeight="1">
      <c r="F158" s="3"/>
    </row>
    <row r="159" spans="6:6" ht="15.75" customHeight="1">
      <c r="F159" s="3"/>
    </row>
    <row r="160" spans="6:6" ht="15.75" customHeight="1">
      <c r="F160" s="3"/>
    </row>
    <row r="161" spans="6:6" ht="15.75" customHeight="1">
      <c r="F161" s="3"/>
    </row>
    <row r="162" spans="6:6" ht="15.75" customHeight="1">
      <c r="F162" s="3"/>
    </row>
    <row r="163" spans="6:6" ht="15.75" customHeight="1">
      <c r="F163" s="3"/>
    </row>
    <row r="164" spans="6:6" ht="15.75" customHeight="1">
      <c r="F164" s="3"/>
    </row>
    <row r="165" spans="6:6" ht="15.75" customHeight="1">
      <c r="F165" s="3"/>
    </row>
    <row r="166" spans="6:6" ht="15.75" customHeight="1">
      <c r="F166" s="3"/>
    </row>
    <row r="167" spans="6:6" ht="15.75" customHeight="1">
      <c r="F167" s="3"/>
    </row>
    <row r="168" spans="6:6" ht="15.75" customHeight="1">
      <c r="F168" s="3"/>
    </row>
    <row r="169" spans="6:6" ht="15.75" customHeight="1">
      <c r="F169" s="3"/>
    </row>
    <row r="170" spans="6:6" ht="15.75" customHeight="1">
      <c r="F170" s="3"/>
    </row>
    <row r="171" spans="6:6" ht="15.75" customHeight="1">
      <c r="F171" s="3"/>
    </row>
    <row r="172" spans="6:6" ht="15.75" customHeight="1">
      <c r="F172" s="3"/>
    </row>
    <row r="173" spans="6:6" ht="15.75" customHeight="1">
      <c r="F173" s="3"/>
    </row>
    <row r="174" spans="6:6" ht="15.75" customHeight="1">
      <c r="F174" s="3"/>
    </row>
    <row r="175" spans="6:6" ht="15.75" customHeight="1">
      <c r="F175" s="3"/>
    </row>
    <row r="176" spans="6:6" ht="15.75" customHeight="1">
      <c r="F176" s="3"/>
    </row>
    <row r="177" spans="6:6" ht="15.75" customHeight="1">
      <c r="F177" s="3"/>
    </row>
    <row r="178" spans="6:6" ht="15.75" customHeight="1">
      <c r="F178" s="3"/>
    </row>
    <row r="179" spans="6:6" ht="15.75" customHeight="1">
      <c r="F179" s="3"/>
    </row>
    <row r="180" spans="6:6" ht="15.75" customHeight="1">
      <c r="F180" s="3"/>
    </row>
    <row r="181" spans="6:6" ht="15.75" customHeight="1">
      <c r="F181" s="3"/>
    </row>
    <row r="182" spans="6:6" ht="15.75" customHeight="1">
      <c r="F182" s="3"/>
    </row>
    <row r="183" spans="6:6" ht="15.75" customHeight="1">
      <c r="F183" s="3"/>
    </row>
    <row r="184" spans="6:6" ht="15.75" customHeight="1">
      <c r="F184" s="3"/>
    </row>
    <row r="185" spans="6:6" ht="15.75" customHeight="1">
      <c r="F185" s="3"/>
    </row>
    <row r="186" spans="6:6" ht="15.75" customHeight="1">
      <c r="F186" s="3"/>
    </row>
    <row r="187" spans="6:6" ht="15.75" customHeight="1">
      <c r="F187" s="3"/>
    </row>
    <row r="188" spans="6:6" ht="15.75" customHeight="1">
      <c r="F188" s="3"/>
    </row>
    <row r="189" spans="6:6" ht="15.75" customHeight="1">
      <c r="F189" s="3"/>
    </row>
    <row r="190" spans="6:6" ht="15.75" customHeight="1">
      <c r="F190" s="3"/>
    </row>
    <row r="191" spans="6:6" ht="15.75" customHeight="1">
      <c r="F191" s="3"/>
    </row>
    <row r="192" spans="6:6" ht="15.75" customHeight="1">
      <c r="F192" s="3"/>
    </row>
    <row r="193" spans="6:6" ht="15.75" customHeight="1">
      <c r="F193" s="3"/>
    </row>
    <row r="194" spans="6:6" ht="15.75" customHeight="1">
      <c r="F194" s="3"/>
    </row>
    <row r="195" spans="6:6" ht="15.75" customHeight="1">
      <c r="F195" s="3"/>
    </row>
    <row r="196" spans="6:6" ht="15.75" customHeight="1">
      <c r="F196" s="3"/>
    </row>
    <row r="197" spans="6:6" ht="15.75" customHeight="1">
      <c r="F197" s="3"/>
    </row>
    <row r="198" spans="6:6" ht="15.75" customHeight="1">
      <c r="F198" s="3"/>
    </row>
    <row r="199" spans="6:6" ht="15.75" customHeight="1">
      <c r="F199" s="3"/>
    </row>
    <row r="200" spans="6:6" ht="15.75" customHeight="1">
      <c r="F200" s="3"/>
    </row>
    <row r="201" spans="6:6" ht="15.75" customHeight="1">
      <c r="F201" s="3"/>
    </row>
    <row r="202" spans="6:6" ht="15.75" customHeight="1">
      <c r="F202" s="3"/>
    </row>
    <row r="203" spans="6:6" ht="15.75" customHeight="1">
      <c r="F203" s="3"/>
    </row>
    <row r="204" spans="6:6" ht="15.75" customHeight="1">
      <c r="F204" s="3"/>
    </row>
    <row r="205" spans="6:6" ht="15.75" customHeight="1">
      <c r="F205" s="3"/>
    </row>
    <row r="206" spans="6:6" ht="15.75" customHeight="1">
      <c r="F206" s="3"/>
    </row>
    <row r="207" spans="6:6" ht="15.75" customHeight="1">
      <c r="F207" s="3"/>
    </row>
    <row r="208" spans="6:6" ht="15.75" customHeight="1">
      <c r="F208" s="3"/>
    </row>
    <row r="209" spans="6:6" ht="15.75" customHeight="1">
      <c r="F209" s="3"/>
    </row>
    <row r="210" spans="6:6" ht="15.75" customHeight="1">
      <c r="F210" s="3"/>
    </row>
    <row r="211" spans="6:6" ht="15.75" customHeight="1">
      <c r="F211" s="3"/>
    </row>
    <row r="212" spans="6:6" ht="15.75" customHeight="1">
      <c r="F212" s="3"/>
    </row>
    <row r="213" spans="6:6" ht="15.75" customHeight="1">
      <c r="F213" s="3"/>
    </row>
    <row r="214" spans="6:6" ht="15.75" customHeight="1">
      <c r="F214" s="3"/>
    </row>
    <row r="215" spans="6:6" ht="15.75" customHeight="1">
      <c r="F215" s="3"/>
    </row>
    <row r="216" spans="6:6" ht="15.75" customHeight="1">
      <c r="F216" s="3"/>
    </row>
    <row r="217" spans="6:6" ht="15.75" customHeight="1">
      <c r="F217" s="3"/>
    </row>
    <row r="218" spans="6:6" ht="15.75" customHeight="1">
      <c r="F218" s="3"/>
    </row>
    <row r="219" spans="6:6" ht="15.75" customHeight="1">
      <c r="F219" s="3"/>
    </row>
    <row r="220" spans="6:6" ht="15.75" customHeight="1">
      <c r="F220" s="3"/>
    </row>
    <row r="221" spans="6:6" ht="15.75" customHeight="1">
      <c r="F221" s="3"/>
    </row>
    <row r="222" spans="6:6" ht="15.75" customHeight="1">
      <c r="F222" s="3"/>
    </row>
    <row r="223" spans="6:6" ht="15.75" customHeight="1">
      <c r="F223" s="3"/>
    </row>
    <row r="224" spans="6:6" ht="15.75" customHeight="1">
      <c r="F224" s="3"/>
    </row>
    <row r="225" spans="6:6" ht="15.75" customHeight="1">
      <c r="F225" s="3"/>
    </row>
    <row r="226" spans="6:6" ht="15.75" customHeight="1">
      <c r="F226" s="3"/>
    </row>
    <row r="227" spans="6:6" ht="15.75" customHeight="1">
      <c r="F227" s="3"/>
    </row>
    <row r="228" spans="6:6" ht="15.75" customHeight="1">
      <c r="F228" s="3"/>
    </row>
    <row r="229" spans="6:6" ht="15.75" customHeight="1">
      <c r="F229" s="3"/>
    </row>
    <row r="230" spans="6:6" ht="15.75" customHeight="1">
      <c r="F230" s="3"/>
    </row>
    <row r="231" spans="6:6" ht="15.75" customHeight="1">
      <c r="F231" s="3"/>
    </row>
    <row r="232" spans="6:6" ht="15.75" customHeight="1">
      <c r="F232" s="3"/>
    </row>
    <row r="233" spans="6:6" ht="15.75" customHeight="1">
      <c r="F233" s="3"/>
    </row>
    <row r="234" spans="6:6" ht="15.75" customHeight="1">
      <c r="F234" s="3"/>
    </row>
    <row r="235" spans="6:6" ht="15.75" customHeight="1">
      <c r="F235" s="3"/>
    </row>
    <row r="236" spans="6:6" ht="15.75" customHeight="1">
      <c r="F236" s="3"/>
    </row>
    <row r="237" spans="6:6" ht="15.75" customHeight="1">
      <c r="F237" s="3"/>
    </row>
    <row r="238" spans="6:6" ht="15.75" customHeight="1">
      <c r="F238" s="3"/>
    </row>
    <row r="239" spans="6:6" ht="15.75" customHeight="1">
      <c r="F239" s="3"/>
    </row>
    <row r="240" spans="6:6" ht="15.75" customHeight="1">
      <c r="F240" s="3"/>
    </row>
    <row r="241" spans="6:6" ht="15.75" customHeight="1">
      <c r="F241" s="3"/>
    </row>
    <row r="242" spans="6:6" ht="15.75" customHeight="1">
      <c r="F242" s="3"/>
    </row>
    <row r="243" spans="6:6" ht="15.75" customHeight="1">
      <c r="F243" s="3"/>
    </row>
    <row r="244" spans="6:6" ht="15.75" customHeight="1">
      <c r="F244" s="3"/>
    </row>
    <row r="245" spans="6:6" ht="15.75" customHeight="1">
      <c r="F245" s="3"/>
    </row>
    <row r="246" spans="6:6" ht="15.75" customHeight="1">
      <c r="F246" s="3"/>
    </row>
    <row r="247" spans="6:6" ht="15.75" customHeight="1">
      <c r="F247" s="3"/>
    </row>
    <row r="248" spans="6:6" ht="15.75" customHeight="1">
      <c r="F248" s="3"/>
    </row>
    <row r="249" spans="6:6" ht="15.75" customHeight="1">
      <c r="F249" s="3"/>
    </row>
    <row r="250" spans="6:6" ht="15.75" customHeight="1">
      <c r="F250" s="3"/>
    </row>
    <row r="251" spans="6:6" ht="15.75" customHeight="1">
      <c r="F251" s="3"/>
    </row>
    <row r="252" spans="6:6" ht="15.75" customHeight="1">
      <c r="F252" s="3"/>
    </row>
    <row r="253" spans="6:6" ht="15.75" customHeight="1">
      <c r="F253" s="3"/>
    </row>
    <row r="254" spans="6:6" ht="15.75" customHeight="1">
      <c r="F254" s="3"/>
    </row>
    <row r="255" spans="6:6" ht="15.75" customHeight="1">
      <c r="F255" s="3"/>
    </row>
    <row r="256" spans="6:6" ht="15.75" customHeight="1">
      <c r="F256" s="3"/>
    </row>
    <row r="257" spans="6:6" ht="15.75" customHeight="1">
      <c r="F257" s="3"/>
    </row>
    <row r="258" spans="6:6" ht="15.75" customHeight="1">
      <c r="F258" s="3"/>
    </row>
    <row r="259" spans="6:6" ht="15.75" customHeight="1">
      <c r="F259" s="3"/>
    </row>
    <row r="260" spans="6:6" ht="15.75" customHeight="1">
      <c r="F260" s="3"/>
    </row>
    <row r="261" spans="6:6" ht="15.75" customHeight="1">
      <c r="F261" s="3"/>
    </row>
    <row r="262" spans="6:6" ht="15.75" customHeight="1"/>
    <row r="263" spans="6:6" ht="15.75" customHeight="1"/>
    <row r="264" spans="6:6" ht="15.75" customHeight="1"/>
    <row r="265" spans="6:6" ht="15.75" customHeight="1"/>
    <row r="266" spans="6:6" ht="15.75" customHeight="1"/>
    <row r="267" spans="6:6" ht="15.75" customHeight="1"/>
    <row r="268" spans="6:6" ht="15.75" customHeight="1"/>
    <row r="269" spans="6:6" ht="15.75" customHeight="1"/>
    <row r="270" spans="6:6" ht="15.75" customHeight="1"/>
    <row r="271" spans="6:6" ht="15.75" customHeight="1"/>
    <row r="272" spans="6: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8:C59"/>
    <mergeCell ref="D58:D59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4A7D6"/>
    <outlinePr summaryBelow="0" summaryRight="0"/>
  </sheetPr>
  <dimension ref="A1:I1000"/>
  <sheetViews>
    <sheetView tabSelected="1" topLeftCell="C1" workbookViewId="0">
      <selection activeCell="O5" sqref="O5"/>
    </sheetView>
  </sheetViews>
  <sheetFormatPr defaultColWidth="12.6640625" defaultRowHeight="15" customHeight="1"/>
  <cols>
    <col min="1" max="1" width="23.21875" customWidth="1"/>
    <col min="2" max="2" width="17" customWidth="1"/>
    <col min="3" max="3" width="17.21875" customWidth="1"/>
    <col min="4" max="4" width="18.21875" customWidth="1"/>
    <col min="5" max="5" width="14.33203125" customWidth="1"/>
    <col min="6" max="6" width="19.33203125" customWidth="1"/>
    <col min="7" max="26" width="14.33203125" customWidth="1"/>
  </cols>
  <sheetData>
    <row r="1" spans="1:9" ht="15.75" customHeight="1">
      <c r="A1" s="87" t="s">
        <v>321</v>
      </c>
      <c r="B1" s="164" t="s">
        <v>322</v>
      </c>
      <c r="E1" s="165"/>
      <c r="F1" s="165"/>
      <c r="G1" s="165"/>
      <c r="H1" s="165"/>
    </row>
    <row r="2" spans="1:9" ht="15.75" customHeight="1">
      <c r="E2" s="48"/>
      <c r="F2" s="48"/>
      <c r="G2" s="165"/>
      <c r="H2" s="48"/>
    </row>
    <row r="3" spans="1:9" ht="15.75" customHeight="1">
      <c r="A3" s="82" t="s">
        <v>323</v>
      </c>
      <c r="F3" s="82" t="s">
        <v>422</v>
      </c>
      <c r="G3" s="165"/>
      <c r="H3" s="48"/>
    </row>
    <row r="4" spans="1:9" ht="15.75" customHeight="1"/>
    <row r="5" spans="1:9" ht="15.75" customHeight="1">
      <c r="B5" s="131" t="s">
        <v>430</v>
      </c>
      <c r="C5" s="131" t="s">
        <v>325</v>
      </c>
      <c r="D5" s="131" t="s">
        <v>326</v>
      </c>
      <c r="F5" s="166"/>
      <c r="G5" s="167" t="s">
        <v>423</v>
      </c>
      <c r="H5" s="167" t="s">
        <v>424</v>
      </c>
    </row>
    <row r="6" spans="1:9" ht="15.75" customHeight="1">
      <c r="A6" s="132" t="s">
        <v>327</v>
      </c>
      <c r="B6" s="133">
        <f t="shared" ref="B6:C6" si="0">SUM(B7:B8)</f>
        <v>5544</v>
      </c>
      <c r="C6" s="133">
        <f t="shared" si="0"/>
        <v>5544</v>
      </c>
      <c r="D6" s="133">
        <f t="shared" ref="D6:D30" si="1">B6-C6</f>
        <v>0</v>
      </c>
      <c r="F6" s="168" t="s">
        <v>364</v>
      </c>
      <c r="G6" s="169">
        <f>SUMIFS('Task 7 &amp; 8 Solution data'!$F:$F,'Task 7 &amp; 8 Solution data'!$H:$H,$F6,'Task 7 &amp; 8 Solution data'!$C:$C,$B$1,'Task 7 &amp; 8 Solution data'!$F:$F,"&gt;0")</f>
        <v>5544</v>
      </c>
      <c r="H6" s="169">
        <f>-SUMIFS('Task 7 &amp; 8 Solution data'!$F:$F,'Task 7 &amp; 8 Solution data'!$H:$H,$F6,'Task 7 &amp; 8 Solution data'!$C:$C,$B$1,'Task 7 &amp; 8 Solution data'!$F:$F,"&lt;0")</f>
        <v>2153</v>
      </c>
    </row>
    <row r="7" spans="1:9" ht="15.75" customHeight="1">
      <c r="A7" s="134" t="s">
        <v>328</v>
      </c>
      <c r="B7" s="135">
        <f>SUMIFS('Task 7 &amp; 8 Solution data'!F:F,'Task 7 &amp; 8 Solution data'!C:C,$B$1,'Task 7 &amp; 8 Solution data'!E:E,$A7)</f>
        <v>5544</v>
      </c>
      <c r="C7" s="136">
        <v>5544</v>
      </c>
      <c r="D7" s="135">
        <f t="shared" si="1"/>
        <v>0</v>
      </c>
      <c r="F7" s="168" t="s">
        <v>369</v>
      </c>
      <c r="G7" s="169">
        <f>SUMIFS('Task 7 &amp; 8 Solution data'!$F:$F,'Task 7 &amp; 8 Solution data'!$H:$H,$F7,'Task 7 &amp; 8 Solution data'!$C:$C,$B$1,'Task 7 &amp; 8 Solution data'!$F:$F,"&gt;0")</f>
        <v>0</v>
      </c>
      <c r="H7" s="169">
        <f>-SUMIFS('Task 7 &amp; 8 Solution data'!$F:$F,'Task 7 &amp; 8 Solution data'!$H:$H,$F7,'Task 7 &amp; 8 Solution data'!$C:$C,$B$1,'Task 7 &amp; 8 Solution data'!$F:$F,"&lt;0")</f>
        <v>3780.8196135331204</v>
      </c>
    </row>
    <row r="8" spans="1:9" ht="15.75" customHeight="1">
      <c r="A8" s="137" t="s">
        <v>329</v>
      </c>
      <c r="B8" s="138">
        <f>SUMIFS('Task 7 &amp; 8 Solution data'!F:F,'Task 7 &amp; 8 Solution data'!C:C,$B$1,'Task 7 &amp; 8 Solution data'!E:E,$A8)</f>
        <v>0</v>
      </c>
      <c r="C8" s="139">
        <v>0</v>
      </c>
      <c r="D8" s="138">
        <f t="shared" si="1"/>
        <v>0</v>
      </c>
      <c r="F8" s="168" t="s">
        <v>377</v>
      </c>
      <c r="G8" s="169">
        <f>SUMIFS('Task 7 &amp; 8 Solution data'!$F:$F,'Task 7 &amp; 8 Solution data'!$H:$H,$F8,'Task 7 &amp; 8 Solution data'!$C:$C,$B$1,'Task 7 &amp; 8 Solution data'!$F:$F,"&gt;0")</f>
        <v>0</v>
      </c>
      <c r="H8" s="169">
        <f>-SUMIFS('Task 7 &amp; 8 Solution data'!$F:$F,'Task 7 &amp; 8 Solution data'!$H:$H,$F8,'Task 7 &amp; 8 Solution data'!$C:$C,$B$1,'Task 7 &amp; 8 Solution data'!$F:$F,"&lt;0")</f>
        <v>34.787815517242038</v>
      </c>
    </row>
    <row r="9" spans="1:9" ht="15.75" customHeight="1">
      <c r="A9" s="140" t="s">
        <v>330</v>
      </c>
      <c r="B9" s="141">
        <f t="shared" ref="B9:C9" si="2">B10+B13+B16+B20+B23+B25</f>
        <v>5978.7029084571868</v>
      </c>
      <c r="C9" s="141">
        <f t="shared" si="2"/>
        <v>5300</v>
      </c>
      <c r="D9" s="141">
        <f t="shared" si="1"/>
        <v>678.70290845718682</v>
      </c>
      <c r="F9" s="168" t="s">
        <v>380</v>
      </c>
      <c r="G9" s="169">
        <f>SUMIFS('Task 7 &amp; 8 Solution data'!$F:$F,'Task 7 &amp; 8 Solution data'!$H:$H,$F9,'Task 7 &amp; 8 Solution data'!$C:$C,$B$1,'Task 7 &amp; 8 Solution data'!$F:$F,"&gt;0")</f>
        <v>0</v>
      </c>
      <c r="H9" s="169">
        <f>-SUMIFS('Task 7 &amp; 8 Solution data'!$F:$F,'Task 7 &amp; 8 Solution data'!$H:$H,$F9,'Task 7 &amp; 8 Solution data'!$C:$C,$B$1,'Task 7 &amp; 8 Solution data'!$F:$F,"&lt;0")</f>
        <v>10.095479406824349</v>
      </c>
    </row>
    <row r="10" spans="1:9" ht="15.75" customHeight="1">
      <c r="A10" s="142" t="s">
        <v>331</v>
      </c>
      <c r="B10" s="143">
        <f t="shared" ref="B10:C10" si="3">SUM(B11:B12)</f>
        <v>2149.5350661614129</v>
      </c>
      <c r="C10" s="143">
        <f t="shared" si="3"/>
        <v>2250</v>
      </c>
      <c r="D10" s="143">
        <f t="shared" si="1"/>
        <v>-100.46493383858706</v>
      </c>
      <c r="F10" s="168" t="s">
        <v>148</v>
      </c>
      <c r="G10" s="170">
        <f t="shared" ref="G10:H10" si="4">SUM(G6:G9)</f>
        <v>5544</v>
      </c>
      <c r="H10" s="170">
        <f t="shared" si="4"/>
        <v>5978.7029084571868</v>
      </c>
    </row>
    <row r="11" spans="1:9" ht="15.75" customHeight="1">
      <c r="A11" s="134" t="s">
        <v>332</v>
      </c>
      <c r="B11" s="135">
        <f>-SUMIFS('Task 7 &amp; 8 Solution data'!F:F,'Task 7 &amp; 8 Solution data'!C:C,$B$1,'Task 7 &amp; 8 Solution data'!E:E,$A11)</f>
        <v>1903</v>
      </c>
      <c r="C11" s="136">
        <v>2000</v>
      </c>
      <c r="D11" s="135">
        <f t="shared" si="1"/>
        <v>-97</v>
      </c>
    </row>
    <row r="12" spans="1:9" ht="15.75" customHeight="1">
      <c r="A12" s="144" t="s">
        <v>333</v>
      </c>
      <c r="B12" s="145">
        <f>-SUMIFS('Task 7 &amp; 8 Solution data'!F:F,'Task 7 &amp; 8 Solution data'!C:C,$B$1,'Task 7 &amp; 8 Solution data'!E:E,$A12)</f>
        <v>246.53506616141286</v>
      </c>
      <c r="C12" s="146">
        <v>250</v>
      </c>
      <c r="D12" s="145">
        <f t="shared" si="1"/>
        <v>-3.4649338385871431</v>
      </c>
    </row>
    <row r="13" spans="1:9" ht="15.75" customHeight="1">
      <c r="A13" s="147" t="s">
        <v>334</v>
      </c>
      <c r="B13" s="143">
        <f t="shared" ref="B13:C13" si="5">SUM(B14:B15)</f>
        <v>0</v>
      </c>
      <c r="C13" s="143">
        <f t="shared" si="5"/>
        <v>500</v>
      </c>
      <c r="D13" s="143">
        <f t="shared" si="1"/>
        <v>-500</v>
      </c>
      <c r="F13" s="82" t="s">
        <v>425</v>
      </c>
    </row>
    <row r="14" spans="1:9" ht="15.75" customHeight="1">
      <c r="A14" s="134" t="s">
        <v>335</v>
      </c>
      <c r="B14" s="135">
        <f>-SUMIFS('Task 7 &amp; 8 Solution data'!F:F,'Task 7 &amp; 8 Solution data'!C:C,$B$1,'Task 7 &amp; 8 Solution data'!E:E,$A14)</f>
        <v>0</v>
      </c>
      <c r="C14" s="136">
        <v>350</v>
      </c>
      <c r="D14" s="135">
        <f t="shared" si="1"/>
        <v>-350</v>
      </c>
    </row>
    <row r="15" spans="1:9" ht="15.75" customHeight="1">
      <c r="A15" s="144" t="s">
        <v>252</v>
      </c>
      <c r="B15" s="145">
        <f>-SUMIFS('Task 7 &amp; 8 Solution data'!F:F,'Task 7 &amp; 8 Solution data'!C:C,$B$1,'Task 7 &amp; 8 Solution data'!E:E,$A15)</f>
        <v>0</v>
      </c>
      <c r="C15" s="146">
        <v>150</v>
      </c>
      <c r="D15" s="145">
        <f t="shared" si="1"/>
        <v>-150</v>
      </c>
      <c r="F15" s="166"/>
      <c r="G15" s="171" t="s">
        <v>426</v>
      </c>
      <c r="H15" s="171" t="s">
        <v>427</v>
      </c>
      <c r="I15" s="171" t="s">
        <v>322</v>
      </c>
    </row>
    <row r="16" spans="1:9" ht="15.75" customHeight="1">
      <c r="A16" s="147" t="s">
        <v>336</v>
      </c>
      <c r="B16" s="143">
        <f>SUM(B17:B19)</f>
        <v>81.013695025993769</v>
      </c>
      <c r="C16" s="143">
        <v>400</v>
      </c>
      <c r="D16" s="143">
        <f t="shared" si="1"/>
        <v>-318.9863049740062</v>
      </c>
      <c r="F16" s="168" t="s">
        <v>423</v>
      </c>
      <c r="G16" s="169">
        <f>SUMIFS('Task 7 &amp; 8 Solution data'!$F:$F,'Task 7 &amp; 8 Solution data'!$C:$C,G$15,'Task 7 &amp; 8 Solution data'!$F:$F,"&gt;0")</f>
        <v>6197.587855184428</v>
      </c>
      <c r="H16" s="169">
        <f>SUMIFS('Task 7 &amp; 8 Solution data'!$F:$F,'Task 7 &amp; 8 Solution data'!$C:$C,H$15,'Task 7 &amp; 8 Solution data'!$F:$F,"&gt;0")</f>
        <v>6467</v>
      </c>
      <c r="I16" s="169">
        <f>SUMIFS('Task 7 &amp; 8 Solution data'!$F:$F,'Task 7 &amp; 8 Solution data'!$C:$C,I$15,'Task 7 &amp; 8 Solution data'!$F:$F,"&gt;0")</f>
        <v>5544</v>
      </c>
    </row>
    <row r="17" spans="1:9" ht="15.75" customHeight="1">
      <c r="A17" s="134" t="s">
        <v>337</v>
      </c>
      <c r="B17" s="135">
        <f>-SUMIFS('Task 7 &amp; 8 Solution data'!F:F,'Task 7 &amp; 8 Solution data'!C:C,$B$1,'Task 7 &amp; 8 Solution data'!E:E,$A17)</f>
        <v>46.45521318072057</v>
      </c>
      <c r="C17" s="136">
        <v>250</v>
      </c>
      <c r="D17" s="135">
        <f t="shared" si="1"/>
        <v>-203.54478681927944</v>
      </c>
      <c r="F17" s="168" t="s">
        <v>428</v>
      </c>
      <c r="G17" s="169">
        <f>-SUMIFS('Task 7 &amp; 8 Solution data'!$F:$F,'Task 7 &amp; 8 Solution data'!$C:$C,G$15,'Task 7 &amp; 8 Solution data'!$F:$F,"&lt;0")</f>
        <v>5257.1023498064096</v>
      </c>
      <c r="H17" s="169">
        <f>-SUMIFS('Task 7 &amp; 8 Solution data'!$F:$F,'Task 7 &amp; 8 Solution data'!$C:$C,H$15,'Task 7 &amp; 8 Solution data'!$F:$F,"&lt;0")</f>
        <v>6333.4427366906002</v>
      </c>
      <c r="I17" s="169">
        <f>-SUMIFS('Task 7 &amp; 8 Solution data'!$F:$F,'Task 7 &amp; 8 Solution data'!$C:$C,I$15,'Task 7 &amp; 8 Solution data'!$F:$F,"&lt;0")</f>
        <v>5978.7029084571868</v>
      </c>
    </row>
    <row r="18" spans="1:9" ht="15.75" customHeight="1">
      <c r="A18" s="148" t="s">
        <v>338</v>
      </c>
      <c r="B18" s="149">
        <f>-SUMIFS('Task 7 &amp; 8 Solution data'!F:F,'Task 7 &amp; 8 Solution data'!C:C,$B$1,'Task 7 &amp; 8 Solution data'!E:E,$A18)</f>
        <v>24.463002438448843</v>
      </c>
      <c r="C18" s="150">
        <v>150</v>
      </c>
      <c r="D18" s="149">
        <f t="shared" si="1"/>
        <v>-125.53699756155116</v>
      </c>
      <c r="F18" s="168" t="s">
        <v>429</v>
      </c>
      <c r="G18" s="170">
        <f t="shared" ref="G18:I18" si="6">G16-G17</f>
        <v>940.48550537801839</v>
      </c>
      <c r="H18" s="170">
        <f t="shared" si="6"/>
        <v>133.55726330939979</v>
      </c>
      <c r="I18" s="170">
        <f t="shared" si="6"/>
        <v>-434.70290845718682</v>
      </c>
    </row>
    <row r="19" spans="1:9" ht="15.75" customHeight="1">
      <c r="A19" s="144" t="s">
        <v>339</v>
      </c>
      <c r="B19" s="145">
        <f>-SUMIFS('Task 7 &amp; 8 Solution data'!F:F,'Task 7 &amp; 8 Solution data'!C:C,$B$1,'Task 7 &amp; 8 Solution data'!E:E,$A19)</f>
        <v>10.095479406824349</v>
      </c>
      <c r="C19" s="146">
        <v>25</v>
      </c>
      <c r="D19" s="145">
        <f t="shared" si="1"/>
        <v>-14.904520593175651</v>
      </c>
    </row>
    <row r="20" spans="1:9" ht="15.75" customHeight="1">
      <c r="A20" s="147" t="s">
        <v>340</v>
      </c>
      <c r="B20" s="143">
        <f t="shared" ref="B20:C20" si="7">SUM(B21:B22)</f>
        <v>3362.1982913524721</v>
      </c>
      <c r="C20" s="143">
        <f t="shared" si="7"/>
        <v>350</v>
      </c>
      <c r="D20" s="143">
        <f t="shared" si="1"/>
        <v>3012.1982913524721</v>
      </c>
    </row>
    <row r="21" spans="1:9" ht="15.75" customHeight="1">
      <c r="A21" s="134" t="s">
        <v>341</v>
      </c>
      <c r="B21" s="135">
        <f>-SUMIFS('Task 7 &amp; 8 Solution data'!F:F,'Task 7 &amp; 8 Solution data'!C:C,$B$1,'Task 7 &amp; 8 Solution data'!E:E,$A21)</f>
        <v>3362.1982913524721</v>
      </c>
      <c r="C21" s="136">
        <v>300</v>
      </c>
      <c r="D21" s="135">
        <f t="shared" si="1"/>
        <v>3062.1982913524721</v>
      </c>
    </row>
    <row r="22" spans="1:9" ht="15.75" customHeight="1">
      <c r="A22" s="144" t="s">
        <v>342</v>
      </c>
      <c r="B22" s="145">
        <f>-SUMIFS('Task 7 &amp; 8 Solution data'!F:F,'Task 7 &amp; 8 Solution data'!C:C,$B$1,'Task 7 &amp; 8 Solution data'!E:E,$A22)</f>
        <v>0</v>
      </c>
      <c r="C22" s="146">
        <v>50</v>
      </c>
      <c r="D22" s="145">
        <f t="shared" si="1"/>
        <v>-50</v>
      </c>
    </row>
    <row r="23" spans="1:9" ht="15.75" customHeight="1">
      <c r="A23" s="147" t="s">
        <v>343</v>
      </c>
      <c r="B23" s="143">
        <f t="shared" ref="B23:C23" si="8">SUM(B24)</f>
        <v>250</v>
      </c>
      <c r="C23" s="143">
        <f t="shared" si="8"/>
        <v>500</v>
      </c>
      <c r="D23" s="143">
        <f t="shared" si="1"/>
        <v>-250</v>
      </c>
    </row>
    <row r="24" spans="1:9" ht="15.75" customHeight="1">
      <c r="A24" s="151" t="s">
        <v>344</v>
      </c>
      <c r="B24" s="152">
        <f>-SUMIFS('Task 7 &amp; 8 Solution data'!F:F,'Task 7 &amp; 8 Solution data'!C:C,$B$1,'Task 7 &amp; 8 Solution data'!E:E,$A24)</f>
        <v>250</v>
      </c>
      <c r="C24" s="153">
        <v>500</v>
      </c>
      <c r="D24" s="152">
        <f t="shared" si="1"/>
        <v>-250</v>
      </c>
    </row>
    <row r="25" spans="1:9" ht="15.75" customHeight="1">
      <c r="A25" s="147" t="s">
        <v>345</v>
      </c>
      <c r="B25" s="143">
        <f t="shared" ref="B25:C25" si="9">SUM(B26:B30)</f>
        <v>135.95585591730844</v>
      </c>
      <c r="C25" s="143">
        <f t="shared" si="9"/>
        <v>1300</v>
      </c>
      <c r="D25" s="143">
        <f t="shared" si="1"/>
        <v>-1164.0441440826917</v>
      </c>
    </row>
    <row r="26" spans="1:9" ht="15.75" customHeight="1">
      <c r="A26" s="134" t="s">
        <v>346</v>
      </c>
      <c r="B26" s="135">
        <f>-SUMIFS('Task 7 &amp; 8 Solution data'!F:F,'Task 7 &amp; 8 Solution data'!C:C,$B$1,'Task 7 &amp; 8 Solution data'!E:E,$A26)</f>
        <v>0</v>
      </c>
      <c r="C26" s="136">
        <v>100</v>
      </c>
      <c r="D26" s="135">
        <f t="shared" si="1"/>
        <v>-100</v>
      </c>
    </row>
    <row r="27" spans="1:9" ht="15.75" customHeight="1">
      <c r="A27" s="148" t="s">
        <v>347</v>
      </c>
      <c r="B27" s="149">
        <f>-SUMIFS('Task 7 &amp; 8 Solution data'!F:F,'Task 7 &amp; 8 Solution data'!C:C,$B$1,'Task 7 &amp; 8 Solution data'!E:E,$A27)</f>
        <v>0</v>
      </c>
      <c r="C27" s="150">
        <v>100</v>
      </c>
      <c r="D27" s="149">
        <f t="shared" si="1"/>
        <v>-100</v>
      </c>
    </row>
    <row r="28" spans="1:9" ht="15.75" customHeight="1">
      <c r="A28" s="148" t="s">
        <v>348</v>
      </c>
      <c r="B28" s="149">
        <f>-SUMIFS('Task 7 &amp; 8 Solution data'!F:F,'Task 7 &amp; 8 Solution data'!C:C,$B$1,'Task 7 &amp; 8 Solution data'!E:E,$A28)</f>
        <v>0</v>
      </c>
      <c r="C28" s="150">
        <v>500</v>
      </c>
      <c r="D28" s="149">
        <f t="shared" si="1"/>
        <v>-500</v>
      </c>
    </row>
    <row r="29" spans="1:9" ht="15.75" customHeight="1">
      <c r="A29" s="148" t="s">
        <v>349</v>
      </c>
      <c r="B29" s="149">
        <f>-SUMIFS('Task 7 &amp; 8 Solution data'!F:F,'Task 7 &amp; 8 Solution data'!C:C,$B$1,'Task 7 &amp; 8 Solution data'!E:E,$A29)</f>
        <v>65.132516807274499</v>
      </c>
      <c r="C29" s="150">
        <v>500</v>
      </c>
      <c r="D29" s="149">
        <f t="shared" si="1"/>
        <v>-434.8674831927255</v>
      </c>
    </row>
    <row r="30" spans="1:9" ht="15.75" customHeight="1">
      <c r="A30" s="137" t="s">
        <v>350</v>
      </c>
      <c r="B30" s="138">
        <f>-SUMIFS('Task 7 &amp; 8 Solution data'!F:F,'Task 7 &amp; 8 Solution data'!C:C,$B$1,'Task 7 &amp; 8 Solution data'!E:E,$A30)</f>
        <v>70.823339110033942</v>
      </c>
      <c r="C30" s="139">
        <v>100</v>
      </c>
      <c r="D30" s="138">
        <f t="shared" si="1"/>
        <v>-29.176660889966058</v>
      </c>
    </row>
    <row r="31" spans="1:9" ht="15.75" customHeight="1">
      <c r="A31" s="154" t="s">
        <v>351</v>
      </c>
      <c r="B31" s="155">
        <f t="shared" ref="B31:D31" si="10">B6-B9</f>
        <v>-434.70290845718682</v>
      </c>
      <c r="C31" s="155">
        <f t="shared" si="10"/>
        <v>244</v>
      </c>
      <c r="D31" s="155">
        <f t="shared" si="10"/>
        <v>-678.70290845718682</v>
      </c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1">
    <cfRule type="cellIs" dxfId="2" priority="1" operator="greaterThan">
      <formula>0</formula>
    </cfRule>
  </conditionalFormatting>
  <conditionalFormatting sqref="B31">
    <cfRule type="cellIs" dxfId="1" priority="2" operator="lessThanOrEqual">
      <formula>0</formula>
    </cfRule>
  </conditionalFormatting>
  <conditionalFormatting sqref="D10 D13 D16 D20 D23 D25">
    <cfRule type="cellIs" dxfId="0" priority="3" operator="greaterThan">
      <formula>0</formula>
    </cfRule>
  </conditionalFormatting>
  <pageMargins left="0.7" right="0.7" top="0.75" bottom="0.75" header="0" footer="0"/>
  <pageSetup orientation="landscape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'Task 7 &amp; 8 Solution data'!$C$2:$C$101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4A7D6"/>
    <outlinePr summaryBelow="0" summaryRight="0"/>
  </sheetPr>
  <dimension ref="A1:L1000"/>
  <sheetViews>
    <sheetView workbookViewId="0"/>
  </sheetViews>
  <sheetFormatPr defaultColWidth="12.6640625" defaultRowHeight="15" customHeight="1"/>
  <cols>
    <col min="1" max="2" width="17.21875" customWidth="1"/>
    <col min="3" max="4" width="26.77734375" customWidth="1"/>
    <col min="5" max="5" width="19.88671875" customWidth="1"/>
    <col min="6" max="6" width="18.33203125" customWidth="1"/>
    <col min="7" max="7" width="17.77734375" customWidth="1"/>
    <col min="8" max="8" width="14.33203125" customWidth="1"/>
    <col min="9" max="9" width="13" customWidth="1"/>
    <col min="10" max="10" width="29.109375" customWidth="1"/>
    <col min="11" max="11" width="25.88671875" customWidth="1"/>
    <col min="12" max="27" width="14.33203125" customWidth="1"/>
  </cols>
  <sheetData>
    <row r="1" spans="1:12" ht="15.75" customHeight="1">
      <c r="A1" s="172" t="s">
        <v>352</v>
      </c>
      <c r="B1" s="157" t="s">
        <v>353</v>
      </c>
      <c r="C1" s="158" t="s">
        <v>353</v>
      </c>
      <c r="D1" s="158" t="s">
        <v>354</v>
      </c>
      <c r="E1" s="158" t="s">
        <v>355</v>
      </c>
      <c r="F1" s="159" t="s">
        <v>356</v>
      </c>
      <c r="G1" s="158" t="s">
        <v>357</v>
      </c>
      <c r="H1" s="158" t="s">
        <v>360</v>
      </c>
      <c r="J1" s="158" t="s">
        <v>357</v>
      </c>
      <c r="K1" s="161" t="s">
        <v>359</v>
      </c>
      <c r="L1" s="161" t="s">
        <v>360</v>
      </c>
    </row>
    <row r="2" spans="1:12" ht="15.75" customHeight="1">
      <c r="A2" s="162">
        <v>43145</v>
      </c>
      <c r="B2" s="162" t="str">
        <f t="shared" ref="B2:B101" si="0">TEXT(A2,"mmmm")&amp;" "&amp;TEXT(A2,"yyy")</f>
        <v>February 2018</v>
      </c>
      <c r="C2" s="173" t="str">
        <f t="shared" ref="C2:C101" si="1">TEXT(A2,"mmmm")&amp;" "&amp;TEXT(A2,"yyyy")</f>
        <v>February 2018</v>
      </c>
      <c r="D2" s="22" t="s">
        <v>361</v>
      </c>
      <c r="E2" s="22" t="s">
        <v>344</v>
      </c>
      <c r="F2" s="30">
        <v>-250</v>
      </c>
      <c r="G2" s="22" t="s">
        <v>362</v>
      </c>
      <c r="H2" s="22" t="str">
        <f t="shared" ref="H2:H101" si="2">VLOOKUP(G2,$J$2:$L$8,3,FALSE)</f>
        <v>Family</v>
      </c>
      <c r="J2" s="22" t="s">
        <v>362</v>
      </c>
      <c r="K2" s="22" t="s">
        <v>363</v>
      </c>
      <c r="L2" s="22" t="s">
        <v>364</v>
      </c>
    </row>
    <row r="3" spans="1:12" ht="15.75" customHeight="1">
      <c r="A3" s="162">
        <v>43145</v>
      </c>
      <c r="B3" s="162" t="str">
        <f t="shared" si="0"/>
        <v>February 2018</v>
      </c>
      <c r="C3" s="173" t="str">
        <f t="shared" si="1"/>
        <v>February 2018</v>
      </c>
      <c r="D3" s="22" t="s">
        <v>365</v>
      </c>
      <c r="E3" s="22" t="s">
        <v>339</v>
      </c>
      <c r="F3" s="30">
        <v>-10.095479406824349</v>
      </c>
      <c r="G3" s="22" t="s">
        <v>366</v>
      </c>
      <c r="H3" s="22" t="str">
        <f t="shared" si="2"/>
        <v>Daughter</v>
      </c>
      <c r="J3" s="22" t="s">
        <v>367</v>
      </c>
      <c r="K3" s="22" t="s">
        <v>368</v>
      </c>
      <c r="L3" s="22" t="s">
        <v>369</v>
      </c>
    </row>
    <row r="4" spans="1:12" ht="15.75" customHeight="1">
      <c r="A4" s="162">
        <v>43144</v>
      </c>
      <c r="B4" s="162" t="str">
        <f t="shared" si="0"/>
        <v>February 2018</v>
      </c>
      <c r="C4" s="173" t="str">
        <f t="shared" si="1"/>
        <v>February 2018</v>
      </c>
      <c r="D4" s="22" t="s">
        <v>370</v>
      </c>
      <c r="E4" s="22" t="s">
        <v>341</v>
      </c>
      <c r="F4" s="30">
        <v>-38.689165809099251</v>
      </c>
      <c r="G4" s="22" t="s">
        <v>367</v>
      </c>
      <c r="H4" s="22" t="str">
        <f t="shared" si="2"/>
        <v>Dad</v>
      </c>
      <c r="J4" s="22" t="s">
        <v>371</v>
      </c>
      <c r="K4" s="22" t="s">
        <v>372</v>
      </c>
      <c r="L4" s="22" t="s">
        <v>369</v>
      </c>
    </row>
    <row r="5" spans="1:12" ht="15.75" customHeight="1">
      <c r="A5" s="162">
        <v>43143</v>
      </c>
      <c r="B5" s="162" t="str">
        <f t="shared" si="0"/>
        <v>February 2018</v>
      </c>
      <c r="C5" s="173" t="str">
        <f t="shared" si="1"/>
        <v>February 2018</v>
      </c>
      <c r="D5" s="22" t="s">
        <v>373</v>
      </c>
      <c r="E5" s="22" t="s">
        <v>349</v>
      </c>
      <c r="F5" s="30">
        <v>-39.323944970056019</v>
      </c>
      <c r="G5" s="22" t="s">
        <v>374</v>
      </c>
      <c r="H5" s="22" t="str">
        <f t="shared" si="2"/>
        <v>Dad</v>
      </c>
      <c r="J5" s="22" t="s">
        <v>375</v>
      </c>
      <c r="K5" s="22" t="s">
        <v>376</v>
      </c>
      <c r="L5" s="22" t="s">
        <v>377</v>
      </c>
    </row>
    <row r="6" spans="1:12" ht="15.75" customHeight="1">
      <c r="A6" s="162">
        <v>43142</v>
      </c>
      <c r="B6" s="162" t="str">
        <f t="shared" si="0"/>
        <v>February 2018</v>
      </c>
      <c r="C6" s="173" t="str">
        <f t="shared" si="1"/>
        <v>February 2018</v>
      </c>
      <c r="D6" s="22" t="s">
        <v>378</v>
      </c>
      <c r="E6" s="22" t="s">
        <v>341</v>
      </c>
      <c r="F6" s="30">
        <v>-3251.3820558013899</v>
      </c>
      <c r="G6" s="22" t="s">
        <v>374</v>
      </c>
      <c r="H6" s="22" t="str">
        <f t="shared" si="2"/>
        <v>Dad</v>
      </c>
      <c r="J6" s="22" t="s">
        <v>366</v>
      </c>
      <c r="K6" s="22" t="s">
        <v>379</v>
      </c>
      <c r="L6" s="22" t="s">
        <v>380</v>
      </c>
    </row>
    <row r="7" spans="1:12" ht="15.75" customHeight="1">
      <c r="A7" s="162">
        <v>43141</v>
      </c>
      <c r="B7" s="162" t="str">
        <f t="shared" si="0"/>
        <v>February 2018</v>
      </c>
      <c r="C7" s="173" t="str">
        <f t="shared" si="1"/>
        <v>February 2018</v>
      </c>
      <c r="D7" s="22" t="s">
        <v>381</v>
      </c>
      <c r="E7" s="22" t="s">
        <v>349</v>
      </c>
      <c r="F7" s="30">
        <v>-25.808571837218487</v>
      </c>
      <c r="G7" s="22" t="s">
        <v>371</v>
      </c>
      <c r="H7" s="22" t="str">
        <f t="shared" si="2"/>
        <v>Dad</v>
      </c>
      <c r="J7" s="22" t="s">
        <v>382</v>
      </c>
      <c r="K7" s="22" t="s">
        <v>383</v>
      </c>
      <c r="L7" s="22" t="s">
        <v>377</v>
      </c>
    </row>
    <row r="8" spans="1:12" ht="15.75" customHeight="1">
      <c r="A8" s="162">
        <v>43140</v>
      </c>
      <c r="B8" s="162" t="str">
        <f t="shared" si="0"/>
        <v>February 2018</v>
      </c>
      <c r="C8" s="173" t="str">
        <f t="shared" si="1"/>
        <v>February 2018</v>
      </c>
      <c r="D8" s="22" t="s">
        <v>384</v>
      </c>
      <c r="E8" s="22" t="s">
        <v>332</v>
      </c>
      <c r="F8" s="30">
        <v>-1903</v>
      </c>
      <c r="G8" s="22" t="s">
        <v>362</v>
      </c>
      <c r="H8" s="22" t="str">
        <f t="shared" si="2"/>
        <v>Family</v>
      </c>
      <c r="J8" s="22" t="s">
        <v>374</v>
      </c>
      <c r="K8" s="22" t="s">
        <v>385</v>
      </c>
      <c r="L8" s="22" t="s">
        <v>369</v>
      </c>
    </row>
    <row r="9" spans="1:12" ht="15.75" customHeight="1">
      <c r="A9" s="162">
        <v>43140</v>
      </c>
      <c r="B9" s="162" t="str">
        <f t="shared" si="0"/>
        <v>February 2018</v>
      </c>
      <c r="C9" s="173" t="str">
        <f t="shared" si="1"/>
        <v>February 2018</v>
      </c>
      <c r="D9" s="22" t="s">
        <v>328</v>
      </c>
      <c r="E9" s="22" t="s">
        <v>328</v>
      </c>
      <c r="F9" s="163">
        <v>5544</v>
      </c>
      <c r="G9" s="22" t="s">
        <v>362</v>
      </c>
      <c r="H9" s="22" t="str">
        <f t="shared" si="2"/>
        <v>Family</v>
      </c>
    </row>
    <row r="10" spans="1:12" ht="15.75" customHeight="1">
      <c r="A10" s="162">
        <v>43140</v>
      </c>
      <c r="B10" s="162" t="str">
        <f t="shared" si="0"/>
        <v>February 2018</v>
      </c>
      <c r="C10" s="173" t="str">
        <f t="shared" si="1"/>
        <v>February 2018</v>
      </c>
      <c r="D10" s="22" t="s">
        <v>386</v>
      </c>
      <c r="E10" s="22" t="s">
        <v>350</v>
      </c>
      <c r="F10" s="30">
        <v>-9.1152874139295825</v>
      </c>
      <c r="G10" s="22" t="s">
        <v>371</v>
      </c>
      <c r="H10" s="22" t="str">
        <f t="shared" si="2"/>
        <v>Dad</v>
      </c>
    </row>
    <row r="11" spans="1:12" ht="15.75" customHeight="1">
      <c r="A11" s="162">
        <v>43139</v>
      </c>
      <c r="B11" s="162" t="str">
        <f t="shared" si="0"/>
        <v>February 2018</v>
      </c>
      <c r="C11" s="173" t="str">
        <f t="shared" si="1"/>
        <v>February 2018</v>
      </c>
      <c r="D11" s="22" t="s">
        <v>387</v>
      </c>
      <c r="E11" s="22" t="s">
        <v>338</v>
      </c>
      <c r="F11" s="30">
        <v>-8.9280584789857258</v>
      </c>
      <c r="G11" s="22" t="s">
        <v>382</v>
      </c>
      <c r="H11" s="22" t="str">
        <f t="shared" si="2"/>
        <v>Mom</v>
      </c>
    </row>
    <row r="12" spans="1:12" ht="15.75" customHeight="1">
      <c r="A12" s="162">
        <v>43139</v>
      </c>
      <c r="B12" s="162" t="str">
        <f t="shared" si="0"/>
        <v>February 2018</v>
      </c>
      <c r="C12" s="173" t="str">
        <f t="shared" si="1"/>
        <v>February 2018</v>
      </c>
      <c r="D12" s="22" t="s">
        <v>388</v>
      </c>
      <c r="E12" s="22" t="s">
        <v>337</v>
      </c>
      <c r="F12" s="30">
        <v>-46.45521318072057</v>
      </c>
      <c r="G12" s="22" t="s">
        <v>367</v>
      </c>
      <c r="H12" s="22" t="str">
        <f t="shared" si="2"/>
        <v>Dad</v>
      </c>
    </row>
    <row r="13" spans="1:12" ht="15.75" customHeight="1">
      <c r="A13" s="162">
        <v>43138</v>
      </c>
      <c r="B13" s="162" t="str">
        <f t="shared" si="0"/>
        <v>February 2018</v>
      </c>
      <c r="C13" s="173" t="str">
        <f t="shared" si="1"/>
        <v>February 2018</v>
      </c>
      <c r="D13" s="22" t="s">
        <v>389</v>
      </c>
      <c r="E13" s="22" t="s">
        <v>333</v>
      </c>
      <c r="F13" s="30">
        <v>-246.53506616141286</v>
      </c>
      <c r="G13" s="22" t="s">
        <v>374</v>
      </c>
      <c r="H13" s="22" t="str">
        <f t="shared" si="2"/>
        <v>Dad</v>
      </c>
    </row>
    <row r="14" spans="1:12" ht="15.75" customHeight="1">
      <c r="A14" s="162">
        <v>43137</v>
      </c>
      <c r="B14" s="162" t="str">
        <f t="shared" si="0"/>
        <v>February 2018</v>
      </c>
      <c r="C14" s="173" t="str">
        <f t="shared" si="1"/>
        <v>February 2018</v>
      </c>
      <c r="D14" s="22" t="s">
        <v>390</v>
      </c>
      <c r="E14" s="22" t="s">
        <v>350</v>
      </c>
      <c r="F14" s="30">
        <v>-1.5893293546870486</v>
      </c>
      <c r="G14" s="22" t="s">
        <v>375</v>
      </c>
      <c r="H14" s="22" t="str">
        <f t="shared" si="2"/>
        <v>Mom</v>
      </c>
    </row>
    <row r="15" spans="1:12" ht="15.75" customHeight="1">
      <c r="A15" s="162">
        <v>43136</v>
      </c>
      <c r="B15" s="162" t="str">
        <f t="shared" si="0"/>
        <v>February 2018</v>
      </c>
      <c r="C15" s="173" t="str">
        <f t="shared" si="1"/>
        <v>February 2018</v>
      </c>
      <c r="D15" s="22" t="s">
        <v>391</v>
      </c>
      <c r="E15" s="22" t="s">
        <v>338</v>
      </c>
      <c r="F15" s="30">
        <v>-15.534943959463117</v>
      </c>
      <c r="G15" s="22" t="s">
        <v>367</v>
      </c>
      <c r="H15" s="22" t="str">
        <f t="shared" si="2"/>
        <v>Dad</v>
      </c>
    </row>
    <row r="16" spans="1:12" ht="15.75" customHeight="1">
      <c r="A16" s="162">
        <v>43136</v>
      </c>
      <c r="B16" s="162" t="str">
        <f t="shared" si="0"/>
        <v>February 2018</v>
      </c>
      <c r="C16" s="173" t="str">
        <f t="shared" si="1"/>
        <v>February 2018</v>
      </c>
      <c r="D16" s="22" t="s">
        <v>392</v>
      </c>
      <c r="E16" s="22" t="s">
        <v>350</v>
      </c>
      <c r="F16" s="30">
        <v>-18.083209013978067</v>
      </c>
      <c r="G16" s="22" t="s">
        <v>375</v>
      </c>
      <c r="H16" s="22" t="str">
        <f t="shared" si="2"/>
        <v>Mom</v>
      </c>
    </row>
    <row r="17" spans="1:8" ht="15.75" customHeight="1">
      <c r="A17" s="162">
        <v>43135</v>
      </c>
      <c r="B17" s="162" t="str">
        <f t="shared" si="0"/>
        <v>February 2018</v>
      </c>
      <c r="C17" s="173" t="str">
        <f t="shared" si="1"/>
        <v>February 2018</v>
      </c>
      <c r="D17" s="22" t="s">
        <v>393</v>
      </c>
      <c r="E17" s="22" t="s">
        <v>350</v>
      </c>
      <c r="F17" s="30">
        <v>-35.848294657848044</v>
      </c>
      <c r="G17" s="22" t="s">
        <v>374</v>
      </c>
      <c r="H17" s="22" t="str">
        <f t="shared" si="2"/>
        <v>Dad</v>
      </c>
    </row>
    <row r="18" spans="1:8" ht="15.75" customHeight="1">
      <c r="A18" s="162">
        <v>43134</v>
      </c>
      <c r="B18" s="162" t="str">
        <f t="shared" si="0"/>
        <v>February 2018</v>
      </c>
      <c r="C18" s="173" t="str">
        <f t="shared" si="1"/>
        <v>February 2018</v>
      </c>
      <c r="D18" s="22" t="s">
        <v>394</v>
      </c>
      <c r="E18" s="22" t="s">
        <v>341</v>
      </c>
      <c r="F18" s="30">
        <v>-27.690756578335399</v>
      </c>
      <c r="G18" s="22" t="s">
        <v>367</v>
      </c>
      <c r="H18" s="22" t="str">
        <f t="shared" si="2"/>
        <v>Dad</v>
      </c>
    </row>
    <row r="19" spans="1:8" ht="15.75" customHeight="1">
      <c r="A19" s="162">
        <v>43133</v>
      </c>
      <c r="B19" s="162" t="str">
        <f t="shared" si="0"/>
        <v>February 2018</v>
      </c>
      <c r="C19" s="173" t="str">
        <f t="shared" si="1"/>
        <v>February 2018</v>
      </c>
      <c r="D19" s="22" t="s">
        <v>395</v>
      </c>
      <c r="E19" s="22" t="s">
        <v>341</v>
      </c>
      <c r="F19" s="30">
        <v>-25.280933498351065</v>
      </c>
      <c r="G19" s="22" t="s">
        <v>367</v>
      </c>
      <c r="H19" s="22" t="str">
        <f t="shared" si="2"/>
        <v>Dad</v>
      </c>
    </row>
    <row r="20" spans="1:8" ht="15.75" customHeight="1">
      <c r="A20" s="162">
        <v>43132</v>
      </c>
      <c r="B20" s="162" t="str">
        <f t="shared" si="0"/>
        <v>February 2018</v>
      </c>
      <c r="C20" s="173" t="str">
        <f t="shared" si="1"/>
        <v>February 2018</v>
      </c>
      <c r="D20" s="22" t="s">
        <v>396</v>
      </c>
      <c r="E20" s="22" t="s">
        <v>341</v>
      </c>
      <c r="F20" s="30">
        <v>-19.15537966529622</v>
      </c>
      <c r="G20" s="22" t="s">
        <v>367</v>
      </c>
      <c r="H20" s="22" t="str">
        <f t="shared" si="2"/>
        <v>Dad</v>
      </c>
    </row>
    <row r="21" spans="1:8" ht="15.75" customHeight="1">
      <c r="A21" s="162">
        <v>43132</v>
      </c>
      <c r="B21" s="162" t="str">
        <f t="shared" si="0"/>
        <v>February 2018</v>
      </c>
      <c r="C21" s="173" t="str">
        <f t="shared" si="1"/>
        <v>February 2018</v>
      </c>
      <c r="D21" s="22" t="s">
        <v>397</v>
      </c>
      <c r="E21" s="22" t="s">
        <v>350</v>
      </c>
      <c r="F21" s="30">
        <v>-6.1872186695911999</v>
      </c>
      <c r="G21" s="22" t="s">
        <v>382</v>
      </c>
      <c r="H21" s="22" t="str">
        <f t="shared" si="2"/>
        <v>Mom</v>
      </c>
    </row>
    <row r="22" spans="1:8" ht="15.75" customHeight="1">
      <c r="A22" s="162">
        <v>43131</v>
      </c>
      <c r="B22" s="162" t="str">
        <f t="shared" si="0"/>
        <v>January 2018</v>
      </c>
      <c r="C22" s="173" t="str">
        <f t="shared" si="1"/>
        <v>January 2018</v>
      </c>
      <c r="D22" s="22" t="s">
        <v>398</v>
      </c>
      <c r="E22" s="22" t="s">
        <v>338</v>
      </c>
      <c r="F22" s="30">
        <v>-2.1049544549337211</v>
      </c>
      <c r="G22" s="22" t="s">
        <v>366</v>
      </c>
      <c r="H22" s="22" t="str">
        <f t="shared" si="2"/>
        <v>Daughter</v>
      </c>
    </row>
    <row r="23" spans="1:8" ht="15.75" customHeight="1">
      <c r="A23" s="162">
        <v>43131</v>
      </c>
      <c r="B23" s="162" t="str">
        <f t="shared" si="0"/>
        <v>January 2018</v>
      </c>
      <c r="C23" s="173" t="str">
        <f t="shared" si="1"/>
        <v>January 2018</v>
      </c>
      <c r="D23" s="22" t="s">
        <v>399</v>
      </c>
      <c r="E23" s="22" t="s">
        <v>335</v>
      </c>
      <c r="F23" s="30">
        <v>-164.34778223566545</v>
      </c>
      <c r="G23" s="22" t="s">
        <v>374</v>
      </c>
      <c r="H23" s="22" t="str">
        <f t="shared" si="2"/>
        <v>Dad</v>
      </c>
    </row>
    <row r="24" spans="1:8" ht="15.75" customHeight="1">
      <c r="A24" s="162">
        <v>43130</v>
      </c>
      <c r="B24" s="162" t="str">
        <f t="shared" si="0"/>
        <v>January 2018</v>
      </c>
      <c r="C24" s="173" t="str">
        <f t="shared" si="1"/>
        <v>January 2018</v>
      </c>
      <c r="D24" s="22" t="s">
        <v>400</v>
      </c>
      <c r="E24" s="22" t="s">
        <v>346</v>
      </c>
      <c r="F24" s="30">
        <v>-156.1</v>
      </c>
      <c r="G24" s="22" t="s">
        <v>366</v>
      </c>
      <c r="H24" s="22" t="str">
        <f t="shared" si="2"/>
        <v>Daughter</v>
      </c>
    </row>
    <row r="25" spans="1:8" ht="15.75" customHeight="1">
      <c r="A25" s="162">
        <v>43129</v>
      </c>
      <c r="B25" s="162" t="str">
        <f t="shared" si="0"/>
        <v>January 2018</v>
      </c>
      <c r="C25" s="173" t="str">
        <f t="shared" si="1"/>
        <v>January 2018</v>
      </c>
      <c r="D25" s="22" t="s">
        <v>401</v>
      </c>
      <c r="E25" s="22" t="s">
        <v>344</v>
      </c>
      <c r="F25" s="30">
        <v>-400</v>
      </c>
      <c r="G25" s="22" t="s">
        <v>375</v>
      </c>
      <c r="H25" s="22" t="str">
        <f t="shared" si="2"/>
        <v>Mom</v>
      </c>
    </row>
    <row r="26" spans="1:8" ht="15.75" customHeight="1">
      <c r="A26" s="162">
        <v>43128</v>
      </c>
      <c r="B26" s="162" t="str">
        <f t="shared" si="0"/>
        <v>January 2018</v>
      </c>
      <c r="C26" s="173" t="str">
        <f t="shared" si="1"/>
        <v>January 2018</v>
      </c>
      <c r="D26" s="22" t="s">
        <v>402</v>
      </c>
      <c r="E26" s="22" t="s">
        <v>337</v>
      </c>
      <c r="F26" s="30">
        <v>-69.099999999999994</v>
      </c>
      <c r="G26" s="22" t="s">
        <v>367</v>
      </c>
      <c r="H26" s="22" t="str">
        <f t="shared" si="2"/>
        <v>Dad</v>
      </c>
    </row>
    <row r="27" spans="1:8" ht="15.75" customHeight="1">
      <c r="A27" s="162">
        <v>43127</v>
      </c>
      <c r="B27" s="162" t="str">
        <f t="shared" si="0"/>
        <v>January 2018</v>
      </c>
      <c r="C27" s="173" t="str">
        <f t="shared" si="1"/>
        <v>January 2018</v>
      </c>
      <c r="D27" s="22" t="s">
        <v>393</v>
      </c>
      <c r="E27" s="22" t="s">
        <v>350</v>
      </c>
      <c r="F27" s="30">
        <v>-56.98</v>
      </c>
      <c r="G27" s="22" t="s">
        <v>374</v>
      </c>
      <c r="H27" s="22" t="str">
        <f t="shared" si="2"/>
        <v>Dad</v>
      </c>
    </row>
    <row r="28" spans="1:8" ht="15.75" customHeight="1">
      <c r="A28" s="162">
        <v>43126</v>
      </c>
      <c r="B28" s="162" t="str">
        <f t="shared" si="0"/>
        <v>January 2018</v>
      </c>
      <c r="C28" s="173" t="str">
        <f t="shared" si="1"/>
        <v>January 2018</v>
      </c>
      <c r="D28" s="22" t="s">
        <v>394</v>
      </c>
      <c r="E28" s="22" t="s">
        <v>341</v>
      </c>
      <c r="F28" s="30">
        <v>-37.619999999999997</v>
      </c>
      <c r="G28" s="22" t="s">
        <v>367</v>
      </c>
      <c r="H28" s="22" t="str">
        <f t="shared" si="2"/>
        <v>Dad</v>
      </c>
    </row>
    <row r="29" spans="1:8" ht="15.75" customHeight="1">
      <c r="A29" s="162">
        <v>43126</v>
      </c>
      <c r="B29" s="162" t="str">
        <f t="shared" si="0"/>
        <v>January 2018</v>
      </c>
      <c r="C29" s="173" t="str">
        <f t="shared" si="1"/>
        <v>January 2018</v>
      </c>
      <c r="D29" s="22" t="s">
        <v>403</v>
      </c>
      <c r="E29" s="22" t="s">
        <v>350</v>
      </c>
      <c r="F29" s="30">
        <v>-10</v>
      </c>
      <c r="G29" s="22" t="s">
        <v>382</v>
      </c>
      <c r="H29" s="22" t="str">
        <f t="shared" si="2"/>
        <v>Mom</v>
      </c>
    </row>
    <row r="30" spans="1:8" ht="15.75" customHeight="1">
      <c r="A30" s="162">
        <v>43125</v>
      </c>
      <c r="B30" s="162" t="str">
        <f t="shared" si="0"/>
        <v>January 2018</v>
      </c>
      <c r="C30" s="173" t="str">
        <f t="shared" si="1"/>
        <v>January 2018</v>
      </c>
      <c r="D30" s="22" t="s">
        <v>370</v>
      </c>
      <c r="E30" s="22" t="s">
        <v>341</v>
      </c>
      <c r="F30" s="30">
        <v>-47.83</v>
      </c>
      <c r="G30" s="22" t="s">
        <v>367</v>
      </c>
      <c r="H30" s="22" t="str">
        <f t="shared" si="2"/>
        <v>Dad</v>
      </c>
    </row>
    <row r="31" spans="1:8" ht="15.75" customHeight="1">
      <c r="A31" s="162">
        <v>43124</v>
      </c>
      <c r="B31" s="162" t="str">
        <f t="shared" si="0"/>
        <v>January 2018</v>
      </c>
      <c r="C31" s="173" t="str">
        <f t="shared" si="1"/>
        <v>January 2018</v>
      </c>
      <c r="D31" s="22" t="s">
        <v>373</v>
      </c>
      <c r="E31" s="22" t="s">
        <v>347</v>
      </c>
      <c r="F31" s="30">
        <v>-55.82</v>
      </c>
      <c r="G31" s="22" t="s">
        <v>374</v>
      </c>
      <c r="H31" s="22" t="str">
        <f t="shared" si="2"/>
        <v>Dad</v>
      </c>
    </row>
    <row r="32" spans="1:8" ht="15.75" customHeight="1">
      <c r="A32" s="162">
        <v>43123</v>
      </c>
      <c r="B32" s="162" t="str">
        <f t="shared" si="0"/>
        <v>January 2018</v>
      </c>
      <c r="C32" s="173" t="str">
        <f t="shared" si="1"/>
        <v>January 2018</v>
      </c>
      <c r="D32" s="22" t="s">
        <v>404</v>
      </c>
      <c r="E32" s="22" t="s">
        <v>344</v>
      </c>
      <c r="F32" s="30">
        <v>-400</v>
      </c>
      <c r="G32" s="22" t="s">
        <v>362</v>
      </c>
      <c r="H32" s="22" t="str">
        <f t="shared" si="2"/>
        <v>Family</v>
      </c>
    </row>
    <row r="33" spans="1:8" ht="15.75" customHeight="1">
      <c r="A33" s="162">
        <v>43122</v>
      </c>
      <c r="B33" s="162" t="str">
        <f t="shared" si="0"/>
        <v>January 2018</v>
      </c>
      <c r="C33" s="173" t="str">
        <f t="shared" si="1"/>
        <v>January 2018</v>
      </c>
      <c r="D33" s="22" t="s">
        <v>405</v>
      </c>
      <c r="E33" s="22" t="s">
        <v>348</v>
      </c>
      <c r="F33" s="30">
        <v>-740</v>
      </c>
      <c r="G33" s="22" t="s">
        <v>362</v>
      </c>
      <c r="H33" s="22" t="str">
        <f t="shared" si="2"/>
        <v>Family</v>
      </c>
    </row>
    <row r="34" spans="1:8" ht="15.75" customHeight="1">
      <c r="A34" s="162">
        <v>43122</v>
      </c>
      <c r="B34" s="162" t="str">
        <f t="shared" si="0"/>
        <v>January 2018</v>
      </c>
      <c r="C34" s="173" t="str">
        <f t="shared" si="1"/>
        <v>January 2018</v>
      </c>
      <c r="D34" s="22" t="s">
        <v>390</v>
      </c>
      <c r="E34" s="22" t="s">
        <v>350</v>
      </c>
      <c r="F34" s="30">
        <v>-2.99</v>
      </c>
      <c r="G34" s="22" t="s">
        <v>375</v>
      </c>
      <c r="H34" s="22" t="str">
        <f t="shared" si="2"/>
        <v>Mom</v>
      </c>
    </row>
    <row r="35" spans="1:8" ht="15.75" customHeight="1">
      <c r="A35" s="162">
        <v>43121</v>
      </c>
      <c r="B35" s="162" t="str">
        <f t="shared" si="0"/>
        <v>January 2018</v>
      </c>
      <c r="C35" s="173" t="str">
        <f t="shared" si="1"/>
        <v>January 2018</v>
      </c>
      <c r="D35" s="22" t="s">
        <v>391</v>
      </c>
      <c r="E35" s="22" t="s">
        <v>338</v>
      </c>
      <c r="F35" s="30">
        <v>-18.18</v>
      </c>
      <c r="G35" s="22" t="s">
        <v>367</v>
      </c>
      <c r="H35" s="22" t="str">
        <f t="shared" si="2"/>
        <v>Dad</v>
      </c>
    </row>
    <row r="36" spans="1:8" ht="15.75" customHeight="1">
      <c r="A36" s="162">
        <v>43119</v>
      </c>
      <c r="B36" s="162" t="str">
        <f t="shared" si="0"/>
        <v>January 2018</v>
      </c>
      <c r="C36" s="173" t="str">
        <f t="shared" si="1"/>
        <v>January 2018</v>
      </c>
      <c r="D36" s="22" t="s">
        <v>378</v>
      </c>
      <c r="E36" s="22" t="s">
        <v>341</v>
      </c>
      <c r="F36" s="30">
        <v>-435.11</v>
      </c>
      <c r="G36" s="22" t="s">
        <v>374</v>
      </c>
      <c r="H36" s="22" t="str">
        <f t="shared" si="2"/>
        <v>Dad</v>
      </c>
    </row>
    <row r="37" spans="1:8" ht="15.75" customHeight="1">
      <c r="A37" s="162">
        <v>43118</v>
      </c>
      <c r="B37" s="162" t="str">
        <f t="shared" si="0"/>
        <v>January 2018</v>
      </c>
      <c r="C37" s="173" t="str">
        <f t="shared" si="1"/>
        <v>January 2018</v>
      </c>
      <c r="D37" s="22" t="s">
        <v>381</v>
      </c>
      <c r="E37" s="22" t="s">
        <v>349</v>
      </c>
      <c r="F37" s="30">
        <v>-30</v>
      </c>
      <c r="G37" s="22" t="s">
        <v>371</v>
      </c>
      <c r="H37" s="22" t="str">
        <f t="shared" si="2"/>
        <v>Dad</v>
      </c>
    </row>
    <row r="38" spans="1:8" ht="15.75" customHeight="1">
      <c r="A38" s="162">
        <v>43116</v>
      </c>
      <c r="B38" s="162" t="str">
        <f t="shared" si="0"/>
        <v>January 2018</v>
      </c>
      <c r="C38" s="173" t="str">
        <f t="shared" si="1"/>
        <v>January 2018</v>
      </c>
      <c r="D38" s="22" t="s">
        <v>406</v>
      </c>
      <c r="E38" s="22" t="s">
        <v>337</v>
      </c>
      <c r="F38" s="30">
        <v>-23</v>
      </c>
      <c r="G38" s="22" t="s">
        <v>367</v>
      </c>
      <c r="H38" s="22" t="str">
        <f t="shared" si="2"/>
        <v>Dad</v>
      </c>
    </row>
    <row r="39" spans="1:8" ht="15.75" customHeight="1">
      <c r="A39" s="162">
        <v>43115</v>
      </c>
      <c r="B39" s="162" t="str">
        <f t="shared" si="0"/>
        <v>January 2018</v>
      </c>
      <c r="C39" s="173" t="str">
        <f t="shared" si="1"/>
        <v>January 2018</v>
      </c>
      <c r="D39" s="22" t="s">
        <v>407</v>
      </c>
      <c r="E39" s="22" t="s">
        <v>329</v>
      </c>
      <c r="F39" s="163">
        <v>923</v>
      </c>
      <c r="G39" s="22" t="s">
        <v>362</v>
      </c>
      <c r="H39" s="22" t="str">
        <f t="shared" si="2"/>
        <v>Family</v>
      </c>
    </row>
    <row r="40" spans="1:8" ht="15.75" customHeight="1">
      <c r="A40" s="162">
        <v>43114</v>
      </c>
      <c r="B40" s="162" t="str">
        <f t="shared" si="0"/>
        <v>January 2018</v>
      </c>
      <c r="C40" s="173" t="str">
        <f t="shared" si="1"/>
        <v>January 2018</v>
      </c>
      <c r="D40" s="22" t="s">
        <v>408</v>
      </c>
      <c r="E40" s="22" t="s">
        <v>338</v>
      </c>
      <c r="F40" s="30">
        <v>-7.25</v>
      </c>
      <c r="G40" s="22" t="s">
        <v>382</v>
      </c>
      <c r="H40" s="22" t="str">
        <f t="shared" si="2"/>
        <v>Mom</v>
      </c>
    </row>
    <row r="41" spans="1:8" ht="15.75" customHeight="1">
      <c r="A41" s="162">
        <v>43114</v>
      </c>
      <c r="B41" s="162" t="str">
        <f t="shared" si="0"/>
        <v>January 2018</v>
      </c>
      <c r="C41" s="173" t="str">
        <f t="shared" si="1"/>
        <v>January 2018</v>
      </c>
      <c r="D41" s="22" t="s">
        <v>409</v>
      </c>
      <c r="E41" s="22" t="s">
        <v>338</v>
      </c>
      <c r="F41" s="30">
        <v>-16.350000000000001</v>
      </c>
      <c r="G41" s="22" t="s">
        <v>374</v>
      </c>
      <c r="H41" s="22" t="str">
        <f t="shared" si="2"/>
        <v>Dad</v>
      </c>
    </row>
    <row r="42" spans="1:8" ht="15.75" customHeight="1">
      <c r="A42" s="162">
        <v>43113</v>
      </c>
      <c r="B42" s="162" t="str">
        <f t="shared" si="0"/>
        <v>January 2018</v>
      </c>
      <c r="C42" s="173" t="str">
        <f t="shared" si="1"/>
        <v>January 2018</v>
      </c>
      <c r="D42" s="22" t="s">
        <v>410</v>
      </c>
      <c r="E42" s="22" t="s">
        <v>252</v>
      </c>
      <c r="F42" s="30">
        <v>-125.43</v>
      </c>
      <c r="G42" s="22" t="s">
        <v>375</v>
      </c>
      <c r="H42" s="22" t="str">
        <f t="shared" si="2"/>
        <v>Mom</v>
      </c>
    </row>
    <row r="43" spans="1:8" ht="15.75" customHeight="1">
      <c r="A43" s="162">
        <v>43112</v>
      </c>
      <c r="B43" s="162" t="str">
        <f t="shared" si="0"/>
        <v>January 2018</v>
      </c>
      <c r="C43" s="173" t="str">
        <f t="shared" si="1"/>
        <v>January 2018</v>
      </c>
      <c r="D43" s="22" t="s">
        <v>365</v>
      </c>
      <c r="E43" s="22" t="s">
        <v>338</v>
      </c>
      <c r="F43" s="30">
        <v>-12.51</v>
      </c>
      <c r="G43" s="22" t="s">
        <v>366</v>
      </c>
      <c r="H43" s="22" t="str">
        <f t="shared" si="2"/>
        <v>Daughter</v>
      </c>
    </row>
    <row r="44" spans="1:8" ht="15.75" customHeight="1">
      <c r="A44" s="162">
        <v>43111</v>
      </c>
      <c r="B44" s="162" t="str">
        <f t="shared" si="0"/>
        <v>January 2018</v>
      </c>
      <c r="C44" s="173" t="str">
        <f t="shared" si="1"/>
        <v>January 2018</v>
      </c>
      <c r="D44" s="22" t="s">
        <v>411</v>
      </c>
      <c r="E44" s="22" t="s">
        <v>252</v>
      </c>
      <c r="F44" s="30">
        <v>-43.73</v>
      </c>
      <c r="G44" s="22" t="s">
        <v>375</v>
      </c>
      <c r="H44" s="22" t="str">
        <f t="shared" si="2"/>
        <v>Mom</v>
      </c>
    </row>
    <row r="45" spans="1:8" ht="15.75" customHeight="1">
      <c r="A45" s="162">
        <v>43110</v>
      </c>
      <c r="B45" s="162" t="str">
        <f t="shared" si="0"/>
        <v>January 2018</v>
      </c>
      <c r="C45" s="173" t="str">
        <f t="shared" si="1"/>
        <v>January 2018</v>
      </c>
      <c r="D45" s="22" t="s">
        <v>412</v>
      </c>
      <c r="E45" s="22" t="s">
        <v>338</v>
      </c>
      <c r="F45" s="30">
        <v>-72.28</v>
      </c>
      <c r="G45" s="22" t="s">
        <v>382</v>
      </c>
      <c r="H45" s="22" t="str">
        <f t="shared" si="2"/>
        <v>Mom</v>
      </c>
    </row>
    <row r="46" spans="1:8" ht="15.75" customHeight="1">
      <c r="A46" s="162">
        <v>43110</v>
      </c>
      <c r="B46" s="162" t="str">
        <f t="shared" si="0"/>
        <v>January 2018</v>
      </c>
      <c r="C46" s="173" t="str">
        <f t="shared" si="1"/>
        <v>January 2018</v>
      </c>
      <c r="D46" s="22" t="s">
        <v>413</v>
      </c>
      <c r="E46" s="22" t="s">
        <v>337</v>
      </c>
      <c r="F46" s="30">
        <v>-108.91</v>
      </c>
      <c r="G46" s="22" t="s">
        <v>367</v>
      </c>
      <c r="H46" s="22" t="str">
        <f t="shared" si="2"/>
        <v>Dad</v>
      </c>
    </row>
    <row r="47" spans="1:8" ht="15.75" customHeight="1">
      <c r="A47" s="162">
        <v>43110</v>
      </c>
      <c r="B47" s="162" t="str">
        <f t="shared" si="0"/>
        <v>January 2018</v>
      </c>
      <c r="C47" s="173" t="str">
        <f t="shared" si="1"/>
        <v>January 2018</v>
      </c>
      <c r="D47" s="22" t="s">
        <v>384</v>
      </c>
      <c r="E47" s="22" t="s">
        <v>332</v>
      </c>
      <c r="F47" s="30">
        <v>-1903</v>
      </c>
      <c r="G47" s="22" t="s">
        <v>362</v>
      </c>
      <c r="H47" s="22" t="str">
        <f t="shared" si="2"/>
        <v>Family</v>
      </c>
    </row>
    <row r="48" spans="1:8" ht="15.75" customHeight="1">
      <c r="A48" s="162">
        <v>43110</v>
      </c>
      <c r="B48" s="162" t="str">
        <f t="shared" si="0"/>
        <v>January 2018</v>
      </c>
      <c r="C48" s="173" t="str">
        <f t="shared" si="1"/>
        <v>January 2018</v>
      </c>
      <c r="D48" s="22" t="s">
        <v>328</v>
      </c>
      <c r="E48" s="22" t="s">
        <v>328</v>
      </c>
      <c r="F48" s="163">
        <v>5544</v>
      </c>
      <c r="G48" s="22" t="s">
        <v>362</v>
      </c>
      <c r="H48" s="22" t="str">
        <f t="shared" si="2"/>
        <v>Family</v>
      </c>
    </row>
    <row r="49" spans="1:8" ht="15.75" customHeight="1">
      <c r="A49" s="162">
        <v>43110</v>
      </c>
      <c r="B49" s="162" t="str">
        <f t="shared" si="0"/>
        <v>January 2018</v>
      </c>
      <c r="C49" s="173" t="str">
        <f t="shared" si="1"/>
        <v>January 2018</v>
      </c>
      <c r="D49" s="22" t="s">
        <v>386</v>
      </c>
      <c r="E49" s="22" t="s">
        <v>350</v>
      </c>
      <c r="F49" s="30">
        <v>-16.18</v>
      </c>
      <c r="G49" s="22" t="s">
        <v>371</v>
      </c>
      <c r="H49" s="22" t="str">
        <f t="shared" si="2"/>
        <v>Dad</v>
      </c>
    </row>
    <row r="50" spans="1:8" ht="15.75" customHeight="1">
      <c r="A50" s="162">
        <v>43109</v>
      </c>
      <c r="B50" s="162" t="str">
        <f t="shared" si="0"/>
        <v>January 2018</v>
      </c>
      <c r="C50" s="173" t="str">
        <f t="shared" si="1"/>
        <v>January 2018</v>
      </c>
      <c r="D50" s="22" t="s">
        <v>414</v>
      </c>
      <c r="E50" s="22" t="s">
        <v>349</v>
      </c>
      <c r="F50" s="30">
        <v>-513.97</v>
      </c>
      <c r="G50" s="22" t="s">
        <v>375</v>
      </c>
      <c r="H50" s="22" t="str">
        <f t="shared" si="2"/>
        <v>Mom</v>
      </c>
    </row>
    <row r="51" spans="1:8" ht="15.75" customHeight="1">
      <c r="A51" s="162">
        <v>43109</v>
      </c>
      <c r="B51" s="162" t="str">
        <f t="shared" si="0"/>
        <v>January 2018</v>
      </c>
      <c r="C51" s="173" t="str">
        <f t="shared" si="1"/>
        <v>January 2018</v>
      </c>
      <c r="D51" s="22" t="s">
        <v>415</v>
      </c>
      <c r="E51" s="22" t="s">
        <v>342</v>
      </c>
      <c r="F51" s="30">
        <v>-50</v>
      </c>
      <c r="G51" s="22" t="s">
        <v>375</v>
      </c>
      <c r="H51" s="22" t="str">
        <f t="shared" si="2"/>
        <v>Mom</v>
      </c>
    </row>
    <row r="52" spans="1:8" ht="15.75" customHeight="1">
      <c r="A52" s="162">
        <v>43108</v>
      </c>
      <c r="B52" s="162" t="str">
        <f t="shared" si="0"/>
        <v>January 2018</v>
      </c>
      <c r="C52" s="173" t="str">
        <f t="shared" si="1"/>
        <v>January 2018</v>
      </c>
      <c r="D52" s="22" t="s">
        <v>416</v>
      </c>
      <c r="E52" s="22" t="s">
        <v>337</v>
      </c>
      <c r="F52" s="30">
        <v>-36.76</v>
      </c>
      <c r="G52" s="22" t="s">
        <v>367</v>
      </c>
      <c r="H52" s="22" t="str">
        <f t="shared" si="2"/>
        <v>Dad</v>
      </c>
    </row>
    <row r="53" spans="1:8" ht="15.75" customHeight="1">
      <c r="A53" s="162">
        <v>43107</v>
      </c>
      <c r="B53" s="162" t="str">
        <f t="shared" si="0"/>
        <v>January 2018</v>
      </c>
      <c r="C53" s="173" t="str">
        <f t="shared" si="1"/>
        <v>January 2018</v>
      </c>
      <c r="D53" s="22" t="s">
        <v>417</v>
      </c>
      <c r="E53" s="22" t="s">
        <v>338</v>
      </c>
      <c r="F53" s="30">
        <v>-35.340000000000003</v>
      </c>
      <c r="G53" s="22" t="s">
        <v>375</v>
      </c>
      <c r="H53" s="22" t="str">
        <f t="shared" si="2"/>
        <v>Mom</v>
      </c>
    </row>
    <row r="54" spans="1:8" ht="15.75" customHeight="1">
      <c r="A54" s="162">
        <v>43106</v>
      </c>
      <c r="B54" s="162" t="str">
        <f t="shared" si="0"/>
        <v>January 2018</v>
      </c>
      <c r="C54" s="173" t="str">
        <f t="shared" si="1"/>
        <v>January 2018</v>
      </c>
      <c r="D54" s="22" t="s">
        <v>396</v>
      </c>
      <c r="E54" s="22" t="s">
        <v>341</v>
      </c>
      <c r="F54" s="30">
        <v>-19.670000000000002</v>
      </c>
      <c r="G54" s="22" t="s">
        <v>367</v>
      </c>
      <c r="H54" s="22" t="str">
        <f t="shared" si="2"/>
        <v>Dad</v>
      </c>
    </row>
    <row r="55" spans="1:8" ht="15.75" customHeight="1">
      <c r="A55" s="162">
        <v>43106</v>
      </c>
      <c r="B55" s="162" t="str">
        <f t="shared" si="0"/>
        <v>January 2018</v>
      </c>
      <c r="C55" s="173" t="str">
        <f t="shared" si="1"/>
        <v>January 2018</v>
      </c>
      <c r="D55" s="22" t="s">
        <v>395</v>
      </c>
      <c r="E55" s="22" t="s">
        <v>341</v>
      </c>
      <c r="F55" s="30">
        <v>-48.74</v>
      </c>
      <c r="G55" s="22" t="s">
        <v>367</v>
      </c>
      <c r="H55" s="22" t="str">
        <f t="shared" si="2"/>
        <v>Dad</v>
      </c>
    </row>
    <row r="56" spans="1:8" ht="15.75" customHeight="1">
      <c r="A56" s="162">
        <v>43106</v>
      </c>
      <c r="B56" s="162" t="str">
        <f t="shared" si="0"/>
        <v>January 2018</v>
      </c>
      <c r="C56" s="173" t="str">
        <f t="shared" si="1"/>
        <v>January 2018</v>
      </c>
      <c r="D56" s="22" t="s">
        <v>392</v>
      </c>
      <c r="E56" s="22" t="s">
        <v>350</v>
      </c>
      <c r="F56" s="30">
        <v>-20</v>
      </c>
      <c r="G56" s="22" t="s">
        <v>375</v>
      </c>
      <c r="H56" s="22" t="str">
        <f t="shared" si="2"/>
        <v>Mom</v>
      </c>
    </row>
    <row r="57" spans="1:8" ht="15.75" customHeight="1">
      <c r="A57" s="162">
        <v>43105</v>
      </c>
      <c r="B57" s="162" t="str">
        <f t="shared" si="0"/>
        <v>January 2018</v>
      </c>
      <c r="C57" s="173" t="str">
        <f t="shared" si="1"/>
        <v>January 2018</v>
      </c>
      <c r="D57" s="22" t="s">
        <v>397</v>
      </c>
      <c r="E57" s="22" t="s">
        <v>350</v>
      </c>
      <c r="F57" s="30">
        <v>-10.81</v>
      </c>
      <c r="G57" s="22" t="s">
        <v>382</v>
      </c>
      <c r="H57" s="22" t="str">
        <f t="shared" si="2"/>
        <v>Mom</v>
      </c>
    </row>
    <row r="58" spans="1:8" ht="15.75" customHeight="1">
      <c r="A58" s="162">
        <v>43104</v>
      </c>
      <c r="B58" s="162" t="str">
        <f t="shared" si="0"/>
        <v>January 2018</v>
      </c>
      <c r="C58" s="173" t="str">
        <f t="shared" si="1"/>
        <v>January 2018</v>
      </c>
      <c r="D58" s="22" t="s">
        <v>388</v>
      </c>
      <c r="E58" s="22" t="s">
        <v>337</v>
      </c>
      <c r="F58" s="30">
        <v>-52.69</v>
      </c>
      <c r="G58" s="22" t="s">
        <v>367</v>
      </c>
      <c r="H58" s="22" t="str">
        <f t="shared" si="2"/>
        <v>Dad</v>
      </c>
    </row>
    <row r="59" spans="1:8" ht="15.75" customHeight="1">
      <c r="A59" s="162">
        <v>43103</v>
      </c>
      <c r="B59" s="162" t="str">
        <f t="shared" si="0"/>
        <v>January 2018</v>
      </c>
      <c r="C59" s="173" t="str">
        <f t="shared" si="1"/>
        <v>January 2018</v>
      </c>
      <c r="D59" s="22" t="s">
        <v>387</v>
      </c>
      <c r="E59" s="22" t="s">
        <v>338</v>
      </c>
      <c r="F59" s="30">
        <v>-12.91</v>
      </c>
      <c r="G59" s="22" t="s">
        <v>382</v>
      </c>
      <c r="H59" s="22" t="str">
        <f t="shared" si="2"/>
        <v>Mom</v>
      </c>
    </row>
    <row r="60" spans="1:8" ht="15.75" customHeight="1">
      <c r="A60" s="162">
        <v>43102</v>
      </c>
      <c r="B60" s="162" t="str">
        <f t="shared" si="0"/>
        <v>January 2018</v>
      </c>
      <c r="C60" s="173" t="str">
        <f t="shared" si="1"/>
        <v>January 2018</v>
      </c>
      <c r="D60" s="22" t="s">
        <v>418</v>
      </c>
      <c r="E60" s="22" t="s">
        <v>333</v>
      </c>
      <c r="F60" s="30">
        <v>-251.33</v>
      </c>
      <c r="G60" s="22" t="s">
        <v>374</v>
      </c>
      <c r="H60" s="22" t="str">
        <f t="shared" si="2"/>
        <v>Dad</v>
      </c>
    </row>
    <row r="61" spans="1:8" ht="15.75" customHeight="1">
      <c r="A61" s="162">
        <v>43101</v>
      </c>
      <c r="B61" s="162" t="str">
        <f t="shared" si="0"/>
        <v>January 2018</v>
      </c>
      <c r="C61" s="173" t="str">
        <f t="shared" si="1"/>
        <v>January 2018</v>
      </c>
      <c r="D61" s="22" t="s">
        <v>398</v>
      </c>
      <c r="E61" s="22" t="s">
        <v>338</v>
      </c>
      <c r="F61" s="30">
        <v>-3.56</v>
      </c>
      <c r="G61" s="22" t="s">
        <v>366</v>
      </c>
      <c r="H61" s="22" t="str">
        <f t="shared" si="2"/>
        <v>Daughter</v>
      </c>
    </row>
    <row r="62" spans="1:8" ht="15.75" customHeight="1">
      <c r="A62" s="162">
        <v>43101</v>
      </c>
      <c r="B62" s="162" t="str">
        <f t="shared" si="0"/>
        <v>January 2018</v>
      </c>
      <c r="C62" s="173" t="str">
        <f t="shared" si="1"/>
        <v>January 2018</v>
      </c>
      <c r="D62" s="22" t="s">
        <v>399</v>
      </c>
      <c r="E62" s="22" t="s">
        <v>335</v>
      </c>
      <c r="F62" s="30">
        <v>-322.83999999999997</v>
      </c>
      <c r="G62" s="22" t="s">
        <v>374</v>
      </c>
      <c r="H62" s="22" t="str">
        <f t="shared" si="2"/>
        <v>Dad</v>
      </c>
    </row>
    <row r="63" spans="1:8" ht="15.75" customHeight="1">
      <c r="A63" s="162">
        <v>43100</v>
      </c>
      <c r="B63" s="162" t="str">
        <f t="shared" si="0"/>
        <v>December 2017</v>
      </c>
      <c r="C63" s="173" t="str">
        <f t="shared" si="1"/>
        <v>December 2017</v>
      </c>
      <c r="D63" s="22" t="s">
        <v>400</v>
      </c>
      <c r="E63" s="22" t="s">
        <v>346</v>
      </c>
      <c r="F63" s="30">
        <v>-115.74967014479407</v>
      </c>
      <c r="G63" s="22" t="s">
        <v>366</v>
      </c>
      <c r="H63" s="22" t="str">
        <f t="shared" si="2"/>
        <v>Daughter</v>
      </c>
    </row>
    <row r="64" spans="1:8" ht="15.75" customHeight="1">
      <c r="A64" s="162">
        <v>43099</v>
      </c>
      <c r="B64" s="162" t="str">
        <f t="shared" si="0"/>
        <v>December 2017</v>
      </c>
      <c r="C64" s="173" t="str">
        <f t="shared" si="1"/>
        <v>December 2017</v>
      </c>
      <c r="D64" s="22" t="s">
        <v>416</v>
      </c>
      <c r="E64" s="22" t="s">
        <v>337</v>
      </c>
      <c r="F64" s="30">
        <v>-28.600200780444766</v>
      </c>
      <c r="G64" s="22" t="s">
        <v>367</v>
      </c>
      <c r="H64" s="22" t="str">
        <f t="shared" si="2"/>
        <v>Dad</v>
      </c>
    </row>
    <row r="65" spans="1:8" ht="15.75" customHeight="1">
      <c r="A65" s="162">
        <v>43098</v>
      </c>
      <c r="B65" s="162" t="str">
        <f t="shared" si="0"/>
        <v>December 2017</v>
      </c>
      <c r="C65" s="173" t="str">
        <f t="shared" si="1"/>
        <v>December 2017</v>
      </c>
      <c r="D65" s="22" t="s">
        <v>417</v>
      </c>
      <c r="E65" s="22" t="s">
        <v>338</v>
      </c>
      <c r="F65" s="30">
        <v>-27.972195350837076</v>
      </c>
      <c r="G65" s="22" t="s">
        <v>375</v>
      </c>
      <c r="H65" s="22" t="str">
        <f t="shared" si="2"/>
        <v>Mom</v>
      </c>
    </row>
    <row r="66" spans="1:8" ht="15.75" customHeight="1">
      <c r="A66" s="162">
        <v>43097</v>
      </c>
      <c r="B66" s="162" t="str">
        <f t="shared" si="0"/>
        <v>December 2017</v>
      </c>
      <c r="C66" s="173" t="str">
        <f t="shared" si="1"/>
        <v>December 2017</v>
      </c>
      <c r="D66" s="22" t="s">
        <v>405</v>
      </c>
      <c r="E66" s="22" t="s">
        <v>348</v>
      </c>
      <c r="F66" s="30">
        <v>-621.1731484738832</v>
      </c>
      <c r="G66" s="22" t="s">
        <v>362</v>
      </c>
      <c r="H66" s="22" t="str">
        <f t="shared" si="2"/>
        <v>Family</v>
      </c>
    </row>
    <row r="67" spans="1:8" ht="15.75" customHeight="1">
      <c r="A67" s="162">
        <v>43096</v>
      </c>
      <c r="B67" s="162" t="str">
        <f t="shared" si="0"/>
        <v>December 2017</v>
      </c>
      <c r="C67" s="173" t="str">
        <f t="shared" si="1"/>
        <v>December 2017</v>
      </c>
      <c r="D67" s="22" t="s">
        <v>419</v>
      </c>
      <c r="E67" s="22" t="s">
        <v>344</v>
      </c>
      <c r="F67" s="30">
        <v>-300</v>
      </c>
      <c r="G67" s="22" t="s">
        <v>375</v>
      </c>
      <c r="H67" s="22" t="str">
        <f t="shared" si="2"/>
        <v>Mom</v>
      </c>
    </row>
    <row r="68" spans="1:8" ht="15.75" customHeight="1">
      <c r="A68" s="162">
        <v>43095</v>
      </c>
      <c r="B68" s="162" t="str">
        <f t="shared" si="0"/>
        <v>December 2017</v>
      </c>
      <c r="C68" s="173" t="str">
        <f t="shared" si="1"/>
        <v>December 2017</v>
      </c>
      <c r="D68" s="22" t="s">
        <v>403</v>
      </c>
      <c r="E68" s="22" t="s">
        <v>350</v>
      </c>
      <c r="F68" s="30">
        <v>-6.872212037170101</v>
      </c>
      <c r="G68" s="22" t="s">
        <v>382</v>
      </c>
      <c r="H68" s="22" t="str">
        <f t="shared" si="2"/>
        <v>Mom</v>
      </c>
    </row>
    <row r="69" spans="1:8" ht="15.75" customHeight="1">
      <c r="A69" s="162">
        <v>43094</v>
      </c>
      <c r="B69" s="162" t="str">
        <f t="shared" si="0"/>
        <v>December 2017</v>
      </c>
      <c r="C69" s="173" t="str">
        <f t="shared" si="1"/>
        <v>December 2017</v>
      </c>
      <c r="D69" s="22" t="s">
        <v>406</v>
      </c>
      <c r="E69" s="22" t="s">
        <v>337</v>
      </c>
      <c r="F69" s="30">
        <v>-14.63268068805967</v>
      </c>
      <c r="G69" s="22" t="s">
        <v>367</v>
      </c>
      <c r="H69" s="22" t="str">
        <f t="shared" si="2"/>
        <v>Dad</v>
      </c>
    </row>
    <row r="70" spans="1:8" ht="15.75" customHeight="1">
      <c r="A70" s="162">
        <v>43093</v>
      </c>
      <c r="B70" s="162" t="str">
        <f t="shared" si="0"/>
        <v>December 2017</v>
      </c>
      <c r="C70" s="173" t="str">
        <f t="shared" si="1"/>
        <v>December 2017</v>
      </c>
      <c r="D70" s="22" t="s">
        <v>407</v>
      </c>
      <c r="E70" s="22" t="s">
        <v>329</v>
      </c>
      <c r="F70" s="163">
        <v>653.58785518442778</v>
      </c>
      <c r="G70" s="22" t="s">
        <v>362</v>
      </c>
      <c r="H70" s="22" t="str">
        <f t="shared" si="2"/>
        <v>Family</v>
      </c>
    </row>
    <row r="71" spans="1:8" ht="15.75" customHeight="1">
      <c r="A71" s="162">
        <v>43092</v>
      </c>
      <c r="B71" s="162" t="str">
        <f t="shared" si="0"/>
        <v>December 2017</v>
      </c>
      <c r="C71" s="173" t="str">
        <f t="shared" si="1"/>
        <v>December 2017</v>
      </c>
      <c r="D71" s="22" t="s">
        <v>408</v>
      </c>
      <c r="E71" s="22" t="s">
        <v>338</v>
      </c>
      <c r="F71" s="30">
        <v>-6.18155654415109</v>
      </c>
      <c r="G71" s="22" t="s">
        <v>382</v>
      </c>
      <c r="H71" s="22" t="str">
        <f t="shared" si="2"/>
        <v>Mom</v>
      </c>
    </row>
    <row r="72" spans="1:8" ht="15.75" customHeight="1">
      <c r="A72" s="162">
        <v>43092</v>
      </c>
      <c r="B72" s="162" t="str">
        <f t="shared" si="0"/>
        <v>December 2017</v>
      </c>
      <c r="C72" s="173" t="str">
        <f t="shared" si="1"/>
        <v>December 2017</v>
      </c>
      <c r="D72" s="22" t="s">
        <v>409</v>
      </c>
      <c r="E72" s="22" t="s">
        <v>338</v>
      </c>
      <c r="F72" s="30">
        <v>-15.956849155308712</v>
      </c>
      <c r="G72" s="22" t="s">
        <v>374</v>
      </c>
      <c r="H72" s="22" t="str">
        <f t="shared" si="2"/>
        <v>Dad</v>
      </c>
    </row>
    <row r="73" spans="1:8" ht="15.75" customHeight="1">
      <c r="A73" s="162">
        <v>43091</v>
      </c>
      <c r="B73" s="162" t="str">
        <f t="shared" si="0"/>
        <v>December 2017</v>
      </c>
      <c r="C73" s="173" t="str">
        <f t="shared" si="1"/>
        <v>December 2017</v>
      </c>
      <c r="D73" s="22" t="s">
        <v>370</v>
      </c>
      <c r="E73" s="22" t="s">
        <v>341</v>
      </c>
      <c r="F73" s="30">
        <v>-25.172198490266851</v>
      </c>
      <c r="G73" s="22" t="s">
        <v>367</v>
      </c>
      <c r="H73" s="22" t="str">
        <f t="shared" si="2"/>
        <v>Dad</v>
      </c>
    </row>
    <row r="74" spans="1:8" ht="15.75" customHeight="1">
      <c r="A74" s="162">
        <v>43091</v>
      </c>
      <c r="B74" s="162" t="str">
        <f t="shared" si="0"/>
        <v>December 2017</v>
      </c>
      <c r="C74" s="173" t="str">
        <f t="shared" si="1"/>
        <v>December 2017</v>
      </c>
      <c r="D74" s="22" t="s">
        <v>373</v>
      </c>
      <c r="E74" s="22" t="s">
        <v>347</v>
      </c>
      <c r="F74" s="30">
        <v>-50.348574949595729</v>
      </c>
      <c r="G74" s="22" t="s">
        <v>374</v>
      </c>
      <c r="H74" s="22" t="str">
        <f t="shared" si="2"/>
        <v>Dad</v>
      </c>
    </row>
    <row r="75" spans="1:8" ht="15.75" customHeight="1">
      <c r="A75" s="162">
        <v>43090</v>
      </c>
      <c r="B75" s="162" t="str">
        <f t="shared" si="0"/>
        <v>December 2017</v>
      </c>
      <c r="C75" s="173" t="str">
        <f t="shared" si="1"/>
        <v>December 2017</v>
      </c>
      <c r="D75" s="22" t="s">
        <v>414</v>
      </c>
      <c r="E75" s="22" t="s">
        <v>349</v>
      </c>
      <c r="F75" s="30">
        <v>-488.95510428597606</v>
      </c>
      <c r="G75" s="22" t="s">
        <v>375</v>
      </c>
      <c r="H75" s="22" t="str">
        <f t="shared" si="2"/>
        <v>Mom</v>
      </c>
    </row>
    <row r="76" spans="1:8" ht="15.75" customHeight="1">
      <c r="A76" s="162">
        <v>43089</v>
      </c>
      <c r="B76" s="162" t="str">
        <f t="shared" si="0"/>
        <v>December 2017</v>
      </c>
      <c r="C76" s="173" t="str">
        <f t="shared" si="1"/>
        <v>December 2017</v>
      </c>
      <c r="D76" s="22" t="s">
        <v>378</v>
      </c>
      <c r="E76" s="22" t="s">
        <v>341</v>
      </c>
      <c r="F76" s="30">
        <v>-260.36726635699529</v>
      </c>
      <c r="G76" s="22" t="s">
        <v>374</v>
      </c>
      <c r="H76" s="22" t="str">
        <f t="shared" si="2"/>
        <v>Dad</v>
      </c>
    </row>
    <row r="77" spans="1:8" ht="15.75" customHeight="1">
      <c r="A77" s="162">
        <v>43088</v>
      </c>
      <c r="B77" s="162" t="str">
        <f t="shared" si="0"/>
        <v>December 2017</v>
      </c>
      <c r="C77" s="173" t="str">
        <f t="shared" si="1"/>
        <v>December 2017</v>
      </c>
      <c r="D77" s="22" t="s">
        <v>381</v>
      </c>
      <c r="E77" s="22" t="s">
        <v>349</v>
      </c>
      <c r="F77" s="30">
        <v>-16.488964188554782</v>
      </c>
      <c r="G77" s="22" t="s">
        <v>371</v>
      </c>
      <c r="H77" s="22" t="str">
        <f t="shared" si="2"/>
        <v>Dad</v>
      </c>
    </row>
    <row r="78" spans="1:8" ht="15.75" customHeight="1">
      <c r="A78" s="162">
        <v>43086</v>
      </c>
      <c r="B78" s="162" t="str">
        <f t="shared" si="0"/>
        <v>December 2017</v>
      </c>
      <c r="C78" s="173" t="str">
        <f t="shared" si="1"/>
        <v>December 2017</v>
      </c>
      <c r="D78" s="22" t="s">
        <v>388</v>
      </c>
      <c r="E78" s="22" t="s">
        <v>337</v>
      </c>
      <c r="F78" s="30">
        <v>-27.183768951838047</v>
      </c>
      <c r="G78" s="22" t="s">
        <v>367</v>
      </c>
      <c r="H78" s="22" t="str">
        <f t="shared" si="2"/>
        <v>Dad</v>
      </c>
    </row>
    <row r="79" spans="1:8" ht="15.75" customHeight="1">
      <c r="A79" s="162">
        <v>43085</v>
      </c>
      <c r="B79" s="162" t="str">
        <f t="shared" si="0"/>
        <v>December 2017</v>
      </c>
      <c r="C79" s="173" t="str">
        <f t="shared" si="1"/>
        <v>December 2017</v>
      </c>
      <c r="D79" s="22" t="s">
        <v>420</v>
      </c>
      <c r="E79" s="22" t="s">
        <v>344</v>
      </c>
      <c r="F79" s="30">
        <v>-300</v>
      </c>
      <c r="G79" s="22" t="s">
        <v>362</v>
      </c>
      <c r="H79" s="22" t="str">
        <f t="shared" si="2"/>
        <v>Family</v>
      </c>
    </row>
    <row r="80" spans="1:8" ht="15.75" customHeight="1">
      <c r="A80" s="162">
        <v>43084</v>
      </c>
      <c r="B80" s="162" t="str">
        <f t="shared" si="0"/>
        <v>December 2017</v>
      </c>
      <c r="C80" s="173" t="str">
        <f t="shared" si="1"/>
        <v>December 2017</v>
      </c>
      <c r="D80" s="22" t="s">
        <v>393</v>
      </c>
      <c r="E80" s="22" t="s">
        <v>350</v>
      </c>
      <c r="F80" s="30">
        <v>-34.21658162443002</v>
      </c>
      <c r="G80" s="22" t="s">
        <v>374</v>
      </c>
      <c r="H80" s="22" t="str">
        <f t="shared" si="2"/>
        <v>Dad</v>
      </c>
    </row>
    <row r="81" spans="1:8" ht="15.75" customHeight="1">
      <c r="A81" s="162">
        <v>43083</v>
      </c>
      <c r="B81" s="162" t="str">
        <f t="shared" si="0"/>
        <v>December 2017</v>
      </c>
      <c r="C81" s="173" t="str">
        <f t="shared" si="1"/>
        <v>December 2017</v>
      </c>
      <c r="D81" s="22" t="s">
        <v>394</v>
      </c>
      <c r="E81" s="22" t="s">
        <v>341</v>
      </c>
      <c r="F81" s="30">
        <v>-25.753114033343255</v>
      </c>
      <c r="G81" s="22" t="s">
        <v>367</v>
      </c>
      <c r="H81" s="22" t="str">
        <f t="shared" si="2"/>
        <v>Dad</v>
      </c>
    </row>
    <row r="82" spans="1:8" ht="15.75" customHeight="1">
      <c r="A82" s="162">
        <v>43082</v>
      </c>
      <c r="B82" s="162" t="str">
        <f t="shared" si="0"/>
        <v>December 2017</v>
      </c>
      <c r="C82" s="173" t="str">
        <f t="shared" si="1"/>
        <v>December 2017</v>
      </c>
      <c r="D82" s="22" t="s">
        <v>395</v>
      </c>
      <c r="E82" s="22" t="s">
        <v>341</v>
      </c>
      <c r="F82" s="30">
        <v>-44.813790300506582</v>
      </c>
      <c r="G82" s="22" t="s">
        <v>367</v>
      </c>
      <c r="H82" s="22" t="str">
        <f t="shared" si="2"/>
        <v>Dad</v>
      </c>
    </row>
    <row r="83" spans="1:8" ht="15.75" customHeight="1">
      <c r="A83" s="162">
        <v>43082</v>
      </c>
      <c r="B83" s="162" t="str">
        <f t="shared" si="0"/>
        <v>December 2017</v>
      </c>
      <c r="C83" s="173" t="str">
        <f t="shared" si="1"/>
        <v>December 2017</v>
      </c>
      <c r="D83" s="22" t="s">
        <v>410</v>
      </c>
      <c r="E83" s="22" t="s">
        <v>252</v>
      </c>
      <c r="F83" s="30">
        <v>-102.85023221421071</v>
      </c>
      <c r="G83" s="22" t="s">
        <v>375</v>
      </c>
      <c r="H83" s="22" t="str">
        <f t="shared" si="2"/>
        <v>Mom</v>
      </c>
    </row>
    <row r="84" spans="1:8" ht="15.75" customHeight="1">
      <c r="A84" s="162">
        <v>43081</v>
      </c>
      <c r="B84" s="162" t="str">
        <f t="shared" si="0"/>
        <v>December 2017</v>
      </c>
      <c r="C84" s="173" t="str">
        <f t="shared" si="1"/>
        <v>December 2017</v>
      </c>
      <c r="D84" s="22" t="s">
        <v>396</v>
      </c>
      <c r="E84" s="22" t="s">
        <v>341</v>
      </c>
      <c r="F84" s="30">
        <v>-13.772233433191696</v>
      </c>
      <c r="G84" s="22" t="s">
        <v>367</v>
      </c>
      <c r="H84" s="22" t="str">
        <f t="shared" si="2"/>
        <v>Dad</v>
      </c>
    </row>
    <row r="85" spans="1:8" ht="15.75" customHeight="1">
      <c r="A85" s="162">
        <v>43080</v>
      </c>
      <c r="B85" s="162" t="str">
        <f t="shared" si="0"/>
        <v>December 2017</v>
      </c>
      <c r="C85" s="173" t="str">
        <f t="shared" si="1"/>
        <v>December 2017</v>
      </c>
      <c r="D85" s="22" t="s">
        <v>365</v>
      </c>
      <c r="E85" s="22" t="s">
        <v>338</v>
      </c>
      <c r="F85" s="30">
        <v>-10.264651962190525</v>
      </c>
      <c r="G85" s="22" t="s">
        <v>366</v>
      </c>
      <c r="H85" s="22" t="str">
        <f t="shared" si="2"/>
        <v>Daughter</v>
      </c>
    </row>
    <row r="86" spans="1:8" ht="15.75" customHeight="1">
      <c r="A86" s="162">
        <v>43080</v>
      </c>
      <c r="B86" s="162" t="str">
        <f t="shared" si="0"/>
        <v>December 2017</v>
      </c>
      <c r="C86" s="173" t="str">
        <f t="shared" si="1"/>
        <v>December 2017</v>
      </c>
      <c r="D86" s="22" t="s">
        <v>397</v>
      </c>
      <c r="E86" s="22" t="s">
        <v>350</v>
      </c>
      <c r="F86" s="30">
        <v>-9.7146032923612324</v>
      </c>
      <c r="G86" s="22" t="s">
        <v>382</v>
      </c>
      <c r="H86" s="22" t="str">
        <f t="shared" si="2"/>
        <v>Mom</v>
      </c>
    </row>
    <row r="87" spans="1:8" ht="15.75" customHeight="1">
      <c r="A87" s="162">
        <v>43079</v>
      </c>
      <c r="B87" s="162" t="str">
        <f t="shared" si="0"/>
        <v>December 2017</v>
      </c>
      <c r="C87" s="173" t="str">
        <f t="shared" si="1"/>
        <v>December 2017</v>
      </c>
      <c r="D87" s="22" t="s">
        <v>387</v>
      </c>
      <c r="E87" s="22" t="s">
        <v>338</v>
      </c>
      <c r="F87" s="30">
        <v>-11.733451140784947</v>
      </c>
      <c r="G87" s="22" t="s">
        <v>382</v>
      </c>
      <c r="H87" s="22" t="str">
        <f t="shared" si="2"/>
        <v>Mom</v>
      </c>
    </row>
    <row r="88" spans="1:8" ht="15.75" customHeight="1">
      <c r="A88" s="162">
        <v>43079</v>
      </c>
      <c r="B88" s="162" t="str">
        <f t="shared" si="0"/>
        <v>December 2017</v>
      </c>
      <c r="C88" s="173" t="str">
        <f t="shared" si="1"/>
        <v>December 2017</v>
      </c>
      <c r="D88" s="22" t="s">
        <v>384</v>
      </c>
      <c r="E88" s="22" t="s">
        <v>332</v>
      </c>
      <c r="F88" s="30">
        <v>-1903</v>
      </c>
      <c r="G88" s="22" t="s">
        <v>362</v>
      </c>
      <c r="H88" s="22" t="str">
        <f t="shared" si="2"/>
        <v>Family</v>
      </c>
    </row>
    <row r="89" spans="1:8" ht="15.75" customHeight="1">
      <c r="A89" s="162">
        <v>43079</v>
      </c>
      <c r="B89" s="162" t="str">
        <f t="shared" si="0"/>
        <v>December 2017</v>
      </c>
      <c r="C89" s="173" t="str">
        <f t="shared" si="1"/>
        <v>December 2017</v>
      </c>
      <c r="D89" s="22" t="s">
        <v>328</v>
      </c>
      <c r="E89" s="22" t="s">
        <v>328</v>
      </c>
      <c r="F89" s="163">
        <v>5544</v>
      </c>
      <c r="G89" s="22" t="s">
        <v>362</v>
      </c>
      <c r="H89" s="22" t="str">
        <f t="shared" si="2"/>
        <v>Family</v>
      </c>
    </row>
    <row r="90" spans="1:8" ht="15.75" customHeight="1">
      <c r="A90" s="162">
        <v>43079</v>
      </c>
      <c r="B90" s="162" t="str">
        <f t="shared" si="0"/>
        <v>December 2017</v>
      </c>
      <c r="C90" s="173" t="str">
        <f t="shared" si="1"/>
        <v>December 2017</v>
      </c>
      <c r="D90" s="22" t="s">
        <v>386</v>
      </c>
      <c r="E90" s="22" t="s">
        <v>350</v>
      </c>
      <c r="F90" s="30">
        <v>-15.119178234607485</v>
      </c>
      <c r="G90" s="22" t="s">
        <v>371</v>
      </c>
      <c r="H90" s="22" t="str">
        <f t="shared" si="2"/>
        <v>Dad</v>
      </c>
    </row>
    <row r="91" spans="1:8" ht="15.75" customHeight="1">
      <c r="A91" s="162">
        <v>43078</v>
      </c>
      <c r="B91" s="162" t="str">
        <f t="shared" si="0"/>
        <v>December 2017</v>
      </c>
      <c r="C91" s="173" t="str">
        <f t="shared" si="1"/>
        <v>December 2017</v>
      </c>
      <c r="D91" s="22" t="s">
        <v>421</v>
      </c>
      <c r="E91" s="22" t="s">
        <v>333</v>
      </c>
      <c r="F91" s="30">
        <v>-249.68057299921207</v>
      </c>
      <c r="G91" s="22" t="s">
        <v>374</v>
      </c>
      <c r="H91" s="22" t="str">
        <f t="shared" si="2"/>
        <v>Dad</v>
      </c>
    </row>
    <row r="92" spans="1:8" ht="15.75" customHeight="1">
      <c r="A92" s="162">
        <v>43077</v>
      </c>
      <c r="B92" s="162" t="str">
        <f t="shared" si="0"/>
        <v>December 2017</v>
      </c>
      <c r="C92" s="173" t="str">
        <f t="shared" si="1"/>
        <v>December 2017</v>
      </c>
      <c r="D92" s="22" t="s">
        <v>390</v>
      </c>
      <c r="E92" s="22" t="s">
        <v>350</v>
      </c>
      <c r="F92" s="30">
        <v>-2.0757459156642257</v>
      </c>
      <c r="G92" s="22" t="s">
        <v>375</v>
      </c>
      <c r="H92" s="22" t="str">
        <f t="shared" si="2"/>
        <v>Mom</v>
      </c>
    </row>
    <row r="93" spans="1:8" ht="15.75" customHeight="1">
      <c r="A93" s="162">
        <v>43076</v>
      </c>
      <c r="B93" s="162" t="str">
        <f t="shared" si="0"/>
        <v>December 2017</v>
      </c>
      <c r="C93" s="173" t="str">
        <f t="shared" si="1"/>
        <v>December 2017</v>
      </c>
      <c r="D93" s="22" t="s">
        <v>391</v>
      </c>
      <c r="E93" s="22" t="s">
        <v>338</v>
      </c>
      <c r="F93" s="30">
        <v>-16.06684016842345</v>
      </c>
      <c r="G93" s="22" t="s">
        <v>367</v>
      </c>
      <c r="H93" s="22" t="str">
        <f t="shared" si="2"/>
        <v>Dad</v>
      </c>
    </row>
    <row r="94" spans="1:8" ht="15.75" customHeight="1">
      <c r="A94" s="162">
        <v>43075</v>
      </c>
      <c r="B94" s="162" t="str">
        <f t="shared" si="0"/>
        <v>December 2017</v>
      </c>
      <c r="C94" s="173" t="str">
        <f t="shared" si="1"/>
        <v>December 2017</v>
      </c>
      <c r="D94" s="22" t="s">
        <v>402</v>
      </c>
      <c r="E94" s="22" t="s">
        <v>337</v>
      </c>
      <c r="F94" s="30">
        <v>-68.515374889743356</v>
      </c>
      <c r="G94" s="22" t="s">
        <v>367</v>
      </c>
      <c r="H94" s="22" t="str">
        <f t="shared" si="2"/>
        <v>Dad</v>
      </c>
    </row>
    <row r="95" spans="1:8" ht="15.75" customHeight="1">
      <c r="A95" s="162">
        <v>43075</v>
      </c>
      <c r="B95" s="162" t="str">
        <f t="shared" si="0"/>
        <v>December 2017</v>
      </c>
      <c r="C95" s="173" t="str">
        <f t="shared" si="1"/>
        <v>December 2017</v>
      </c>
      <c r="D95" s="22" t="s">
        <v>392</v>
      </c>
      <c r="E95" s="22" t="s">
        <v>350</v>
      </c>
      <c r="F95" s="30">
        <v>-18.121327125937889</v>
      </c>
      <c r="G95" s="22" t="s">
        <v>375</v>
      </c>
      <c r="H95" s="22" t="str">
        <f t="shared" si="2"/>
        <v>Mom</v>
      </c>
    </row>
    <row r="96" spans="1:8" ht="15.75" customHeight="1">
      <c r="A96" s="162">
        <v>43074</v>
      </c>
      <c r="B96" s="162" t="str">
        <f t="shared" si="0"/>
        <v>December 2017</v>
      </c>
      <c r="C96" s="173" t="str">
        <f t="shared" si="1"/>
        <v>December 2017</v>
      </c>
      <c r="D96" s="22" t="s">
        <v>411</v>
      </c>
      <c r="E96" s="22" t="s">
        <v>252</v>
      </c>
      <c r="F96" s="30">
        <v>-24.422722278885228</v>
      </c>
      <c r="G96" s="22" t="s">
        <v>375</v>
      </c>
      <c r="H96" s="22" t="str">
        <f t="shared" si="2"/>
        <v>Mom</v>
      </c>
    </row>
    <row r="97" spans="1:8" ht="15.75" customHeight="1">
      <c r="A97" s="162">
        <v>43073</v>
      </c>
      <c r="B97" s="162" t="str">
        <f t="shared" si="0"/>
        <v>December 2017</v>
      </c>
      <c r="C97" s="173" t="str">
        <f t="shared" si="1"/>
        <v>December 2017</v>
      </c>
      <c r="D97" s="22" t="s">
        <v>413</v>
      </c>
      <c r="E97" s="22" t="s">
        <v>337</v>
      </c>
      <c r="F97" s="30">
        <v>-107.75932954943372</v>
      </c>
      <c r="G97" s="22" t="s">
        <v>367</v>
      </c>
      <c r="H97" s="22" t="str">
        <f t="shared" si="2"/>
        <v>Dad</v>
      </c>
    </row>
    <row r="98" spans="1:8" ht="15.75" customHeight="1">
      <c r="A98" s="162">
        <v>43072</v>
      </c>
      <c r="B98" s="162" t="str">
        <f t="shared" si="0"/>
        <v>December 2017</v>
      </c>
      <c r="C98" s="173" t="str">
        <f t="shared" si="1"/>
        <v>December 2017</v>
      </c>
      <c r="D98" s="22" t="s">
        <v>412</v>
      </c>
      <c r="E98" s="22" t="s">
        <v>338</v>
      </c>
      <c r="F98" s="30">
        <v>-60.205891588102475</v>
      </c>
      <c r="G98" s="22" t="s">
        <v>382</v>
      </c>
      <c r="H98" s="22" t="str">
        <f t="shared" si="2"/>
        <v>Mom</v>
      </c>
    </row>
    <row r="99" spans="1:8" ht="15.75" customHeight="1">
      <c r="A99" s="162">
        <v>43072</v>
      </c>
      <c r="B99" s="162" t="str">
        <f t="shared" si="0"/>
        <v>December 2017</v>
      </c>
      <c r="C99" s="173" t="str">
        <f t="shared" si="1"/>
        <v>December 2017</v>
      </c>
      <c r="D99" s="22" t="s">
        <v>415</v>
      </c>
      <c r="E99" s="22" t="s">
        <v>342</v>
      </c>
      <c r="F99" s="30">
        <v>-25.409532702415337</v>
      </c>
      <c r="G99" s="22" t="s">
        <v>382</v>
      </c>
      <c r="H99" s="22" t="str">
        <f t="shared" si="2"/>
        <v>Mom</v>
      </c>
    </row>
    <row r="100" spans="1:8" ht="15.75" customHeight="1">
      <c r="A100" s="162">
        <v>43071</v>
      </c>
      <c r="B100" s="162" t="str">
        <f t="shared" si="0"/>
        <v>December 2017</v>
      </c>
      <c r="C100" s="173" t="str">
        <f t="shared" si="1"/>
        <v>December 2017</v>
      </c>
      <c r="D100" s="22" t="s">
        <v>398</v>
      </c>
      <c r="E100" s="22" t="s">
        <v>338</v>
      </c>
      <c r="F100" s="30">
        <v>-2.5152269314867968</v>
      </c>
      <c r="G100" s="22" t="s">
        <v>366</v>
      </c>
      <c r="H100" s="22" t="str">
        <f t="shared" si="2"/>
        <v>Daughter</v>
      </c>
    </row>
    <row r="101" spans="1:8" ht="15.75" customHeight="1">
      <c r="A101" s="162">
        <v>43071</v>
      </c>
      <c r="B101" s="162" t="str">
        <f t="shared" si="0"/>
        <v>December 2017</v>
      </c>
      <c r="C101" s="173" t="str">
        <f t="shared" si="1"/>
        <v>December 2017</v>
      </c>
      <c r="D101" s="22" t="s">
        <v>399</v>
      </c>
      <c r="E101" s="22" t="s">
        <v>335</v>
      </c>
      <c r="F101" s="30">
        <v>-205.43755902360425</v>
      </c>
      <c r="G101" s="22" t="s">
        <v>374</v>
      </c>
      <c r="H101" s="22" t="str">
        <f t="shared" si="2"/>
        <v>Dad</v>
      </c>
    </row>
    <row r="102" spans="1:8" ht="15.75" customHeight="1"/>
    <row r="103" spans="1:8" ht="15.75" customHeight="1"/>
    <row r="104" spans="1:8" ht="15.75" customHeight="1"/>
    <row r="105" spans="1:8" ht="15.75" customHeight="1"/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I1000"/>
  <sheetViews>
    <sheetView topLeftCell="A15" workbookViewId="0"/>
  </sheetViews>
  <sheetFormatPr defaultColWidth="12.6640625" defaultRowHeight="15" customHeight="1"/>
  <cols>
    <col min="1" max="1" width="14.33203125" customWidth="1"/>
    <col min="2" max="2" width="13.21875" customWidth="1"/>
    <col min="3" max="3" width="15.88671875" customWidth="1"/>
    <col min="4" max="4" width="13.33203125" customWidth="1"/>
    <col min="5" max="26" width="14.33203125" customWidth="1"/>
  </cols>
  <sheetData>
    <row r="1" spans="1:9" ht="15.75" customHeight="1">
      <c r="A1" s="1" t="s">
        <v>67</v>
      </c>
    </row>
    <row r="2" spans="1:9" ht="15.75" customHeight="1"/>
    <row r="3" spans="1:9" ht="15.75" customHeight="1">
      <c r="A3" s="4" t="s">
        <v>68</v>
      </c>
    </row>
    <row r="4" spans="1:9" ht="15.75" customHeight="1">
      <c r="B4" s="67" t="s">
        <v>69</v>
      </c>
      <c r="C4" s="67" t="s">
        <v>70</v>
      </c>
      <c r="D4" s="67" t="s">
        <v>71</v>
      </c>
      <c r="E4" s="67" t="s">
        <v>72</v>
      </c>
      <c r="F4" s="48" t="s">
        <v>73</v>
      </c>
      <c r="G4" s="48" t="s">
        <v>74</v>
      </c>
    </row>
    <row r="5" spans="1:9" ht="15.75" customHeight="1">
      <c r="A5" s="68" t="s">
        <v>75</v>
      </c>
      <c r="B5" s="68" t="s">
        <v>76</v>
      </c>
      <c r="C5" s="68" t="s">
        <v>77</v>
      </c>
      <c r="D5" s="68" t="s">
        <v>78</v>
      </c>
      <c r="E5" s="68" t="s">
        <v>79</v>
      </c>
      <c r="F5" s="68" t="s">
        <v>80</v>
      </c>
      <c r="G5" s="68" t="s">
        <v>81</v>
      </c>
    </row>
    <row r="6" spans="1:9" ht="15.75" customHeight="1">
      <c r="A6" s="69" t="s">
        <v>82</v>
      </c>
      <c r="B6" s="70">
        <v>0.3</v>
      </c>
      <c r="C6" s="70">
        <v>1</v>
      </c>
      <c r="D6" s="71">
        <v>20</v>
      </c>
      <c r="E6" s="71">
        <v>18</v>
      </c>
      <c r="F6" s="72">
        <f t="shared" ref="F6:G6" si="0">B6*D6</f>
        <v>6</v>
      </c>
      <c r="G6" s="72">
        <f t="shared" si="0"/>
        <v>18</v>
      </c>
    </row>
    <row r="7" spans="1:9" ht="15.75" customHeight="1">
      <c r="A7" s="22" t="s">
        <v>83</v>
      </c>
      <c r="B7" s="73">
        <v>0.5</v>
      </c>
      <c r="C7" s="73">
        <v>1.5</v>
      </c>
      <c r="D7" s="48">
        <v>30</v>
      </c>
      <c r="E7" s="48">
        <v>23</v>
      </c>
      <c r="F7" s="72">
        <f t="shared" ref="F7:G7" si="1">B7*D7</f>
        <v>15</v>
      </c>
      <c r="G7" s="72">
        <f t="shared" si="1"/>
        <v>34.5</v>
      </c>
    </row>
    <row r="8" spans="1:9" ht="15.75" customHeight="1">
      <c r="A8" s="69" t="s">
        <v>84</v>
      </c>
      <c r="B8" s="70">
        <v>0.7</v>
      </c>
      <c r="C8" s="70">
        <v>2.99</v>
      </c>
      <c r="D8" s="71">
        <v>10</v>
      </c>
      <c r="E8" s="71">
        <v>8</v>
      </c>
      <c r="F8" s="72">
        <f t="shared" ref="F8:G8" si="2">B8*D8</f>
        <v>7</v>
      </c>
      <c r="G8" s="72">
        <f t="shared" si="2"/>
        <v>23.92</v>
      </c>
    </row>
    <row r="9" spans="1:9" ht="15.75" customHeight="1">
      <c r="A9" s="22" t="s">
        <v>85</v>
      </c>
      <c r="B9" s="73">
        <v>0.1</v>
      </c>
      <c r="C9" s="73">
        <v>0.5</v>
      </c>
      <c r="D9" s="48">
        <v>12</v>
      </c>
      <c r="E9" s="48">
        <v>10</v>
      </c>
      <c r="F9" s="72">
        <f t="shared" ref="F9:G9" si="3">B9*D9</f>
        <v>1.2000000000000002</v>
      </c>
      <c r="G9" s="72">
        <f t="shared" si="3"/>
        <v>5</v>
      </c>
    </row>
    <row r="10" spans="1:9" ht="15.75" customHeight="1">
      <c r="A10" s="69" t="s">
        <v>86</v>
      </c>
      <c r="B10" s="70">
        <v>2.1</v>
      </c>
      <c r="C10" s="70">
        <v>6.99</v>
      </c>
      <c r="D10" s="71">
        <v>15</v>
      </c>
      <c r="E10" s="71">
        <v>9</v>
      </c>
      <c r="F10" s="72">
        <f t="shared" ref="F10:G10" si="4">B10*D10</f>
        <v>31.5</v>
      </c>
      <c r="G10" s="72">
        <f t="shared" si="4"/>
        <v>62.910000000000004</v>
      </c>
    </row>
    <row r="11" spans="1:9" ht="15.75" customHeight="1"/>
    <row r="12" spans="1:9" ht="15.75" customHeight="1">
      <c r="A12" s="4" t="s">
        <v>87</v>
      </c>
    </row>
    <row r="13" spans="1:9" ht="15.75" customHeight="1">
      <c r="B13" s="67" t="s">
        <v>69</v>
      </c>
      <c r="C13" s="67" t="s">
        <v>70</v>
      </c>
      <c r="D13" s="67" t="s">
        <v>71</v>
      </c>
      <c r="E13" s="48" t="s">
        <v>88</v>
      </c>
      <c r="F13" s="48" t="s">
        <v>73</v>
      </c>
    </row>
    <row r="14" spans="1:9" ht="15.75" customHeight="1">
      <c r="A14" s="68" t="s">
        <v>75</v>
      </c>
      <c r="B14" s="68" t="s">
        <v>89</v>
      </c>
      <c r="C14" s="68" t="s">
        <v>90</v>
      </c>
      <c r="D14" s="68" t="s">
        <v>77</v>
      </c>
      <c r="E14" s="68" t="s">
        <v>80</v>
      </c>
      <c r="F14" s="68" t="s">
        <v>81</v>
      </c>
      <c r="H14" s="74">
        <f>$B$15</f>
        <v>20</v>
      </c>
    </row>
    <row r="15" spans="1:9" ht="15.75" customHeight="1">
      <c r="A15" s="69" t="s">
        <v>82</v>
      </c>
      <c r="B15" s="71">
        <v>20</v>
      </c>
      <c r="C15" s="70">
        <v>0.3</v>
      </c>
      <c r="D15" s="70">
        <v>1</v>
      </c>
      <c r="E15" s="72">
        <f t="shared" ref="E15:F15" si="5">$B15*C15</f>
        <v>6</v>
      </c>
      <c r="F15" s="72">
        <f t="shared" si="5"/>
        <v>20</v>
      </c>
      <c r="G15" s="74">
        <f t="shared" ref="G15:I15" si="6">$B$15</f>
        <v>20</v>
      </c>
      <c r="H15" s="74">
        <f t="shared" si="6"/>
        <v>20</v>
      </c>
      <c r="I15" s="74">
        <f t="shared" si="6"/>
        <v>20</v>
      </c>
    </row>
    <row r="16" spans="1:9" ht="15.75" customHeight="1">
      <c r="A16" s="22" t="s">
        <v>83</v>
      </c>
      <c r="B16" s="48">
        <v>30</v>
      </c>
      <c r="C16" s="73">
        <v>0.5</v>
      </c>
      <c r="D16" s="73">
        <v>1.5</v>
      </c>
      <c r="E16" s="72">
        <f t="shared" ref="E16:F16" si="7">$B16*C16</f>
        <v>15</v>
      </c>
      <c r="F16" s="72">
        <f t="shared" si="7"/>
        <v>45</v>
      </c>
      <c r="H16" s="74">
        <f>$B$15</f>
        <v>20</v>
      </c>
    </row>
    <row r="17" spans="1:6" ht="15.75" customHeight="1">
      <c r="A17" s="69" t="s">
        <v>84</v>
      </c>
      <c r="B17" s="71">
        <v>10</v>
      </c>
      <c r="C17" s="70">
        <v>0.7</v>
      </c>
      <c r="D17" s="70">
        <v>2.99</v>
      </c>
      <c r="E17" s="72">
        <f t="shared" ref="E17:F17" si="8">$B17*C17</f>
        <v>7</v>
      </c>
      <c r="F17" s="72">
        <f t="shared" si="8"/>
        <v>29.900000000000002</v>
      </c>
    </row>
    <row r="18" spans="1:6" ht="15.75" customHeight="1">
      <c r="A18" s="22" t="s">
        <v>85</v>
      </c>
      <c r="B18" s="48">
        <v>12</v>
      </c>
      <c r="C18" s="73">
        <v>0.1</v>
      </c>
      <c r="D18" s="73">
        <v>0.5</v>
      </c>
      <c r="E18" s="72">
        <f t="shared" ref="E18:F18" si="9">$B18*C18</f>
        <v>1.2000000000000002</v>
      </c>
      <c r="F18" s="72">
        <f t="shared" si="9"/>
        <v>6</v>
      </c>
    </row>
    <row r="19" spans="1:6" ht="15.75" customHeight="1">
      <c r="A19" s="69" t="s">
        <v>86</v>
      </c>
      <c r="B19" s="71">
        <v>15</v>
      </c>
      <c r="C19" s="70">
        <v>2.1</v>
      </c>
      <c r="D19" s="70">
        <v>6.99</v>
      </c>
      <c r="E19" s="72">
        <f t="shared" ref="E19:F19" si="10">$B19*C19</f>
        <v>31.5</v>
      </c>
      <c r="F19" s="72">
        <f t="shared" si="10"/>
        <v>104.85000000000001</v>
      </c>
    </row>
    <row r="20" spans="1:6" ht="15.75" customHeight="1"/>
    <row r="21" spans="1:6" ht="15.75" customHeight="1">
      <c r="B21" s="75" t="s">
        <v>91</v>
      </c>
      <c r="C21" s="76">
        <v>0.08</v>
      </c>
    </row>
    <row r="22" spans="1:6" ht="15.75" customHeight="1">
      <c r="B22" s="67" t="s">
        <v>70</v>
      </c>
      <c r="C22" s="67" t="s">
        <v>71</v>
      </c>
      <c r="D22" s="67" t="s">
        <v>92</v>
      </c>
      <c r="E22" s="48" t="s">
        <v>93</v>
      </c>
      <c r="F22" s="48" t="s">
        <v>94</v>
      </c>
    </row>
    <row r="23" spans="1:6" ht="15.75" customHeight="1">
      <c r="A23" s="68" t="s">
        <v>75</v>
      </c>
      <c r="B23" s="68" t="s">
        <v>79</v>
      </c>
      <c r="C23" s="68" t="s">
        <v>77</v>
      </c>
      <c r="D23" s="68" t="s">
        <v>95</v>
      </c>
      <c r="E23" s="68" t="s">
        <v>96</v>
      </c>
      <c r="F23" s="68" t="s">
        <v>81</v>
      </c>
    </row>
    <row r="24" spans="1:6" ht="15.75" customHeight="1">
      <c r="A24" s="69" t="s">
        <v>82</v>
      </c>
      <c r="B24" s="71">
        <v>20</v>
      </c>
      <c r="C24" s="70">
        <v>1</v>
      </c>
      <c r="D24" s="77">
        <f t="shared" ref="D24:D28" si="11">C24*B24</f>
        <v>20</v>
      </c>
      <c r="E24" s="72">
        <f t="shared" ref="E24:E28" si="12">D24*C$21</f>
        <v>1.6</v>
      </c>
      <c r="F24" s="70">
        <f t="shared" ref="F24:F28" si="13">D24+E24</f>
        <v>21.6</v>
      </c>
    </row>
    <row r="25" spans="1:6" ht="15.75" customHeight="1">
      <c r="A25" s="22" t="s">
        <v>83</v>
      </c>
      <c r="B25" s="48">
        <v>30</v>
      </c>
      <c r="C25" s="73">
        <v>1.5</v>
      </c>
      <c r="D25" s="30">
        <f t="shared" si="11"/>
        <v>45</v>
      </c>
      <c r="E25" s="72">
        <f t="shared" si="12"/>
        <v>3.6</v>
      </c>
      <c r="F25" s="73">
        <f t="shared" si="13"/>
        <v>48.6</v>
      </c>
    </row>
    <row r="26" spans="1:6" ht="15.75" customHeight="1">
      <c r="A26" s="69" t="s">
        <v>84</v>
      </c>
      <c r="B26" s="71">
        <v>10</v>
      </c>
      <c r="C26" s="70">
        <v>2.99</v>
      </c>
      <c r="D26" s="77">
        <f t="shared" si="11"/>
        <v>29.900000000000002</v>
      </c>
      <c r="E26" s="72">
        <f t="shared" si="12"/>
        <v>2.3920000000000003</v>
      </c>
      <c r="F26" s="70">
        <f t="shared" si="13"/>
        <v>32.292000000000002</v>
      </c>
    </row>
    <row r="27" spans="1:6" ht="15.75" customHeight="1">
      <c r="A27" s="22" t="s">
        <v>85</v>
      </c>
      <c r="B27" s="48">
        <v>12</v>
      </c>
      <c r="C27" s="73">
        <v>0.5</v>
      </c>
      <c r="D27" s="30">
        <f t="shared" si="11"/>
        <v>6</v>
      </c>
      <c r="E27" s="72">
        <f t="shared" si="12"/>
        <v>0.48</v>
      </c>
      <c r="F27" s="73">
        <f t="shared" si="13"/>
        <v>6.48</v>
      </c>
    </row>
    <row r="28" spans="1:6" ht="15.75" customHeight="1">
      <c r="A28" s="69" t="s">
        <v>86</v>
      </c>
      <c r="B28" s="71">
        <v>15</v>
      </c>
      <c r="C28" s="70">
        <v>6.99</v>
      </c>
      <c r="D28" s="77">
        <f t="shared" si="11"/>
        <v>104.85000000000001</v>
      </c>
      <c r="E28" s="72">
        <f t="shared" si="12"/>
        <v>8.3880000000000017</v>
      </c>
      <c r="F28" s="70">
        <f t="shared" si="13"/>
        <v>113.23800000000001</v>
      </c>
    </row>
    <row r="29" spans="1:6" ht="15.75" customHeight="1"/>
    <row r="30" spans="1:6" ht="15.75" customHeight="1">
      <c r="B30" s="75" t="s">
        <v>97</v>
      </c>
      <c r="C30" s="78">
        <v>20</v>
      </c>
    </row>
    <row r="31" spans="1:6" ht="15.75" customHeight="1">
      <c r="B31" s="67" t="s">
        <v>70</v>
      </c>
      <c r="C31" s="67" t="s">
        <v>71</v>
      </c>
      <c r="D31" s="48" t="s">
        <v>88</v>
      </c>
      <c r="E31" s="48" t="s">
        <v>73</v>
      </c>
    </row>
    <row r="32" spans="1:6" ht="15.75" customHeight="1">
      <c r="A32" s="68" t="s">
        <v>75</v>
      </c>
      <c r="B32" s="68" t="s">
        <v>90</v>
      </c>
      <c r="C32" s="68" t="s">
        <v>77</v>
      </c>
      <c r="D32" s="68" t="s">
        <v>80</v>
      </c>
      <c r="E32" s="68" t="s">
        <v>81</v>
      </c>
    </row>
    <row r="33" spans="1:5" ht="15.75" customHeight="1">
      <c r="A33" s="69" t="s">
        <v>82</v>
      </c>
      <c r="B33" s="70">
        <v>0.3</v>
      </c>
      <c r="C33" s="70">
        <v>1</v>
      </c>
      <c r="D33" s="72">
        <f t="shared" ref="D33:E33" si="14">$C$30*B33</f>
        <v>6</v>
      </c>
      <c r="E33" s="72">
        <f t="shared" si="14"/>
        <v>20</v>
      </c>
    </row>
    <row r="34" spans="1:5" ht="15.75" customHeight="1">
      <c r="A34" s="22" t="s">
        <v>83</v>
      </c>
      <c r="B34" s="73">
        <v>0.5</v>
      </c>
      <c r="C34" s="73">
        <v>1.5</v>
      </c>
      <c r="D34" s="72">
        <f t="shared" ref="D34:E34" si="15">$C$30*B34</f>
        <v>10</v>
      </c>
      <c r="E34" s="72">
        <f t="shared" si="15"/>
        <v>30</v>
      </c>
    </row>
    <row r="35" spans="1:5" ht="15.75" customHeight="1">
      <c r="A35" s="69" t="s">
        <v>84</v>
      </c>
      <c r="B35" s="70">
        <v>0.7</v>
      </c>
      <c r="C35" s="70">
        <v>2.99</v>
      </c>
      <c r="D35" s="72">
        <f t="shared" ref="D35:E35" si="16">$C$30*B35</f>
        <v>14</v>
      </c>
      <c r="E35" s="72">
        <f t="shared" si="16"/>
        <v>59.800000000000004</v>
      </c>
    </row>
    <row r="36" spans="1:5" ht="15.75" customHeight="1">
      <c r="A36" s="22" t="s">
        <v>85</v>
      </c>
      <c r="B36" s="73">
        <v>0.1</v>
      </c>
      <c r="C36" s="73">
        <v>0.5</v>
      </c>
      <c r="D36" s="72">
        <f t="shared" ref="D36:E36" si="17">$C$30*B36</f>
        <v>2</v>
      </c>
      <c r="E36" s="72">
        <f t="shared" si="17"/>
        <v>10</v>
      </c>
    </row>
    <row r="37" spans="1:5" ht="15.75" customHeight="1">
      <c r="A37" s="69" t="s">
        <v>86</v>
      </c>
      <c r="B37" s="70">
        <v>2.1</v>
      </c>
      <c r="C37" s="70">
        <v>6.99</v>
      </c>
      <c r="D37" s="72">
        <f t="shared" ref="D37:E37" si="18">$C$30*B37</f>
        <v>42</v>
      </c>
      <c r="E37" s="72">
        <f t="shared" si="18"/>
        <v>139.80000000000001</v>
      </c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</sheetPr>
  <dimension ref="A1:J1000"/>
  <sheetViews>
    <sheetView topLeftCell="A9" workbookViewId="0"/>
  </sheetViews>
  <sheetFormatPr defaultColWidth="12.6640625" defaultRowHeight="15" customHeight="1" outlineLevelRow="1"/>
  <cols>
    <col min="1" max="1" width="18.33203125" customWidth="1"/>
    <col min="2" max="2" width="15.88671875" customWidth="1"/>
    <col min="3" max="3" width="18.33203125" customWidth="1"/>
    <col min="4" max="4" width="16.88671875" customWidth="1"/>
    <col min="5" max="5" width="9.88671875" customWidth="1"/>
    <col min="6" max="6" width="15.88671875" customWidth="1"/>
    <col min="7" max="7" width="15" customWidth="1"/>
    <col min="8" max="8" width="16.33203125" customWidth="1"/>
    <col min="9" max="10" width="15.88671875" customWidth="1"/>
    <col min="11" max="26" width="14.33203125" customWidth="1"/>
  </cols>
  <sheetData>
    <row r="1" spans="1:10" ht="15.75" customHeight="1">
      <c r="A1" s="79" t="s">
        <v>98</v>
      </c>
      <c r="C1" s="181" t="s">
        <v>99</v>
      </c>
      <c r="D1" s="182"/>
    </row>
    <row r="2" spans="1:10" ht="15.75" customHeight="1"/>
    <row r="3" spans="1:10" ht="15.75" customHeight="1" outlineLevel="1">
      <c r="A3" s="80" t="s">
        <v>100</v>
      </c>
      <c r="B3" s="178" t="s">
        <v>101</v>
      </c>
      <c r="C3" s="179"/>
      <c r="D3" s="180"/>
      <c r="E3" s="81"/>
      <c r="F3" s="82"/>
    </row>
    <row r="4" spans="1:10" ht="15.75" customHeight="1" outlineLevel="1">
      <c r="A4" s="80" t="s">
        <v>102</v>
      </c>
      <c r="B4" s="178" t="s">
        <v>103</v>
      </c>
      <c r="C4" s="179"/>
      <c r="D4" s="180"/>
    </row>
    <row r="5" spans="1:10" ht="15.75" customHeight="1" outlineLevel="1">
      <c r="A5" s="80" t="s">
        <v>104</v>
      </c>
      <c r="B5" s="178" t="s">
        <v>105</v>
      </c>
      <c r="C5" s="179"/>
      <c r="D5" s="180"/>
      <c r="E5" s="81"/>
      <c r="F5" s="81"/>
    </row>
    <row r="6" spans="1:10" ht="15.75" customHeight="1" outlineLevel="1">
      <c r="A6" s="80" t="s">
        <v>106</v>
      </c>
      <c r="B6" s="178" t="s">
        <v>107</v>
      </c>
      <c r="C6" s="179"/>
      <c r="D6" s="180"/>
      <c r="E6" s="81"/>
      <c r="F6" s="81"/>
    </row>
    <row r="7" spans="1:10" ht="15.75" customHeight="1" outlineLevel="1">
      <c r="A7" s="80" t="s">
        <v>108</v>
      </c>
      <c r="B7" s="178" t="s">
        <v>109</v>
      </c>
      <c r="C7" s="179"/>
      <c r="D7" s="180"/>
      <c r="E7" s="81"/>
      <c r="F7" s="81"/>
    </row>
    <row r="8" spans="1:10" ht="15.75" customHeight="1" outlineLevel="1">
      <c r="A8" s="80" t="s">
        <v>110</v>
      </c>
      <c r="B8" s="178" t="s">
        <v>111</v>
      </c>
      <c r="C8" s="179"/>
      <c r="D8" s="180"/>
      <c r="E8" s="81"/>
      <c r="F8" s="81"/>
    </row>
    <row r="9" spans="1:10" ht="15.75" customHeight="1" outlineLevel="1">
      <c r="A9" s="80" t="s">
        <v>112</v>
      </c>
      <c r="B9" s="178" t="s">
        <v>113</v>
      </c>
      <c r="C9" s="179"/>
      <c r="D9" s="180"/>
      <c r="E9" s="81"/>
      <c r="F9" s="81"/>
    </row>
    <row r="10" spans="1:10" ht="15.75" customHeight="1" outlineLevel="1">
      <c r="A10" s="80" t="s">
        <v>114</v>
      </c>
      <c r="B10" s="178" t="s">
        <v>115</v>
      </c>
      <c r="C10" s="179"/>
      <c r="D10" s="180"/>
    </row>
    <row r="11" spans="1:10" ht="15.75" customHeight="1" outlineLevel="1">
      <c r="A11" s="80" t="s">
        <v>116</v>
      </c>
      <c r="B11" s="178" t="s">
        <v>117</v>
      </c>
      <c r="C11" s="179"/>
      <c r="D11" s="180"/>
    </row>
    <row r="12" spans="1:10" ht="15.75" customHeight="1" outlineLevel="1">
      <c r="C12" s="67" t="s">
        <v>69</v>
      </c>
      <c r="I12" s="67" t="s">
        <v>70</v>
      </c>
    </row>
    <row r="13" spans="1:10" ht="15.75" customHeight="1">
      <c r="A13" s="68" t="s">
        <v>118</v>
      </c>
      <c r="B13" s="68" t="s">
        <v>119</v>
      </c>
      <c r="C13" s="68" t="s">
        <v>120</v>
      </c>
      <c r="D13" s="68" t="s">
        <v>121</v>
      </c>
      <c r="E13" s="68" t="s">
        <v>122</v>
      </c>
      <c r="F13" s="68" t="s">
        <v>123</v>
      </c>
      <c r="G13" s="68" t="s">
        <v>124</v>
      </c>
      <c r="H13" s="83" t="s">
        <v>125</v>
      </c>
      <c r="I13" s="83" t="s">
        <v>126</v>
      </c>
      <c r="J13" s="83" t="s">
        <v>127</v>
      </c>
    </row>
    <row r="14" spans="1:10" ht="15.75" customHeight="1">
      <c r="A14" s="69" t="s">
        <v>128</v>
      </c>
      <c r="B14" s="69" t="s">
        <v>129</v>
      </c>
      <c r="C14" s="45" t="str">
        <f t="shared" ref="C14:C19" si="0">CONCATENATE(A14," ",B14)</f>
        <v>Rigoberto Montoya</v>
      </c>
      <c r="D14" s="69" t="s">
        <v>130</v>
      </c>
      <c r="E14" s="71">
        <v>40</v>
      </c>
      <c r="F14" s="84">
        <v>7526</v>
      </c>
      <c r="G14" s="85">
        <f t="shared" ref="G14:G19" si="1">F14*12</f>
        <v>90312</v>
      </c>
      <c r="H14" s="69" t="s">
        <v>131</v>
      </c>
      <c r="I14" s="45" t="str">
        <f ca="1">IFERROR(__xludf.DUMMYFUNCTION("SPLIT(H14, "","")"),"Phoenix")</f>
        <v>Phoenix</v>
      </c>
      <c r="J14" s="45" t="str">
        <f ca="1">IFERROR(__xludf.DUMMYFUNCTION("""COMPUTED_VALUE""")," AZ")</f>
        <v xml:space="preserve"> AZ</v>
      </c>
    </row>
    <row r="15" spans="1:10" ht="15.75" customHeight="1">
      <c r="A15" s="22" t="s">
        <v>132</v>
      </c>
      <c r="B15" s="22" t="s">
        <v>133</v>
      </c>
      <c r="C15" s="45" t="str">
        <f t="shared" si="0"/>
        <v>Valentine Ramirez</v>
      </c>
      <c r="D15" s="22" t="s">
        <v>134</v>
      </c>
      <c r="E15" s="48">
        <v>49</v>
      </c>
      <c r="F15" s="86">
        <v>3169</v>
      </c>
      <c r="G15" s="85">
        <f t="shared" si="1"/>
        <v>38028</v>
      </c>
      <c r="H15" s="22" t="s">
        <v>135</v>
      </c>
      <c r="I15" s="45" t="str">
        <f ca="1">IFERROR(__xludf.DUMMYFUNCTION("SPLIT(H15, "","")"),"New York")</f>
        <v>New York</v>
      </c>
      <c r="J15" s="45" t="str">
        <f ca="1">IFERROR(__xludf.DUMMYFUNCTION("""COMPUTED_VALUE""")," NY")</f>
        <v xml:space="preserve"> NY</v>
      </c>
    </row>
    <row r="16" spans="1:10" ht="15.75" customHeight="1">
      <c r="A16" s="69" t="s">
        <v>136</v>
      </c>
      <c r="B16" s="69" t="s">
        <v>137</v>
      </c>
      <c r="C16" s="45" t="str">
        <f t="shared" si="0"/>
        <v>Benedict Carney</v>
      </c>
      <c r="D16" s="69" t="s">
        <v>130</v>
      </c>
      <c r="E16" s="71">
        <v>42</v>
      </c>
      <c r="F16" s="84">
        <v>4632</v>
      </c>
      <c r="G16" s="85">
        <f t="shared" si="1"/>
        <v>55584</v>
      </c>
      <c r="H16" s="69" t="s">
        <v>138</v>
      </c>
      <c r="I16" s="45" t="str">
        <f ca="1">IFERROR(__xludf.DUMMYFUNCTION("SPLIT(H16, "","")"),"Miami")</f>
        <v>Miami</v>
      </c>
      <c r="J16" s="45" t="str">
        <f ca="1">IFERROR(__xludf.DUMMYFUNCTION("""COMPUTED_VALUE""")," FL")</f>
        <v xml:space="preserve"> FL</v>
      </c>
    </row>
    <row r="17" spans="1:10" ht="15.75" customHeight="1">
      <c r="A17" s="22" t="s">
        <v>139</v>
      </c>
      <c r="B17" s="22" t="s">
        <v>140</v>
      </c>
      <c r="C17" s="45" t="str">
        <f t="shared" si="0"/>
        <v>Lisa Villa</v>
      </c>
      <c r="D17" s="22" t="s">
        <v>134</v>
      </c>
      <c r="E17" s="48">
        <v>40</v>
      </c>
      <c r="F17" s="86">
        <v>9262</v>
      </c>
      <c r="G17" s="85">
        <f t="shared" si="1"/>
        <v>111144</v>
      </c>
      <c r="H17" s="22" t="s">
        <v>141</v>
      </c>
      <c r="I17" s="45" t="str">
        <f ca="1">IFERROR(__xludf.DUMMYFUNCTION("SPLIT(H17, "","")"),"San Francisco")</f>
        <v>San Francisco</v>
      </c>
      <c r="J17" s="45" t="str">
        <f ca="1">IFERROR(__xludf.DUMMYFUNCTION("""COMPUTED_VALUE""")," CA")</f>
        <v xml:space="preserve"> CA</v>
      </c>
    </row>
    <row r="18" spans="1:10" ht="15.75" customHeight="1">
      <c r="A18" s="69" t="s">
        <v>142</v>
      </c>
      <c r="B18" s="69" t="s">
        <v>143</v>
      </c>
      <c r="C18" s="45" t="str">
        <f t="shared" si="0"/>
        <v>Beverly Landry</v>
      </c>
      <c r="D18" s="69" t="s">
        <v>130</v>
      </c>
      <c r="E18" s="71">
        <v>48</v>
      </c>
      <c r="F18" s="84">
        <v>7234</v>
      </c>
      <c r="G18" s="85">
        <f t="shared" si="1"/>
        <v>86808</v>
      </c>
      <c r="H18" s="69" t="s">
        <v>144</v>
      </c>
      <c r="I18" s="45" t="str">
        <f ca="1">IFERROR(__xludf.DUMMYFUNCTION("SPLIT(H18, "","")"),"Los Angeles")</f>
        <v>Los Angeles</v>
      </c>
      <c r="J18" s="45" t="str">
        <f ca="1">IFERROR(__xludf.DUMMYFUNCTION("""COMPUTED_VALUE""")," CA")</f>
        <v xml:space="preserve"> CA</v>
      </c>
    </row>
    <row r="19" spans="1:10" ht="15.75" customHeight="1">
      <c r="A19" s="22" t="s">
        <v>145</v>
      </c>
      <c r="B19" s="22" t="s">
        <v>146</v>
      </c>
      <c r="C19" s="45" t="str">
        <f t="shared" si="0"/>
        <v>Raquel Pierce</v>
      </c>
      <c r="D19" s="22" t="s">
        <v>134</v>
      </c>
      <c r="E19" s="48">
        <v>48</v>
      </c>
      <c r="F19" s="86">
        <v>2394</v>
      </c>
      <c r="G19" s="85">
        <f t="shared" si="1"/>
        <v>28728</v>
      </c>
      <c r="H19" s="22" t="s">
        <v>147</v>
      </c>
      <c r="I19" s="45" t="str">
        <f ca="1">IFERROR(__xludf.DUMMYFUNCTION("SPLIT(H19, "","")"),"Porltland")</f>
        <v>Porltland</v>
      </c>
      <c r="J19" s="45" t="str">
        <f ca="1">IFERROR(__xludf.DUMMYFUNCTION("""COMPUTED_VALUE""")," OR")</f>
        <v xml:space="preserve"> OR</v>
      </c>
    </row>
    <row r="20" spans="1:10" ht="15.75" customHeight="1"/>
    <row r="21" spans="1:10" ht="15.75" customHeight="1">
      <c r="B21" s="87" t="s">
        <v>122</v>
      </c>
      <c r="C21" s="87" t="s">
        <v>123</v>
      </c>
      <c r="D21" s="87" t="s">
        <v>124</v>
      </c>
    </row>
    <row r="22" spans="1:10" ht="15.75" customHeight="1">
      <c r="A22" s="75" t="s">
        <v>148</v>
      </c>
      <c r="B22" s="45">
        <f t="shared" ref="B22:D22" si="2">SUM(E14:E19)</f>
        <v>267</v>
      </c>
      <c r="C22" s="88">
        <f t="shared" si="2"/>
        <v>34217</v>
      </c>
      <c r="D22" s="85">
        <f t="shared" si="2"/>
        <v>410604</v>
      </c>
      <c r="E22" s="47" t="s">
        <v>71</v>
      </c>
    </row>
    <row r="23" spans="1:10" ht="15.75" customHeight="1">
      <c r="A23" s="75" t="s">
        <v>149</v>
      </c>
      <c r="B23" s="45">
        <f t="shared" ref="B23:D23" si="3">AVERAGE(E14:E19)</f>
        <v>44.5</v>
      </c>
      <c r="C23" s="88">
        <f t="shared" si="3"/>
        <v>5702.833333333333</v>
      </c>
      <c r="D23" s="85">
        <f t="shared" si="3"/>
        <v>68434</v>
      </c>
      <c r="E23" s="47" t="s">
        <v>72</v>
      </c>
    </row>
    <row r="24" spans="1:10" ht="15.75" customHeight="1">
      <c r="A24" s="75" t="s">
        <v>150</v>
      </c>
      <c r="B24" s="45">
        <f t="shared" ref="B24:D24" si="4">MAX(E14:E19)</f>
        <v>49</v>
      </c>
      <c r="C24" s="88">
        <f t="shared" si="4"/>
        <v>9262</v>
      </c>
      <c r="D24" s="85">
        <f t="shared" si="4"/>
        <v>111144</v>
      </c>
      <c r="E24" s="47" t="s">
        <v>151</v>
      </c>
    </row>
    <row r="25" spans="1:10" ht="15.75" customHeight="1">
      <c r="A25" s="75" t="s">
        <v>152</v>
      </c>
      <c r="B25" s="45">
        <f t="shared" ref="B25:D25" si="5">MIN(E14:E19)</f>
        <v>40</v>
      </c>
      <c r="C25" s="88">
        <f t="shared" si="5"/>
        <v>2394</v>
      </c>
      <c r="D25" s="85">
        <f t="shared" si="5"/>
        <v>28728</v>
      </c>
      <c r="E25" s="47" t="s">
        <v>153</v>
      </c>
    </row>
    <row r="26" spans="1:10" ht="15.75" customHeight="1">
      <c r="A26" s="75" t="s">
        <v>154</v>
      </c>
      <c r="B26" s="45">
        <f t="shared" ref="B26:D26" si="6">MEDIAN(E14:E19)</f>
        <v>45</v>
      </c>
      <c r="C26" s="88">
        <f t="shared" si="6"/>
        <v>5933</v>
      </c>
      <c r="D26" s="85">
        <f t="shared" si="6"/>
        <v>71196</v>
      </c>
      <c r="E26" s="47" t="s">
        <v>155</v>
      </c>
    </row>
    <row r="27" spans="1:10" ht="15.75" customHeight="1"/>
    <row r="28" spans="1:10" ht="15.75" customHeight="1">
      <c r="A28" s="4" t="s">
        <v>156</v>
      </c>
      <c r="B28" s="45">
        <f>COUNT(E14:E19)</f>
        <v>6</v>
      </c>
      <c r="C28" s="47" t="s">
        <v>157</v>
      </c>
    </row>
    <row r="29" spans="1:10" ht="15.75" customHeight="1">
      <c r="A29" s="4" t="s">
        <v>156</v>
      </c>
      <c r="B29" s="45">
        <f>COUNTA(A14:A19)</f>
        <v>6</v>
      </c>
      <c r="C29" s="47" t="s">
        <v>158</v>
      </c>
    </row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9:D9"/>
    <mergeCell ref="B10:D10"/>
    <mergeCell ref="B11:D11"/>
    <mergeCell ref="C1:D1"/>
    <mergeCell ref="B3:D3"/>
    <mergeCell ref="B4:D4"/>
    <mergeCell ref="B5:D5"/>
    <mergeCell ref="B6:D6"/>
    <mergeCell ref="B7:D7"/>
    <mergeCell ref="B8:D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H1000"/>
  <sheetViews>
    <sheetView topLeftCell="A9" workbookViewId="0"/>
  </sheetViews>
  <sheetFormatPr defaultColWidth="12.6640625" defaultRowHeight="15" customHeight="1" outlineLevelRow="1"/>
  <cols>
    <col min="1" max="1" width="24.109375" customWidth="1"/>
    <col min="2" max="2" width="14.33203125" customWidth="1"/>
    <col min="3" max="3" width="19.109375" customWidth="1"/>
    <col min="4" max="26" width="14.33203125" customWidth="1"/>
  </cols>
  <sheetData>
    <row r="1" spans="1:8" ht="15.75" customHeight="1">
      <c r="A1" s="79" t="s">
        <v>159</v>
      </c>
    </row>
    <row r="2" spans="1:8" ht="15.75" customHeight="1"/>
    <row r="3" spans="1:8" ht="15.75" customHeight="1" outlineLevel="1">
      <c r="A3" s="80" t="e">
        <v>#DIV/0!</v>
      </c>
      <c r="B3" s="183" t="s">
        <v>160</v>
      </c>
      <c r="C3" s="179"/>
      <c r="D3" s="179"/>
      <c r="E3" s="179"/>
      <c r="F3" s="179"/>
      <c r="G3" s="180"/>
    </row>
    <row r="4" spans="1:8" ht="15.75" customHeight="1" outlineLevel="1">
      <c r="A4" s="80" t="e">
        <v>#VALUE!</v>
      </c>
      <c r="B4" s="183" t="s">
        <v>161</v>
      </c>
      <c r="C4" s="179"/>
      <c r="D4" s="179"/>
      <c r="E4" s="179"/>
      <c r="F4" s="179"/>
      <c r="G4" s="180"/>
    </row>
    <row r="5" spans="1:8" ht="15.75" customHeight="1" outlineLevel="1">
      <c r="A5" s="80" t="e">
        <v>#REF!</v>
      </c>
      <c r="B5" s="183" t="s">
        <v>162</v>
      </c>
      <c r="C5" s="179"/>
      <c r="D5" s="179"/>
      <c r="E5" s="179"/>
      <c r="F5" s="179"/>
      <c r="G5" s="180"/>
    </row>
    <row r="6" spans="1:8" ht="15.75" customHeight="1" outlineLevel="1">
      <c r="A6" s="80" t="e">
        <v>#NAME?</v>
      </c>
      <c r="B6" s="183" t="s">
        <v>163</v>
      </c>
      <c r="C6" s="179"/>
      <c r="D6" s="179"/>
      <c r="E6" s="179"/>
      <c r="F6" s="179"/>
      <c r="G6" s="180"/>
    </row>
    <row r="7" spans="1:8" ht="15.75" customHeight="1" outlineLevel="1">
      <c r="A7" s="80" t="e">
        <v>#NUM!</v>
      </c>
      <c r="B7" s="183" t="s">
        <v>164</v>
      </c>
      <c r="C7" s="179"/>
      <c r="D7" s="179"/>
      <c r="E7" s="179"/>
      <c r="F7" s="179"/>
      <c r="G7" s="180"/>
    </row>
    <row r="8" spans="1:8" ht="15.75" customHeight="1" outlineLevel="1">
      <c r="A8" s="80" t="e">
        <v>#N/A</v>
      </c>
      <c r="B8" s="183" t="s">
        <v>165</v>
      </c>
      <c r="C8" s="179"/>
      <c r="D8" s="179"/>
      <c r="E8" s="179"/>
      <c r="F8" s="179"/>
      <c r="G8" s="180"/>
    </row>
    <row r="9" spans="1:8" ht="15.75" customHeight="1" outlineLevel="1">
      <c r="A9" s="80" t="s">
        <v>166</v>
      </c>
      <c r="B9" s="183" t="s">
        <v>167</v>
      </c>
      <c r="C9" s="179"/>
      <c r="D9" s="179"/>
      <c r="E9" s="179"/>
      <c r="F9" s="179"/>
      <c r="G9" s="180"/>
    </row>
    <row r="10" spans="1:8" ht="15.75" customHeight="1" outlineLevel="1"/>
    <row r="11" spans="1:8" ht="15.75" customHeight="1"/>
    <row r="12" spans="1:8" ht="15.75" customHeight="1">
      <c r="A12" s="68" t="s">
        <v>118</v>
      </c>
      <c r="B12" s="68" t="s">
        <v>119</v>
      </c>
      <c r="C12" s="68" t="s">
        <v>120</v>
      </c>
      <c r="D12" s="68" t="s">
        <v>121</v>
      </c>
      <c r="E12" s="68" t="s">
        <v>123</v>
      </c>
      <c r="F12" s="68" t="s">
        <v>168</v>
      </c>
      <c r="G12" s="68" t="s">
        <v>169</v>
      </c>
      <c r="H12" s="89" t="s">
        <v>170</v>
      </c>
    </row>
    <row r="13" spans="1:8" ht="15.75" customHeight="1">
      <c r="A13" s="69" t="s">
        <v>128</v>
      </c>
      <c r="B13" s="69" t="s">
        <v>129</v>
      </c>
      <c r="C13" s="45" t="str">
        <f>CONCATENATE(A13," ",B13)</f>
        <v>Rigoberto Montoya</v>
      </c>
      <c r="D13" s="69" t="s">
        <v>130</v>
      </c>
      <c r="E13" s="84">
        <v>7526</v>
      </c>
      <c r="F13" s="71">
        <v>5</v>
      </c>
      <c r="G13" s="88">
        <f t="shared" ref="G13:G15" si="0">E13*F13</f>
        <v>37630</v>
      </c>
      <c r="H13" s="90">
        <v>43</v>
      </c>
    </row>
    <row r="14" spans="1:8" ht="15.75" customHeight="1">
      <c r="A14" s="22" t="s">
        <v>132</v>
      </c>
      <c r="B14" s="22" t="s">
        <v>133</v>
      </c>
      <c r="C14" s="45" t="str">
        <f>CONCATENATE(A14,B14)</f>
        <v>ValentineRamirez</v>
      </c>
      <c r="D14" s="22" t="s">
        <v>134</v>
      </c>
      <c r="E14" s="86">
        <v>3169</v>
      </c>
      <c r="F14" s="48">
        <v>3</v>
      </c>
      <c r="G14" s="88">
        <f t="shared" si="0"/>
        <v>9507</v>
      </c>
      <c r="H14" s="90">
        <v>45</v>
      </c>
    </row>
    <row r="15" spans="1:8" ht="15.75" customHeight="1">
      <c r="A15" s="69" t="s">
        <v>136</v>
      </c>
      <c r="B15" s="69" t="s">
        <v>137</v>
      </c>
      <c r="C15" s="45" t="str">
        <f>CONCATENATE(A15," ",B15)</f>
        <v>Benedict Carney</v>
      </c>
      <c r="D15" s="69" t="s">
        <v>130</v>
      </c>
      <c r="E15" s="84">
        <v>4632</v>
      </c>
      <c r="F15" s="71">
        <v>0</v>
      </c>
      <c r="G15" s="88">
        <f t="shared" si="0"/>
        <v>0</v>
      </c>
      <c r="H15" s="90">
        <v>43</v>
      </c>
    </row>
    <row r="16" spans="1:8" ht="15.75" customHeight="1">
      <c r="E16" s="91" t="s">
        <v>171</v>
      </c>
      <c r="F16" s="92">
        <f>SUM(F13:F15)</f>
        <v>8</v>
      </c>
    </row>
    <row r="17" spans="1:6" ht="15.75" customHeight="1">
      <c r="B17" s="87" t="s">
        <v>122</v>
      </c>
      <c r="E17" s="75" t="s">
        <v>171</v>
      </c>
      <c r="F17" s="45">
        <f>+F13+F14+F15</f>
        <v>8</v>
      </c>
    </row>
    <row r="18" spans="1:6" ht="15.75" customHeight="1">
      <c r="A18" s="75" t="s">
        <v>150</v>
      </c>
      <c r="B18" s="45">
        <f>MAX(H13:H15)</f>
        <v>45</v>
      </c>
    </row>
    <row r="19" spans="1:6" ht="15.75" customHeight="1"/>
    <row r="20" spans="1:6" ht="15.75" customHeight="1">
      <c r="A20" s="4" t="s">
        <v>118</v>
      </c>
      <c r="B20" s="87" t="s">
        <v>121</v>
      </c>
      <c r="E20" s="87" t="s">
        <v>172</v>
      </c>
      <c r="F20" s="87" t="s">
        <v>173</v>
      </c>
    </row>
    <row r="21" spans="1:6" ht="15.75" customHeight="1">
      <c r="A21" s="22" t="s">
        <v>128</v>
      </c>
      <c r="B21" s="92" t="str">
        <f t="shared" ref="B21:B23" si="1">VLOOKUP(A21,$A$13:$D$15,4,FALSE)</f>
        <v>Male</v>
      </c>
      <c r="E21" s="22">
        <v>4</v>
      </c>
      <c r="F21" s="45">
        <f t="shared" ref="F21:F23" si="2">SQRT(E21)</f>
        <v>2</v>
      </c>
    </row>
    <row r="22" spans="1:6" ht="15.75" customHeight="1">
      <c r="A22" s="93" t="s">
        <v>132</v>
      </c>
      <c r="B22" s="92" t="str">
        <f t="shared" si="1"/>
        <v>Female</v>
      </c>
      <c r="E22" s="22">
        <v>16</v>
      </c>
      <c r="F22" s="45">
        <f t="shared" si="2"/>
        <v>4</v>
      </c>
    </row>
    <row r="23" spans="1:6" ht="15.75" customHeight="1">
      <c r="A23" s="22" t="s">
        <v>136</v>
      </c>
      <c r="B23" s="92" t="str">
        <f t="shared" si="1"/>
        <v>Male</v>
      </c>
      <c r="E23" s="93">
        <v>1</v>
      </c>
      <c r="F23" s="45">
        <f t="shared" si="2"/>
        <v>1</v>
      </c>
    </row>
    <row r="24" spans="1:6" ht="15.75" customHeight="1"/>
    <row r="25" spans="1:6" ht="15.75" customHeight="1">
      <c r="A25" s="87" t="s">
        <v>174</v>
      </c>
      <c r="B25" s="87" t="s">
        <v>175</v>
      </c>
      <c r="C25" s="87" t="s">
        <v>176</v>
      </c>
      <c r="F25" s="87" t="s">
        <v>177</v>
      </c>
    </row>
    <row r="26" spans="1:6" ht="15.75" customHeight="1">
      <c r="A26" s="94">
        <v>43845</v>
      </c>
      <c r="B26" s="95">
        <v>43840</v>
      </c>
      <c r="C26" s="96">
        <f t="shared" ref="C26:C27" si="3">A26-B26</f>
        <v>5</v>
      </c>
      <c r="E26" s="48" t="s">
        <v>51</v>
      </c>
      <c r="F26" s="97">
        <f>$A$26</f>
        <v>43845</v>
      </c>
    </row>
    <row r="27" spans="1:6" ht="15.75" customHeight="1">
      <c r="A27" s="94">
        <v>43845</v>
      </c>
      <c r="B27" s="95">
        <v>43496</v>
      </c>
      <c r="C27" s="96">
        <f t="shared" si="3"/>
        <v>349</v>
      </c>
    </row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8:G8"/>
    <mergeCell ref="B9:G9"/>
    <mergeCell ref="B3:G3"/>
    <mergeCell ref="B4:G4"/>
    <mergeCell ref="B5:G5"/>
    <mergeCell ref="B6:G6"/>
    <mergeCell ref="B7:G7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80000"/>
    <outlinePr summaryBelow="0" summaryRight="0"/>
  </sheetPr>
  <dimension ref="A1:G1000"/>
  <sheetViews>
    <sheetView topLeftCell="A3" workbookViewId="0"/>
  </sheetViews>
  <sheetFormatPr defaultColWidth="12.6640625" defaultRowHeight="15" customHeight="1" outlineLevelRow="1"/>
  <cols>
    <col min="1" max="1" width="30.21875" customWidth="1"/>
    <col min="2" max="2" width="15.33203125" customWidth="1"/>
    <col min="3" max="3" width="17" customWidth="1"/>
    <col min="4" max="4" width="20" customWidth="1"/>
    <col min="5" max="5" width="17.21875" customWidth="1"/>
    <col min="6" max="6" width="17" customWidth="1"/>
    <col min="7" max="26" width="14.33203125" customWidth="1"/>
  </cols>
  <sheetData>
    <row r="1" spans="1:6" ht="15.75" customHeight="1">
      <c r="A1" s="79" t="s">
        <v>178</v>
      </c>
      <c r="C1" s="98"/>
      <c r="D1" s="98"/>
    </row>
    <row r="2" spans="1:6" ht="15.75" customHeight="1" outlineLevel="1"/>
    <row r="3" spans="1:6" ht="15.75" customHeight="1" outlineLevel="1">
      <c r="A3" s="80" t="s">
        <v>179</v>
      </c>
      <c r="B3" s="178" t="s">
        <v>180</v>
      </c>
      <c r="C3" s="179"/>
      <c r="D3" s="179"/>
      <c r="E3" s="179"/>
      <c r="F3" s="180"/>
    </row>
    <row r="4" spans="1:6" ht="15.75" customHeight="1" outlineLevel="1">
      <c r="A4" s="80" t="s">
        <v>181</v>
      </c>
      <c r="B4" s="178" t="s">
        <v>182</v>
      </c>
      <c r="C4" s="179"/>
      <c r="D4" s="179"/>
      <c r="E4" s="179"/>
      <c r="F4" s="180"/>
    </row>
    <row r="5" spans="1:6" ht="15.75" customHeight="1" outlineLevel="1">
      <c r="A5" s="80" t="s">
        <v>183</v>
      </c>
      <c r="B5" s="178" t="s">
        <v>184</v>
      </c>
      <c r="C5" s="179"/>
      <c r="D5" s="179"/>
      <c r="E5" s="179"/>
      <c r="F5" s="180"/>
    </row>
    <row r="6" spans="1:6" ht="15.75" customHeight="1" outlineLevel="1">
      <c r="A6" s="80" t="s">
        <v>185</v>
      </c>
      <c r="B6" s="178" t="s">
        <v>186</v>
      </c>
      <c r="C6" s="179"/>
      <c r="D6" s="179"/>
      <c r="E6" s="179"/>
      <c r="F6" s="180"/>
    </row>
    <row r="7" spans="1:6" ht="15.75" customHeight="1" outlineLevel="1">
      <c r="A7" s="80" t="s">
        <v>187</v>
      </c>
      <c r="B7" s="178" t="s">
        <v>188</v>
      </c>
      <c r="C7" s="179"/>
      <c r="D7" s="179"/>
      <c r="E7" s="179"/>
      <c r="F7" s="180"/>
    </row>
    <row r="8" spans="1:6" ht="15.75" customHeight="1" outlineLevel="1">
      <c r="A8" s="80" t="s">
        <v>189</v>
      </c>
      <c r="B8" s="178" t="s">
        <v>190</v>
      </c>
      <c r="C8" s="179"/>
      <c r="D8" s="179"/>
      <c r="E8" s="179"/>
      <c r="F8" s="180"/>
    </row>
    <row r="9" spans="1:6" ht="15.75" customHeight="1" outlineLevel="1">
      <c r="A9" s="80" t="s">
        <v>191</v>
      </c>
      <c r="B9" s="178" t="s">
        <v>192</v>
      </c>
      <c r="C9" s="179"/>
      <c r="D9" s="179"/>
      <c r="E9" s="179"/>
      <c r="F9" s="180"/>
    </row>
    <row r="10" spans="1:6" ht="15.75" customHeight="1" outlineLevel="1">
      <c r="A10" s="80" t="s">
        <v>193</v>
      </c>
      <c r="B10" s="178" t="s">
        <v>194</v>
      </c>
      <c r="C10" s="179"/>
      <c r="D10" s="179"/>
      <c r="E10" s="179"/>
      <c r="F10" s="180"/>
    </row>
    <row r="11" spans="1:6" ht="15.75" customHeight="1" outlineLevel="1">
      <c r="A11" s="80" t="s">
        <v>195</v>
      </c>
      <c r="B11" s="178" t="s">
        <v>196</v>
      </c>
      <c r="C11" s="179"/>
      <c r="D11" s="179"/>
      <c r="E11" s="179"/>
      <c r="F11" s="180"/>
    </row>
    <row r="12" spans="1:6" ht="15.75" customHeight="1" outlineLevel="1">
      <c r="A12" s="80" t="s">
        <v>197</v>
      </c>
      <c r="B12" s="178" t="s">
        <v>198</v>
      </c>
      <c r="C12" s="179"/>
      <c r="D12" s="179"/>
      <c r="E12" s="179"/>
      <c r="F12" s="180"/>
    </row>
    <row r="13" spans="1:6" ht="15.75" customHeight="1" outlineLevel="1">
      <c r="A13" s="80" t="s">
        <v>199</v>
      </c>
      <c r="B13" s="178" t="s">
        <v>200</v>
      </c>
      <c r="C13" s="179"/>
      <c r="D13" s="179"/>
      <c r="E13" s="179"/>
      <c r="F13" s="180"/>
    </row>
    <row r="14" spans="1:6" ht="15.75" customHeight="1">
      <c r="B14" s="48"/>
      <c r="C14" s="48"/>
      <c r="E14" s="48"/>
      <c r="F14" s="48"/>
    </row>
    <row r="15" spans="1:6" ht="15.75" customHeight="1">
      <c r="B15" s="67" t="s">
        <v>69</v>
      </c>
      <c r="C15" s="67" t="s">
        <v>69</v>
      </c>
      <c r="E15" s="48" t="s">
        <v>201</v>
      </c>
      <c r="F15" s="48" t="s">
        <v>202</v>
      </c>
    </row>
    <row r="16" spans="1:6" ht="15.75" customHeight="1">
      <c r="A16" s="68" t="s">
        <v>120</v>
      </c>
      <c r="B16" s="68" t="s">
        <v>121</v>
      </c>
      <c r="C16" s="68" t="s">
        <v>122</v>
      </c>
      <c r="D16" s="68" t="s">
        <v>123</v>
      </c>
      <c r="E16" s="83" t="s">
        <v>203</v>
      </c>
      <c r="F16" s="83" t="s">
        <v>204</v>
      </c>
    </row>
    <row r="17" spans="1:7" ht="15.75" customHeight="1">
      <c r="A17" s="69" t="s">
        <v>205</v>
      </c>
      <c r="B17" s="99" t="str">
        <f t="shared" ref="B17:B22" si="0">VLOOKUP(A17, $D$25:$G$44, 2, FALSE)</f>
        <v>Male</v>
      </c>
      <c r="C17" s="100">
        <f t="shared" ref="C17:C22" si="1">VLOOKUP(A17,$D$25:$G$44,4,FALSE)</f>
        <v>40</v>
      </c>
      <c r="D17" s="84">
        <v>7526</v>
      </c>
      <c r="E17" s="101" t="b">
        <f t="shared" ref="E17:E22" si="2">AND(B17="Female",C17&gt;45)</f>
        <v>0</v>
      </c>
      <c r="F17" s="101" t="str">
        <f t="shared" ref="F17:F22" si="3">IF(OR(B17="Male",C17&lt;=45),"yes","No")</f>
        <v>yes</v>
      </c>
    </row>
    <row r="18" spans="1:7" ht="15.75" customHeight="1">
      <c r="A18" s="22" t="s">
        <v>206</v>
      </c>
      <c r="B18" s="99" t="str">
        <f t="shared" si="0"/>
        <v>Female</v>
      </c>
      <c r="C18" s="100">
        <f t="shared" si="1"/>
        <v>49</v>
      </c>
      <c r="D18" s="86">
        <v>3169</v>
      </c>
      <c r="E18" s="101" t="b">
        <f t="shared" si="2"/>
        <v>1</v>
      </c>
      <c r="F18" s="101" t="str">
        <f t="shared" si="3"/>
        <v>No</v>
      </c>
    </row>
    <row r="19" spans="1:7" ht="15.75" customHeight="1">
      <c r="A19" s="69" t="s">
        <v>207</v>
      </c>
      <c r="B19" s="99" t="str">
        <f t="shared" si="0"/>
        <v>Male</v>
      </c>
      <c r="C19" s="100">
        <f t="shared" si="1"/>
        <v>42</v>
      </c>
      <c r="D19" s="84">
        <v>4632</v>
      </c>
      <c r="E19" s="101" t="b">
        <f t="shared" si="2"/>
        <v>0</v>
      </c>
      <c r="F19" s="101" t="str">
        <f t="shared" si="3"/>
        <v>yes</v>
      </c>
    </row>
    <row r="20" spans="1:7" ht="15.75" customHeight="1">
      <c r="A20" s="22" t="s">
        <v>208</v>
      </c>
      <c r="B20" s="99" t="str">
        <f t="shared" si="0"/>
        <v>Female</v>
      </c>
      <c r="C20" s="100">
        <f t="shared" si="1"/>
        <v>40</v>
      </c>
      <c r="D20" s="86">
        <v>9262</v>
      </c>
      <c r="E20" s="101" t="b">
        <f t="shared" si="2"/>
        <v>0</v>
      </c>
      <c r="F20" s="101" t="str">
        <f t="shared" si="3"/>
        <v>yes</v>
      </c>
    </row>
    <row r="21" spans="1:7" ht="15.75" customHeight="1">
      <c r="A21" s="69" t="s">
        <v>209</v>
      </c>
      <c r="B21" s="99" t="str">
        <f t="shared" si="0"/>
        <v>Male</v>
      </c>
      <c r="C21" s="100">
        <f t="shared" si="1"/>
        <v>48</v>
      </c>
      <c r="D21" s="84">
        <v>7234</v>
      </c>
      <c r="E21" s="101" t="b">
        <f t="shared" si="2"/>
        <v>0</v>
      </c>
      <c r="F21" s="101" t="str">
        <f t="shared" si="3"/>
        <v>yes</v>
      </c>
    </row>
    <row r="22" spans="1:7" ht="15.75" customHeight="1">
      <c r="A22" s="22" t="s">
        <v>210</v>
      </c>
      <c r="B22" s="99" t="str">
        <f t="shared" si="0"/>
        <v>Female</v>
      </c>
      <c r="C22" s="100">
        <f t="shared" si="1"/>
        <v>48</v>
      </c>
      <c r="D22" s="86">
        <v>2394</v>
      </c>
      <c r="E22" s="101" t="b">
        <f t="shared" si="2"/>
        <v>1</v>
      </c>
      <c r="F22" s="101" t="str">
        <f t="shared" si="3"/>
        <v>No</v>
      </c>
    </row>
    <row r="23" spans="1:7" ht="15.75" customHeight="1">
      <c r="A23" s="69" t="s">
        <v>211</v>
      </c>
      <c r="B23" s="99" t="str">
        <f>IFERROR(VLOOKUP(A23, $D$25:$G$44, 2, FALSE),"Not Found")</f>
        <v>Not Found</v>
      </c>
    </row>
    <row r="24" spans="1:7" ht="15.75" customHeight="1">
      <c r="D24" s="102" t="s">
        <v>212</v>
      </c>
      <c r="E24" s="103" t="s">
        <v>121</v>
      </c>
      <c r="F24" s="103" t="s">
        <v>213</v>
      </c>
      <c r="G24" s="104" t="s">
        <v>122</v>
      </c>
    </row>
    <row r="25" spans="1:7" ht="15.75" customHeight="1">
      <c r="A25" s="4" t="s">
        <v>214</v>
      </c>
      <c r="B25" s="101">
        <f>COUNTIF(B17:B22,"female")</f>
        <v>3</v>
      </c>
      <c r="C25" s="47" t="s">
        <v>153</v>
      </c>
      <c r="D25" s="105" t="s">
        <v>207</v>
      </c>
      <c r="E25" s="106" t="s">
        <v>130</v>
      </c>
      <c r="F25" s="106" t="s">
        <v>215</v>
      </c>
      <c r="G25" s="107">
        <v>42</v>
      </c>
    </row>
    <row r="26" spans="1:7" ht="15.75" customHeight="1">
      <c r="A26" s="4" t="s">
        <v>216</v>
      </c>
      <c r="B26" s="101">
        <f>COUNTIF(C17:C22,"&gt;45")</f>
        <v>3</v>
      </c>
      <c r="C26" s="47" t="s">
        <v>153</v>
      </c>
      <c r="D26" s="105" t="s">
        <v>209</v>
      </c>
      <c r="E26" s="106" t="s">
        <v>130</v>
      </c>
      <c r="F26" s="106" t="s">
        <v>215</v>
      </c>
      <c r="G26" s="107">
        <v>48</v>
      </c>
    </row>
    <row r="27" spans="1:7" ht="15.75" customHeight="1">
      <c r="A27" s="4" t="s">
        <v>217</v>
      </c>
      <c r="B27" s="101">
        <f>COUNTIFS(B17:B22,"Male",C17:C22,"&lt;=45")</f>
        <v>2</v>
      </c>
      <c r="C27" s="47" t="s">
        <v>155</v>
      </c>
      <c r="D27" s="105" t="s">
        <v>218</v>
      </c>
      <c r="E27" s="106" t="s">
        <v>134</v>
      </c>
      <c r="F27" s="106" t="s">
        <v>219</v>
      </c>
      <c r="G27" s="107">
        <v>49</v>
      </c>
    </row>
    <row r="28" spans="1:7" ht="15.75" customHeight="1">
      <c r="A28" s="4" t="s">
        <v>220</v>
      </c>
      <c r="B28" s="101">
        <f ca="1">AVERAGEIF(B17:B23,"Female",C17:C22)</f>
        <v>45.666666666666664</v>
      </c>
      <c r="C28" s="47" t="s">
        <v>157</v>
      </c>
      <c r="D28" s="105" t="s">
        <v>221</v>
      </c>
      <c r="E28" s="106" t="s">
        <v>134</v>
      </c>
      <c r="F28" s="106" t="s">
        <v>215</v>
      </c>
      <c r="G28" s="107">
        <v>48</v>
      </c>
    </row>
    <row r="29" spans="1:7" ht="15.75" customHeight="1">
      <c r="A29" s="4" t="s">
        <v>222</v>
      </c>
      <c r="B29" s="101">
        <f>AVERAGEIFS(D17:D22,B17:B22,"Male",C17:C22,"&gt;45")</f>
        <v>7234</v>
      </c>
      <c r="C29" s="47" t="s">
        <v>158</v>
      </c>
      <c r="D29" s="105" t="s">
        <v>223</v>
      </c>
      <c r="E29" s="106" t="s">
        <v>130</v>
      </c>
      <c r="F29" s="106" t="s">
        <v>219</v>
      </c>
      <c r="G29" s="107">
        <v>45</v>
      </c>
    </row>
    <row r="30" spans="1:7" ht="15.75" customHeight="1">
      <c r="A30" s="4" t="s">
        <v>224</v>
      </c>
      <c r="B30" s="101">
        <f>SUMIF(B17:B22,"Female",D17:D22)</f>
        <v>14825</v>
      </c>
      <c r="C30" s="47" t="s">
        <v>225</v>
      </c>
      <c r="D30" s="105" t="s">
        <v>226</v>
      </c>
      <c r="E30" s="106" t="s">
        <v>130</v>
      </c>
      <c r="F30" s="106" t="s">
        <v>219</v>
      </c>
      <c r="G30" s="107">
        <v>42</v>
      </c>
    </row>
    <row r="31" spans="1:7" ht="15.75" customHeight="1">
      <c r="A31" s="4" t="s">
        <v>227</v>
      </c>
      <c r="B31" s="101">
        <f>SUMIFS(D17:D22,B17:B22,"Female",C17:C22,"&lt;41")</f>
        <v>9262</v>
      </c>
      <c r="C31" s="47" t="s">
        <v>228</v>
      </c>
      <c r="D31" s="105" t="s">
        <v>229</v>
      </c>
      <c r="E31" s="106" t="s">
        <v>130</v>
      </c>
      <c r="F31" s="106" t="s">
        <v>219</v>
      </c>
      <c r="G31" s="107">
        <v>43</v>
      </c>
    </row>
    <row r="32" spans="1:7" ht="15.75" customHeight="1">
      <c r="D32" s="105" t="s">
        <v>230</v>
      </c>
      <c r="E32" s="106" t="s">
        <v>134</v>
      </c>
      <c r="F32" s="106" t="s">
        <v>215</v>
      </c>
      <c r="G32" s="107">
        <v>45</v>
      </c>
    </row>
    <row r="33" spans="1:7" ht="15.75" customHeight="1">
      <c r="A33" s="75"/>
      <c r="B33" s="75"/>
      <c r="C33" s="75"/>
      <c r="D33" s="105" t="s">
        <v>231</v>
      </c>
      <c r="E33" s="106" t="s">
        <v>130</v>
      </c>
      <c r="F33" s="106" t="s">
        <v>215</v>
      </c>
      <c r="G33" s="107">
        <v>48</v>
      </c>
    </row>
    <row r="34" spans="1:7" ht="15.75" customHeight="1">
      <c r="A34" s="75"/>
      <c r="B34" s="75"/>
      <c r="C34" s="75"/>
      <c r="D34" s="105" t="s">
        <v>232</v>
      </c>
      <c r="E34" s="106" t="s">
        <v>130</v>
      </c>
      <c r="F34" s="106" t="s">
        <v>219</v>
      </c>
      <c r="G34" s="107">
        <v>47</v>
      </c>
    </row>
    <row r="35" spans="1:7" ht="15.75" customHeight="1">
      <c r="A35" s="75"/>
      <c r="B35" s="75"/>
      <c r="C35" s="75"/>
      <c r="D35" s="105" t="s">
        <v>233</v>
      </c>
      <c r="E35" s="106" t="s">
        <v>130</v>
      </c>
      <c r="F35" s="106" t="s">
        <v>215</v>
      </c>
      <c r="G35" s="107">
        <v>48</v>
      </c>
    </row>
    <row r="36" spans="1:7" ht="15.75" customHeight="1">
      <c r="A36" s="75"/>
      <c r="B36" s="75"/>
      <c r="C36" s="75"/>
      <c r="D36" s="105" t="s">
        <v>208</v>
      </c>
      <c r="E36" s="106" t="s">
        <v>134</v>
      </c>
      <c r="F36" s="106" t="s">
        <v>219</v>
      </c>
      <c r="G36" s="107">
        <v>40</v>
      </c>
    </row>
    <row r="37" spans="1:7" ht="15.75" customHeight="1">
      <c r="D37" s="105" t="s">
        <v>234</v>
      </c>
      <c r="E37" s="106" t="s">
        <v>130</v>
      </c>
      <c r="F37" s="106" t="s">
        <v>215</v>
      </c>
      <c r="G37" s="107">
        <v>44</v>
      </c>
    </row>
    <row r="38" spans="1:7" ht="15.75" customHeight="1">
      <c r="D38" s="105" t="s">
        <v>235</v>
      </c>
      <c r="E38" s="106" t="s">
        <v>134</v>
      </c>
      <c r="F38" s="106" t="s">
        <v>215</v>
      </c>
      <c r="G38" s="107">
        <v>48</v>
      </c>
    </row>
    <row r="39" spans="1:7" ht="15.75" customHeight="1">
      <c r="D39" s="105" t="s">
        <v>236</v>
      </c>
      <c r="E39" s="106" t="s">
        <v>134</v>
      </c>
      <c r="F39" s="106" t="s">
        <v>219</v>
      </c>
      <c r="G39" s="107">
        <v>43</v>
      </c>
    </row>
    <row r="40" spans="1:7" ht="15.75" customHeight="1">
      <c r="D40" s="105" t="s">
        <v>210</v>
      </c>
      <c r="E40" s="106" t="s">
        <v>134</v>
      </c>
      <c r="F40" s="106" t="s">
        <v>219</v>
      </c>
      <c r="G40" s="107">
        <v>48</v>
      </c>
    </row>
    <row r="41" spans="1:7" ht="15.75" customHeight="1">
      <c r="D41" s="105" t="s">
        <v>205</v>
      </c>
      <c r="E41" s="106" t="s">
        <v>130</v>
      </c>
      <c r="F41" s="106" t="s">
        <v>215</v>
      </c>
      <c r="G41" s="107">
        <v>40</v>
      </c>
    </row>
    <row r="42" spans="1:7" ht="15.75" customHeight="1">
      <c r="D42" s="105" t="s">
        <v>237</v>
      </c>
      <c r="E42" s="106" t="s">
        <v>134</v>
      </c>
      <c r="F42" s="106" t="s">
        <v>219</v>
      </c>
      <c r="G42" s="107">
        <v>47</v>
      </c>
    </row>
    <row r="43" spans="1:7" ht="15.75" customHeight="1">
      <c r="D43" s="105" t="s">
        <v>238</v>
      </c>
      <c r="E43" s="106" t="s">
        <v>134</v>
      </c>
      <c r="F43" s="106" t="s">
        <v>219</v>
      </c>
      <c r="G43" s="107">
        <v>41</v>
      </c>
    </row>
    <row r="44" spans="1:7" ht="15.75" customHeight="1">
      <c r="D44" s="108" t="s">
        <v>206</v>
      </c>
      <c r="E44" s="109" t="s">
        <v>134</v>
      </c>
      <c r="F44" s="109" t="s">
        <v>215</v>
      </c>
      <c r="G44" s="110">
        <v>49</v>
      </c>
    </row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0:F10"/>
    <mergeCell ref="B11:F11"/>
    <mergeCell ref="B12:F12"/>
    <mergeCell ref="B13:F13"/>
    <mergeCell ref="B3:F3"/>
    <mergeCell ref="B4:F4"/>
    <mergeCell ref="B5:F5"/>
    <mergeCell ref="B6:F6"/>
    <mergeCell ref="B7:F7"/>
    <mergeCell ref="B8:F8"/>
    <mergeCell ref="B9:F9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38761D"/>
    <outlinePr summaryRight="0"/>
  </sheetPr>
  <dimension ref="A1:M1000"/>
  <sheetViews>
    <sheetView workbookViewId="0"/>
  </sheetViews>
  <sheetFormatPr defaultColWidth="12.6640625" defaultRowHeight="15" customHeight="1" outlineLevelRow="1"/>
  <cols>
    <col min="1" max="1" width="3.109375" customWidth="1"/>
    <col min="2" max="3" width="15" customWidth="1"/>
    <col min="4" max="6" width="13.88671875" customWidth="1"/>
    <col min="7" max="7" width="7.88671875" customWidth="1"/>
    <col min="8" max="8" width="16.44140625" customWidth="1"/>
    <col min="9" max="9" width="15" customWidth="1"/>
    <col min="10" max="10" width="13.88671875" customWidth="1"/>
    <col min="11" max="11" width="14" customWidth="1"/>
    <col min="12" max="12" width="14.6640625" customWidth="1"/>
    <col min="13" max="13" width="19.21875" customWidth="1"/>
    <col min="14" max="28" width="14.33203125" customWidth="1"/>
  </cols>
  <sheetData>
    <row r="1" spans="1:13" ht="15.75" customHeight="1">
      <c r="A1" s="79" t="s">
        <v>239</v>
      </c>
    </row>
    <row r="2" spans="1:13" ht="15.75" customHeight="1" outlineLevel="1"/>
    <row r="3" spans="1:13" ht="15.75" customHeight="1" outlineLevel="1">
      <c r="A3" s="189" t="s">
        <v>240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1"/>
    </row>
    <row r="4" spans="1:13" ht="15.75" customHeight="1" outlineLevel="1">
      <c r="A4" s="184" t="s">
        <v>241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5"/>
    </row>
    <row r="5" spans="1:13" ht="15.75" customHeight="1" outlineLevel="1">
      <c r="A5" s="184" t="s">
        <v>242</v>
      </c>
      <c r="B5" s="182"/>
      <c r="C5" s="182"/>
      <c r="D5" s="182"/>
      <c r="E5" s="182"/>
      <c r="F5" s="182"/>
      <c r="G5" s="182"/>
      <c r="H5" s="182"/>
      <c r="I5" s="182"/>
      <c r="J5" s="182"/>
      <c r="K5" s="182"/>
      <c r="L5" s="182"/>
      <c r="M5" s="185"/>
    </row>
    <row r="6" spans="1:13" ht="15.75" customHeight="1" outlineLevel="1">
      <c r="A6" s="184" t="s">
        <v>243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5"/>
    </row>
    <row r="7" spans="1:13" ht="15.75" customHeight="1" outlineLevel="1">
      <c r="A7" s="184" t="s">
        <v>244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5"/>
    </row>
    <row r="8" spans="1:13" ht="15.75" customHeight="1" outlineLevel="1">
      <c r="A8" s="184" t="s">
        <v>245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5"/>
    </row>
    <row r="9" spans="1:13" ht="15.75" customHeight="1" outlineLevel="1">
      <c r="A9" s="184" t="s">
        <v>246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5"/>
    </row>
    <row r="10" spans="1:13" ht="15.75" customHeight="1" outlineLevel="1">
      <c r="A10" s="184" t="s">
        <v>247</v>
      </c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5"/>
    </row>
    <row r="11" spans="1:13" ht="15.75" customHeight="1" outlineLevel="1">
      <c r="A11" s="184" t="s">
        <v>248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5"/>
    </row>
    <row r="12" spans="1:13" ht="15.75" customHeight="1" outlineLevel="1">
      <c r="A12" s="184" t="s">
        <v>249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5"/>
    </row>
    <row r="13" spans="1:13" ht="15.75" customHeight="1" outlineLevel="1">
      <c r="A13" s="184" t="s">
        <v>250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5"/>
    </row>
    <row r="14" spans="1:13" ht="15.75" customHeight="1" outlineLevel="1">
      <c r="A14" s="186" t="s">
        <v>251</v>
      </c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8"/>
    </row>
    <row r="15" spans="1:13" ht="15.75" customHeight="1" outlineLevel="1"/>
    <row r="16" spans="1:13" ht="15.75" customHeight="1">
      <c r="A16" s="22"/>
      <c r="B16" s="111" t="s">
        <v>118</v>
      </c>
      <c r="C16" s="111" t="s">
        <v>119</v>
      </c>
      <c r="D16" s="112" t="s">
        <v>121</v>
      </c>
      <c r="E16" s="112" t="s">
        <v>122</v>
      </c>
      <c r="F16" s="112" t="s">
        <v>126</v>
      </c>
      <c r="G16" s="112" t="s">
        <v>127</v>
      </c>
      <c r="H16" s="112" t="s">
        <v>123</v>
      </c>
      <c r="I16" s="111" t="s">
        <v>124</v>
      </c>
      <c r="J16" s="112" t="s">
        <v>252</v>
      </c>
      <c r="K16" s="112" t="s">
        <v>253</v>
      </c>
      <c r="L16" s="112" t="s">
        <v>213</v>
      </c>
      <c r="M16" s="112" t="s">
        <v>254</v>
      </c>
    </row>
    <row r="17" spans="1:13" ht="15.75" customHeight="1">
      <c r="A17" s="22"/>
      <c r="B17" s="113" t="s">
        <v>136</v>
      </c>
      <c r="C17" s="113" t="s">
        <v>137</v>
      </c>
      <c r="D17" s="114" t="s">
        <v>130</v>
      </c>
      <c r="E17" s="114">
        <v>42</v>
      </c>
      <c r="F17" s="114" t="s">
        <v>255</v>
      </c>
      <c r="G17" s="114" t="s">
        <v>256</v>
      </c>
      <c r="H17" s="115">
        <v>4632</v>
      </c>
      <c r="I17" s="115">
        <f t="shared" ref="I17:I36" si="0">H17*12</f>
        <v>55584</v>
      </c>
      <c r="J17" s="116">
        <v>539740192</v>
      </c>
      <c r="K17" s="114" t="s">
        <v>257</v>
      </c>
      <c r="L17" s="114" t="s">
        <v>219</v>
      </c>
      <c r="M17" s="114">
        <v>0</v>
      </c>
    </row>
    <row r="18" spans="1:13" ht="15.75" customHeight="1">
      <c r="A18" s="22"/>
      <c r="B18" s="117" t="s">
        <v>142</v>
      </c>
      <c r="C18" s="117" t="s">
        <v>143</v>
      </c>
      <c r="D18" s="118" t="s">
        <v>130</v>
      </c>
      <c r="E18" s="118">
        <v>48</v>
      </c>
      <c r="F18" s="118" t="s">
        <v>258</v>
      </c>
      <c r="G18" s="118" t="s">
        <v>259</v>
      </c>
      <c r="H18" s="119">
        <v>7234</v>
      </c>
      <c r="I18" s="119">
        <f t="shared" si="0"/>
        <v>86808</v>
      </c>
      <c r="J18" s="120">
        <v>238247703</v>
      </c>
      <c r="K18" s="118" t="s">
        <v>260</v>
      </c>
      <c r="L18" s="118" t="s">
        <v>219</v>
      </c>
      <c r="M18" s="118">
        <v>0</v>
      </c>
    </row>
    <row r="19" spans="1:13" ht="15.75" customHeight="1">
      <c r="A19" s="22"/>
      <c r="B19" s="113" t="s">
        <v>261</v>
      </c>
      <c r="C19" s="113" t="s">
        <v>262</v>
      </c>
      <c r="D19" s="114" t="s">
        <v>134</v>
      </c>
      <c r="E19" s="114">
        <v>49</v>
      </c>
      <c r="F19" s="114" t="s">
        <v>263</v>
      </c>
      <c r="G19" s="114" t="s">
        <v>256</v>
      </c>
      <c r="H19" s="115">
        <v>2464</v>
      </c>
      <c r="I19" s="115">
        <f t="shared" si="0"/>
        <v>29568</v>
      </c>
      <c r="J19" s="116">
        <v>150612156</v>
      </c>
      <c r="K19" s="114" t="s">
        <v>264</v>
      </c>
      <c r="L19" s="114" t="s">
        <v>219</v>
      </c>
      <c r="M19" s="114">
        <v>2</v>
      </c>
    </row>
    <row r="20" spans="1:13" ht="15.75" customHeight="1">
      <c r="A20" s="22"/>
      <c r="B20" s="117" t="s">
        <v>265</v>
      </c>
      <c r="C20" s="117" t="s">
        <v>266</v>
      </c>
      <c r="D20" s="118" t="s">
        <v>134</v>
      </c>
      <c r="E20" s="118">
        <v>48</v>
      </c>
      <c r="F20" s="118" t="s">
        <v>267</v>
      </c>
      <c r="G20" s="118" t="s">
        <v>268</v>
      </c>
      <c r="H20" s="119">
        <v>5100</v>
      </c>
      <c r="I20" s="119">
        <f t="shared" si="0"/>
        <v>61200</v>
      </c>
      <c r="J20" s="120">
        <v>421237239</v>
      </c>
      <c r="K20" s="118" t="s">
        <v>264</v>
      </c>
      <c r="L20" s="118" t="s">
        <v>215</v>
      </c>
      <c r="M20" s="118">
        <v>0</v>
      </c>
    </row>
    <row r="21" spans="1:13" ht="15.75" hidden="1" customHeight="1">
      <c r="A21" s="22"/>
      <c r="B21" s="113" t="s">
        <v>269</v>
      </c>
      <c r="C21" s="113" t="s">
        <v>270</v>
      </c>
      <c r="D21" s="114" t="s">
        <v>130</v>
      </c>
      <c r="E21" s="114">
        <v>45</v>
      </c>
      <c r="F21" s="114" t="s">
        <v>271</v>
      </c>
      <c r="G21" s="114" t="s">
        <v>272</v>
      </c>
      <c r="H21" s="115">
        <v>4292</v>
      </c>
      <c r="I21" s="115">
        <f t="shared" si="0"/>
        <v>51504</v>
      </c>
      <c r="J21" s="116">
        <v>413699057</v>
      </c>
      <c r="K21" s="114" t="s">
        <v>273</v>
      </c>
      <c r="L21" s="114" t="s">
        <v>215</v>
      </c>
      <c r="M21" s="114">
        <v>5</v>
      </c>
    </row>
    <row r="22" spans="1:13" ht="15.75" hidden="1" customHeight="1">
      <c r="A22" s="22"/>
      <c r="B22" s="117" t="s">
        <v>274</v>
      </c>
      <c r="C22" s="117" t="s">
        <v>275</v>
      </c>
      <c r="D22" s="118" t="s">
        <v>130</v>
      </c>
      <c r="E22" s="118">
        <v>42</v>
      </c>
      <c r="F22" s="118" t="s">
        <v>276</v>
      </c>
      <c r="G22" s="118" t="s">
        <v>277</v>
      </c>
      <c r="H22" s="119">
        <v>9036</v>
      </c>
      <c r="I22" s="119">
        <f t="shared" si="0"/>
        <v>108432</v>
      </c>
      <c r="J22" s="120">
        <v>317277659</v>
      </c>
      <c r="K22" s="118" t="s">
        <v>278</v>
      </c>
      <c r="L22" s="118" t="s">
        <v>219</v>
      </c>
      <c r="M22" s="118">
        <v>3</v>
      </c>
    </row>
    <row r="23" spans="1:13" ht="15.75" customHeight="1">
      <c r="A23" s="22"/>
      <c r="B23" s="113" t="s">
        <v>279</v>
      </c>
      <c r="C23" s="113" t="s">
        <v>280</v>
      </c>
      <c r="D23" s="114" t="s">
        <v>130</v>
      </c>
      <c r="E23" s="114">
        <v>43</v>
      </c>
      <c r="F23" s="114" t="s">
        <v>281</v>
      </c>
      <c r="G23" s="114" t="s">
        <v>282</v>
      </c>
      <c r="H23" s="115">
        <v>3140</v>
      </c>
      <c r="I23" s="115">
        <f t="shared" si="0"/>
        <v>37680</v>
      </c>
      <c r="J23" s="116">
        <v>240397658</v>
      </c>
      <c r="K23" s="114" t="s">
        <v>278</v>
      </c>
      <c r="L23" s="114" t="s">
        <v>219</v>
      </c>
      <c r="M23" s="114">
        <v>1</v>
      </c>
    </row>
    <row r="24" spans="1:13" ht="15.75" customHeight="1">
      <c r="A24" s="22"/>
      <c r="B24" s="117" t="s">
        <v>283</v>
      </c>
      <c r="C24" s="117" t="s">
        <v>284</v>
      </c>
      <c r="D24" s="118" t="s">
        <v>134</v>
      </c>
      <c r="E24" s="118">
        <v>45</v>
      </c>
      <c r="F24" s="118" t="s">
        <v>285</v>
      </c>
      <c r="G24" s="118" t="s">
        <v>286</v>
      </c>
      <c r="H24" s="119">
        <v>2928</v>
      </c>
      <c r="I24" s="119">
        <f t="shared" si="0"/>
        <v>35136</v>
      </c>
      <c r="J24" s="120">
        <v>616043098</v>
      </c>
      <c r="K24" s="118" t="s">
        <v>273</v>
      </c>
      <c r="L24" s="118" t="s">
        <v>219</v>
      </c>
      <c r="M24" s="118">
        <v>1</v>
      </c>
    </row>
    <row r="25" spans="1:13" ht="15.75" customHeight="1">
      <c r="A25" s="22"/>
      <c r="B25" s="113" t="s">
        <v>287</v>
      </c>
      <c r="C25" s="113" t="s">
        <v>288</v>
      </c>
      <c r="D25" s="114" t="s">
        <v>130</v>
      </c>
      <c r="E25" s="114">
        <v>48</v>
      </c>
      <c r="F25" s="114" t="s">
        <v>289</v>
      </c>
      <c r="G25" s="114" t="s">
        <v>290</v>
      </c>
      <c r="H25" s="115">
        <v>9843</v>
      </c>
      <c r="I25" s="115">
        <f t="shared" si="0"/>
        <v>118116</v>
      </c>
      <c r="J25" s="116">
        <v>590552403</v>
      </c>
      <c r="K25" s="114" t="s">
        <v>257</v>
      </c>
      <c r="L25" s="114" t="s">
        <v>215</v>
      </c>
      <c r="M25" s="114">
        <v>0</v>
      </c>
    </row>
    <row r="26" spans="1:13" ht="15.75" customHeight="1">
      <c r="A26" s="22"/>
      <c r="B26" s="117" t="s">
        <v>291</v>
      </c>
      <c r="C26" s="117" t="s">
        <v>292</v>
      </c>
      <c r="D26" s="118" t="s">
        <v>130</v>
      </c>
      <c r="E26" s="118">
        <v>47</v>
      </c>
      <c r="F26" s="118" t="s">
        <v>293</v>
      </c>
      <c r="G26" s="118" t="s">
        <v>294</v>
      </c>
      <c r="H26" s="119">
        <v>9178</v>
      </c>
      <c r="I26" s="119">
        <f t="shared" si="0"/>
        <v>110136</v>
      </c>
      <c r="J26" s="120">
        <v>654611351</v>
      </c>
      <c r="K26" s="118" t="s">
        <v>278</v>
      </c>
      <c r="L26" s="118" t="s">
        <v>219</v>
      </c>
      <c r="M26" s="118">
        <v>0</v>
      </c>
    </row>
    <row r="27" spans="1:13" ht="15.75" customHeight="1">
      <c r="A27" s="22"/>
      <c r="B27" s="113" t="s">
        <v>295</v>
      </c>
      <c r="C27" s="113" t="s">
        <v>296</v>
      </c>
      <c r="D27" s="114" t="s">
        <v>130</v>
      </c>
      <c r="E27" s="114">
        <v>48</v>
      </c>
      <c r="F27" s="114" t="s">
        <v>297</v>
      </c>
      <c r="G27" s="114" t="s">
        <v>259</v>
      </c>
      <c r="H27" s="115">
        <v>4977</v>
      </c>
      <c r="I27" s="115">
        <f t="shared" si="0"/>
        <v>59724</v>
      </c>
      <c r="J27" s="116">
        <v>455817125</v>
      </c>
      <c r="K27" s="114" t="s">
        <v>298</v>
      </c>
      <c r="L27" s="114" t="s">
        <v>215</v>
      </c>
      <c r="M27" s="114">
        <v>0</v>
      </c>
    </row>
    <row r="28" spans="1:13" ht="15.75" customHeight="1">
      <c r="A28" s="22"/>
      <c r="B28" s="117" t="s">
        <v>139</v>
      </c>
      <c r="C28" s="117" t="s">
        <v>140</v>
      </c>
      <c r="D28" s="118" t="s">
        <v>134</v>
      </c>
      <c r="E28" s="118">
        <v>40</v>
      </c>
      <c r="F28" s="118" t="s">
        <v>297</v>
      </c>
      <c r="G28" s="118" t="s">
        <v>259</v>
      </c>
      <c r="H28" s="119">
        <v>9262</v>
      </c>
      <c r="I28" s="119">
        <f t="shared" si="0"/>
        <v>111144</v>
      </c>
      <c r="J28" s="120">
        <v>496601806</v>
      </c>
      <c r="K28" s="118" t="s">
        <v>298</v>
      </c>
      <c r="L28" s="118" t="s">
        <v>215</v>
      </c>
      <c r="M28" s="118">
        <v>1</v>
      </c>
    </row>
    <row r="29" spans="1:13" ht="15.75" hidden="1" customHeight="1">
      <c r="A29" s="22"/>
      <c r="B29" s="113" t="s">
        <v>299</v>
      </c>
      <c r="C29" s="113" t="s">
        <v>300</v>
      </c>
      <c r="D29" s="114" t="s">
        <v>130</v>
      </c>
      <c r="E29" s="114">
        <v>44</v>
      </c>
      <c r="F29" s="114" t="s">
        <v>301</v>
      </c>
      <c r="G29" s="114" t="s">
        <v>302</v>
      </c>
      <c r="H29" s="115">
        <v>4267</v>
      </c>
      <c r="I29" s="115">
        <f t="shared" si="0"/>
        <v>51204</v>
      </c>
      <c r="J29" s="116">
        <v>475305514</v>
      </c>
      <c r="K29" s="114" t="s">
        <v>278</v>
      </c>
      <c r="L29" s="114" t="s">
        <v>215</v>
      </c>
      <c r="M29" s="114">
        <v>4</v>
      </c>
    </row>
    <row r="30" spans="1:13" ht="15.75" customHeight="1">
      <c r="A30" s="22"/>
      <c r="B30" s="117" t="s">
        <v>303</v>
      </c>
      <c r="C30" s="117" t="s">
        <v>304</v>
      </c>
      <c r="D30" s="118" t="s">
        <v>134</v>
      </c>
      <c r="E30" s="118">
        <v>48</v>
      </c>
      <c r="F30" s="118" t="s">
        <v>305</v>
      </c>
      <c r="G30" s="118" t="s">
        <v>306</v>
      </c>
      <c r="H30" s="119">
        <v>8097</v>
      </c>
      <c r="I30" s="119">
        <f t="shared" si="0"/>
        <v>97164</v>
      </c>
      <c r="J30" s="120">
        <v>657734805</v>
      </c>
      <c r="K30" s="118" t="s">
        <v>278</v>
      </c>
      <c r="L30" s="118" t="s">
        <v>215</v>
      </c>
      <c r="M30" s="118">
        <v>0</v>
      </c>
    </row>
    <row r="31" spans="1:13" ht="15.75" customHeight="1">
      <c r="A31" s="22"/>
      <c r="B31" s="113" t="s">
        <v>307</v>
      </c>
      <c r="C31" s="113" t="s">
        <v>308</v>
      </c>
      <c r="D31" s="114" t="s">
        <v>134</v>
      </c>
      <c r="E31" s="114">
        <v>43</v>
      </c>
      <c r="F31" s="114" t="s">
        <v>309</v>
      </c>
      <c r="G31" s="114" t="s">
        <v>268</v>
      </c>
      <c r="H31" s="115">
        <v>8325</v>
      </c>
      <c r="I31" s="115">
        <f t="shared" si="0"/>
        <v>99900</v>
      </c>
      <c r="J31" s="116">
        <v>232302956</v>
      </c>
      <c r="K31" s="114" t="s">
        <v>257</v>
      </c>
      <c r="L31" s="114" t="s">
        <v>215</v>
      </c>
      <c r="M31" s="114">
        <v>1</v>
      </c>
    </row>
    <row r="32" spans="1:13" ht="15.75" customHeight="1">
      <c r="A32" s="22"/>
      <c r="B32" s="117" t="s">
        <v>145</v>
      </c>
      <c r="C32" s="117" t="s">
        <v>146</v>
      </c>
      <c r="D32" s="118" t="s">
        <v>134</v>
      </c>
      <c r="E32" s="118">
        <v>48</v>
      </c>
      <c r="F32" s="118" t="s">
        <v>310</v>
      </c>
      <c r="G32" s="118" t="s">
        <v>311</v>
      </c>
      <c r="H32" s="119">
        <v>2394</v>
      </c>
      <c r="I32" s="119">
        <f t="shared" si="0"/>
        <v>28728</v>
      </c>
      <c r="J32" s="120">
        <v>710502241</v>
      </c>
      <c r="K32" s="118" t="s">
        <v>257</v>
      </c>
      <c r="L32" s="118" t="s">
        <v>219</v>
      </c>
      <c r="M32" s="118">
        <v>2</v>
      </c>
    </row>
    <row r="33" spans="1:13" ht="15.75" customHeight="1">
      <c r="A33" s="22"/>
      <c r="B33" s="113" t="s">
        <v>128</v>
      </c>
      <c r="C33" s="113" t="s">
        <v>129</v>
      </c>
      <c r="D33" s="114" t="s">
        <v>130</v>
      </c>
      <c r="E33" s="121">
        <v>40</v>
      </c>
      <c r="F33" s="114" t="s">
        <v>312</v>
      </c>
      <c r="G33" s="114" t="s">
        <v>313</v>
      </c>
      <c r="H33" s="115">
        <v>7526</v>
      </c>
      <c r="I33" s="115">
        <f t="shared" si="0"/>
        <v>90312</v>
      </c>
      <c r="J33" s="116">
        <v>327637448</v>
      </c>
      <c r="K33" s="114" t="s">
        <v>298</v>
      </c>
      <c r="L33" s="114" t="s">
        <v>215</v>
      </c>
      <c r="M33" s="114">
        <v>2</v>
      </c>
    </row>
    <row r="34" spans="1:13" ht="15.75" hidden="1" customHeight="1">
      <c r="A34" s="22"/>
      <c r="B34" s="117" t="s">
        <v>314</v>
      </c>
      <c r="C34" s="117" t="s">
        <v>315</v>
      </c>
      <c r="D34" s="118" t="s">
        <v>134</v>
      </c>
      <c r="E34" s="118">
        <v>47</v>
      </c>
      <c r="F34" s="118" t="s">
        <v>316</v>
      </c>
      <c r="G34" s="118" t="s">
        <v>317</v>
      </c>
      <c r="H34" s="119">
        <v>863</v>
      </c>
      <c r="I34" s="119">
        <f t="shared" si="0"/>
        <v>10356</v>
      </c>
      <c r="J34" s="120">
        <v>103002425</v>
      </c>
      <c r="K34" s="118" t="s">
        <v>264</v>
      </c>
      <c r="L34" s="118" t="s">
        <v>219</v>
      </c>
      <c r="M34" s="118">
        <v>5</v>
      </c>
    </row>
    <row r="35" spans="1:13" ht="15.75" customHeight="1">
      <c r="A35" s="22"/>
      <c r="B35" s="113" t="s">
        <v>318</v>
      </c>
      <c r="C35" s="113" t="s">
        <v>319</v>
      </c>
      <c r="D35" s="114" t="s">
        <v>134</v>
      </c>
      <c r="E35" s="114">
        <v>41</v>
      </c>
      <c r="F35" s="114" t="s">
        <v>320</v>
      </c>
      <c r="G35" s="114" t="s">
        <v>268</v>
      </c>
      <c r="H35" s="115">
        <v>2555</v>
      </c>
      <c r="I35" s="115">
        <f t="shared" si="0"/>
        <v>30660</v>
      </c>
      <c r="J35" s="116">
        <v>126484863</v>
      </c>
      <c r="K35" s="114" t="s">
        <v>260</v>
      </c>
      <c r="L35" s="114" t="s">
        <v>219</v>
      </c>
      <c r="M35" s="114">
        <v>0</v>
      </c>
    </row>
    <row r="36" spans="1:13" ht="15.75" hidden="1" customHeight="1">
      <c r="A36" s="22"/>
      <c r="B36" s="122" t="s">
        <v>132</v>
      </c>
      <c r="C36" s="122" t="s">
        <v>133</v>
      </c>
      <c r="D36" s="123" t="s">
        <v>134</v>
      </c>
      <c r="E36" s="123">
        <v>49</v>
      </c>
      <c r="F36" s="123" t="s">
        <v>285</v>
      </c>
      <c r="G36" s="123" t="s">
        <v>286</v>
      </c>
      <c r="H36" s="124">
        <v>3169</v>
      </c>
      <c r="I36" s="124">
        <f t="shared" si="0"/>
        <v>38028</v>
      </c>
      <c r="J36" s="125">
        <v>243493818</v>
      </c>
      <c r="K36" s="123" t="s">
        <v>273</v>
      </c>
      <c r="L36" s="123" t="s">
        <v>215</v>
      </c>
      <c r="M36" s="123">
        <v>3</v>
      </c>
    </row>
    <row r="37" spans="1:13" ht="15.75" customHeight="1">
      <c r="A37" s="126"/>
      <c r="B37" s="127"/>
      <c r="C37" s="128"/>
    </row>
    <row r="38" spans="1:13" ht="15.75" customHeight="1">
      <c r="A38" s="126"/>
      <c r="B38" s="126"/>
      <c r="C38" s="128"/>
    </row>
    <row r="39" spans="1:13" ht="15.75" customHeight="1">
      <c r="A39" s="126"/>
      <c r="B39" s="126"/>
      <c r="C39" s="128"/>
    </row>
    <row r="40" spans="1:13" ht="15.75" customHeight="1"/>
    <row r="41" spans="1:13" ht="15.75" customHeight="1"/>
    <row r="42" spans="1:13" ht="15.75" customHeight="1"/>
    <row r="43" spans="1:13" ht="15.75" customHeight="1"/>
    <row r="44" spans="1:13" ht="15.75" customHeight="1"/>
    <row r="45" spans="1:13" ht="15.75" customHeight="1"/>
    <row r="46" spans="1:13" ht="15.75" customHeight="1"/>
    <row r="47" spans="1:13" ht="15.75" customHeight="1"/>
    <row r="48" spans="1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6:M36" xr:uid="{00000000-0009-0000-0000-000005000000}">
    <filterColumn colId="11">
      <customFilters>
        <customFilter operator="lessThanOrEqual" val="2"/>
      </customFilters>
    </filterColumn>
    <sortState xmlns:xlrd2="http://schemas.microsoft.com/office/spreadsheetml/2017/richdata2" ref="B16:M36">
      <sortCondition ref="B16:B36"/>
    </sortState>
  </autoFilter>
  <mergeCells count="12">
    <mergeCell ref="A8:M8"/>
    <mergeCell ref="A9:M9"/>
    <mergeCell ref="A3:M3"/>
    <mergeCell ref="A4:M4"/>
    <mergeCell ref="A5:M5"/>
    <mergeCell ref="A6:M6"/>
    <mergeCell ref="A7:M7"/>
    <mergeCell ref="A10:M10"/>
    <mergeCell ref="A11:M11"/>
    <mergeCell ref="A12:M12"/>
    <mergeCell ref="A13:M13"/>
    <mergeCell ref="A14:M14"/>
  </mergeCells>
  <conditionalFormatting sqref="E17:E36">
    <cfRule type="cellIs" dxfId="8" priority="1" operator="greaterThan">
      <formula>45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00FF"/>
    <outlinePr summaryBelow="0" summaryRight="0"/>
  </sheetPr>
  <dimension ref="A1:D1003"/>
  <sheetViews>
    <sheetView workbookViewId="0">
      <selection activeCell="B1" sqref="B1"/>
    </sheetView>
  </sheetViews>
  <sheetFormatPr defaultColWidth="12.6640625" defaultRowHeight="15" customHeight="1"/>
  <cols>
    <col min="1" max="1" width="19.88671875" customWidth="1"/>
    <col min="2" max="2" width="16.88671875" customWidth="1"/>
    <col min="3" max="26" width="14.33203125" customWidth="1"/>
  </cols>
  <sheetData>
    <row r="1" spans="1:4" ht="15.75" customHeight="1">
      <c r="A1" s="129" t="s">
        <v>321</v>
      </c>
      <c r="B1" s="130" t="s">
        <v>322</v>
      </c>
    </row>
    <row r="2" spans="1:4" ht="15.75" customHeight="1"/>
    <row r="3" spans="1:4" ht="15.75" customHeight="1">
      <c r="A3" s="82" t="s">
        <v>323</v>
      </c>
    </row>
    <row r="4" spans="1:4" ht="15.75" customHeight="1"/>
    <row r="5" spans="1:4" ht="15.75" customHeight="1">
      <c r="B5" s="131" t="s">
        <v>324</v>
      </c>
      <c r="C5" s="131" t="s">
        <v>325</v>
      </c>
      <c r="D5" s="131" t="s">
        <v>326</v>
      </c>
    </row>
    <row r="6" spans="1:4" ht="15.75" customHeight="1">
      <c r="A6" s="132" t="s">
        <v>327</v>
      </c>
      <c r="B6" s="133">
        <f t="shared" ref="B6:C6" si="0">SUM(B7:B8)</f>
        <v>5544</v>
      </c>
      <c r="C6" s="133">
        <f t="shared" si="0"/>
        <v>5544</v>
      </c>
      <c r="D6" s="133">
        <f t="shared" ref="D6:D31" si="1">B6-C6</f>
        <v>0</v>
      </c>
    </row>
    <row r="7" spans="1:4" ht="15.75" customHeight="1">
      <c r="A7" s="134" t="s">
        <v>328</v>
      </c>
      <c r="B7" s="135">
        <f>SUMIFS('Task 7b Expense data'!E:E,'Task 7b Expense data'!B:B,$B$1,'Task 7b Expense data'!D:D,$A7)</f>
        <v>5544</v>
      </c>
      <c r="C7" s="136">
        <v>5544</v>
      </c>
      <c r="D7" s="135">
        <f t="shared" si="1"/>
        <v>0</v>
      </c>
    </row>
    <row r="8" spans="1:4" ht="15.75" customHeight="1">
      <c r="A8" s="137" t="s">
        <v>329</v>
      </c>
      <c r="B8" s="138">
        <f>SUMIFS('Task 7b Expense data'!E:E,'Task 7b Expense data'!B:B,$B$1,'Task 7b Expense data'!D:D,$A8)</f>
        <v>0</v>
      </c>
      <c r="C8" s="139">
        <v>0</v>
      </c>
      <c r="D8" s="138">
        <f t="shared" si="1"/>
        <v>0</v>
      </c>
    </row>
    <row r="9" spans="1:4" ht="15.75" customHeight="1">
      <c r="A9" s="140" t="s">
        <v>330</v>
      </c>
      <c r="B9" s="141">
        <f t="shared" ref="B9:C9" si="2">B10+B13+B16+B20+B23+B25</f>
        <v>5968.607429050363</v>
      </c>
      <c r="C9" s="141">
        <f t="shared" si="2"/>
        <v>5300</v>
      </c>
      <c r="D9" s="141">
        <f t="shared" si="1"/>
        <v>668.60742905036295</v>
      </c>
    </row>
    <row r="10" spans="1:4" ht="15.75" customHeight="1">
      <c r="A10" s="142" t="s">
        <v>331</v>
      </c>
      <c r="B10" s="143">
        <f t="shared" ref="B10:C10" si="3">SUM(B11:B12)</f>
        <v>2149.5350661614129</v>
      </c>
      <c r="C10" s="143">
        <f t="shared" si="3"/>
        <v>2250</v>
      </c>
      <c r="D10" s="143">
        <f t="shared" si="1"/>
        <v>-100.46493383858706</v>
      </c>
    </row>
    <row r="11" spans="1:4" ht="15.75" customHeight="1">
      <c r="A11" s="134" t="s">
        <v>332</v>
      </c>
      <c r="B11" s="135">
        <f>-SUMIFS('Task 7b Expense data'!E:E,'Task 7b Expense data'!B:B,$B$1,'Task 7b Expense data'!D:D,$A11)</f>
        <v>1903</v>
      </c>
      <c r="C11" s="136">
        <v>2000</v>
      </c>
      <c r="D11" s="135">
        <f t="shared" si="1"/>
        <v>-97</v>
      </c>
    </row>
    <row r="12" spans="1:4" ht="15.75" customHeight="1">
      <c r="A12" s="144" t="s">
        <v>333</v>
      </c>
      <c r="B12" s="145">
        <f>-SUMIFS('Task 7b Expense data'!E:E,'Task 7b Expense data'!B:B,$B$1,'Task 7b Expense data'!D:D,$A12)</f>
        <v>246.53506616141286</v>
      </c>
      <c r="C12" s="146">
        <v>250</v>
      </c>
      <c r="D12" s="145">
        <f t="shared" si="1"/>
        <v>-3.4649338385871431</v>
      </c>
    </row>
    <row r="13" spans="1:4" ht="15.75" customHeight="1">
      <c r="A13" s="147" t="s">
        <v>334</v>
      </c>
      <c r="B13" s="143">
        <f t="shared" ref="B13:C13" si="4">SUM(B14:B15)</f>
        <v>0</v>
      </c>
      <c r="C13" s="143">
        <f t="shared" si="4"/>
        <v>500</v>
      </c>
      <c r="D13" s="143">
        <f t="shared" si="1"/>
        <v>-500</v>
      </c>
    </row>
    <row r="14" spans="1:4" ht="15.75" customHeight="1">
      <c r="A14" s="134" t="s">
        <v>335</v>
      </c>
      <c r="B14" s="135">
        <f>-SUMIFS('Task 7b Expense data'!E:E,'Task 7b Expense data'!B:B,$B$1,'Task 7b Expense data'!D:D,$A14)</f>
        <v>0</v>
      </c>
      <c r="C14" s="136">
        <v>350</v>
      </c>
      <c r="D14" s="135">
        <f t="shared" si="1"/>
        <v>-350</v>
      </c>
    </row>
    <row r="15" spans="1:4" ht="15.75" customHeight="1">
      <c r="A15" s="144" t="s">
        <v>252</v>
      </c>
      <c r="B15" s="145">
        <f>-SUMIFS('Task 7b Expense data'!E:E,'Task 7b Expense data'!B:B,$B$1,'Task 7b Expense data'!D:D,$A15)</f>
        <v>0</v>
      </c>
      <c r="C15" s="146">
        <v>150</v>
      </c>
      <c r="D15" s="145">
        <f t="shared" si="1"/>
        <v>-150</v>
      </c>
    </row>
    <row r="16" spans="1:4" ht="15.75" customHeight="1">
      <c r="A16" s="147" t="s">
        <v>336</v>
      </c>
      <c r="B16" s="143">
        <f t="shared" ref="B16:C16" si="5">SUM(B17:B18)</f>
        <v>70.918215619169416</v>
      </c>
      <c r="C16" s="143">
        <f t="shared" si="5"/>
        <v>400</v>
      </c>
      <c r="D16" s="143">
        <f t="shared" si="1"/>
        <v>-329.08178438083058</v>
      </c>
    </row>
    <row r="17" spans="1:4" ht="15.75" customHeight="1">
      <c r="A17" s="134" t="s">
        <v>337</v>
      </c>
      <c r="B17" s="135">
        <f>-SUMIFS('Task 7b Expense data'!E:E,'Task 7b Expense data'!B:B,$B$1,'Task 7b Expense data'!D:D,$A17)</f>
        <v>46.45521318072057</v>
      </c>
      <c r="C17" s="136">
        <v>250</v>
      </c>
      <c r="D17" s="135">
        <f t="shared" si="1"/>
        <v>-203.54478681927944</v>
      </c>
    </row>
    <row r="18" spans="1:4" ht="15.75" customHeight="1">
      <c r="A18" s="148" t="s">
        <v>338</v>
      </c>
      <c r="B18" s="149">
        <f>-SUMIFS('Task 7b Expense data'!E:E,'Task 7b Expense data'!B:B,$B$1,'Task 7b Expense data'!D:D,$A18)</f>
        <v>24.463002438448843</v>
      </c>
      <c r="C18" s="150">
        <v>150</v>
      </c>
      <c r="D18" s="149">
        <f t="shared" si="1"/>
        <v>-125.53699756155116</v>
      </c>
    </row>
    <row r="19" spans="1:4" ht="15.75" customHeight="1">
      <c r="A19" s="144" t="s">
        <v>339</v>
      </c>
      <c r="B19" s="145"/>
      <c r="C19" s="146">
        <v>25</v>
      </c>
      <c r="D19" s="145">
        <f t="shared" si="1"/>
        <v>-25</v>
      </c>
    </row>
    <row r="20" spans="1:4" ht="15.75" customHeight="1">
      <c r="A20" s="147" t="s">
        <v>340</v>
      </c>
      <c r="B20" s="143">
        <f t="shared" ref="B20:C20" si="6">SUM(B21:B22)</f>
        <v>3362.1982913524721</v>
      </c>
      <c r="C20" s="143">
        <f t="shared" si="6"/>
        <v>350</v>
      </c>
      <c r="D20" s="143">
        <f t="shared" si="1"/>
        <v>3012.1982913524721</v>
      </c>
    </row>
    <row r="21" spans="1:4" ht="15.75" customHeight="1">
      <c r="A21" s="134" t="s">
        <v>341</v>
      </c>
      <c r="B21" s="135">
        <f>-SUMIFS('Task 7b Expense data'!E:E,'Task 7b Expense data'!B:B,$B$1,'Task 7b Expense data'!D:D,$A21)</f>
        <v>3362.1982913524721</v>
      </c>
      <c r="C21" s="136">
        <v>300</v>
      </c>
      <c r="D21" s="135">
        <f t="shared" si="1"/>
        <v>3062.1982913524721</v>
      </c>
    </row>
    <row r="22" spans="1:4" ht="15.75" customHeight="1">
      <c r="A22" s="144" t="s">
        <v>342</v>
      </c>
      <c r="B22" s="145">
        <f>-SUMIFS('Task 7b Expense data'!E:E,'Task 7b Expense data'!B:B,$B$1,'Task 7b Expense data'!D:D,$A22)</f>
        <v>0</v>
      </c>
      <c r="C22" s="146">
        <v>50</v>
      </c>
      <c r="D22" s="145">
        <f t="shared" si="1"/>
        <v>-50</v>
      </c>
    </row>
    <row r="23" spans="1:4" ht="15.75" customHeight="1">
      <c r="A23" s="147" t="s">
        <v>343</v>
      </c>
      <c r="B23" s="143">
        <f t="shared" ref="B23:C23" si="7">SUM(B24)</f>
        <v>250</v>
      </c>
      <c r="C23" s="143">
        <f t="shared" si="7"/>
        <v>500</v>
      </c>
      <c r="D23" s="143">
        <f t="shared" si="1"/>
        <v>-250</v>
      </c>
    </row>
    <row r="24" spans="1:4" ht="15.75" customHeight="1">
      <c r="A24" s="151" t="s">
        <v>344</v>
      </c>
      <c r="B24" s="152">
        <f>-SUMIFS('Task 7b Expense data'!E:E,'Task 7b Expense data'!B:B,$B$1,'Task 7b Expense data'!D:D,$A24)</f>
        <v>250</v>
      </c>
      <c r="C24" s="153">
        <v>500</v>
      </c>
      <c r="D24" s="152">
        <f t="shared" si="1"/>
        <v>-250</v>
      </c>
    </row>
    <row r="25" spans="1:4" ht="15.75" customHeight="1">
      <c r="A25" s="147" t="s">
        <v>345</v>
      </c>
      <c r="B25" s="143">
        <f t="shared" ref="B25:C25" si="8">SUM(B26:B30)</f>
        <v>135.95585591730844</v>
      </c>
      <c r="C25" s="143">
        <f t="shared" si="8"/>
        <v>1300</v>
      </c>
      <c r="D25" s="143">
        <f t="shared" si="1"/>
        <v>-1164.0441440826917</v>
      </c>
    </row>
    <row r="26" spans="1:4" ht="15.75" customHeight="1">
      <c r="A26" s="134" t="s">
        <v>346</v>
      </c>
      <c r="B26" s="135">
        <f>-SUMIFS('Task 7b Expense data'!E:E,'Task 7b Expense data'!B:B,$B$1,'Task 7b Expense data'!D:D,$A26)</f>
        <v>0</v>
      </c>
      <c r="C26" s="136">
        <v>100</v>
      </c>
      <c r="D26" s="135">
        <f t="shared" si="1"/>
        <v>-100</v>
      </c>
    </row>
    <row r="27" spans="1:4" ht="15.75" customHeight="1">
      <c r="A27" s="148" t="s">
        <v>347</v>
      </c>
      <c r="B27" s="149">
        <f>-SUMIFS('Task 7b Expense data'!E:E,'Task 7b Expense data'!B:B,$B$1,'Task 7b Expense data'!D:D,$A27)</f>
        <v>0</v>
      </c>
      <c r="C27" s="150">
        <v>100</v>
      </c>
      <c r="D27" s="149">
        <f t="shared" si="1"/>
        <v>-100</v>
      </c>
    </row>
    <row r="28" spans="1:4" ht="15.75" customHeight="1">
      <c r="A28" s="148" t="s">
        <v>348</v>
      </c>
      <c r="B28" s="149">
        <f>-SUMIFS('Task 7b Expense data'!E:E,'Task 7b Expense data'!B:B,$B$1,'Task 7b Expense data'!D:D,$A28)</f>
        <v>0</v>
      </c>
      <c r="C28" s="150">
        <v>500</v>
      </c>
      <c r="D28" s="149">
        <f t="shared" si="1"/>
        <v>-500</v>
      </c>
    </row>
    <row r="29" spans="1:4" ht="15.75" customHeight="1">
      <c r="A29" s="148" t="s">
        <v>349</v>
      </c>
      <c r="B29" s="149">
        <f>-SUMIFS('Task 7b Expense data'!E:E,'Task 7b Expense data'!B:B,$B$1,'Task 7b Expense data'!D:D,$A29)</f>
        <v>65.132516807274499</v>
      </c>
      <c r="C29" s="150">
        <v>500</v>
      </c>
      <c r="D29" s="149">
        <f t="shared" si="1"/>
        <v>-434.8674831927255</v>
      </c>
    </row>
    <row r="30" spans="1:4" ht="15.75" customHeight="1">
      <c r="A30" s="137" t="s">
        <v>350</v>
      </c>
      <c r="B30" s="138">
        <f>-SUMIFS('Task 7b Expense data'!E:E,'Task 7b Expense data'!B:B,$B$1,'Task 7b Expense data'!D:D,$A30)</f>
        <v>70.823339110033942</v>
      </c>
      <c r="C30" s="139">
        <v>100</v>
      </c>
      <c r="D30" s="138">
        <f t="shared" si="1"/>
        <v>-29.176660889966058</v>
      </c>
    </row>
    <row r="31" spans="1:4" ht="15.75" customHeight="1">
      <c r="A31" s="154" t="s">
        <v>351</v>
      </c>
      <c r="B31" s="155">
        <f t="shared" ref="B31:C31" si="9">B6-B9</f>
        <v>-424.60742905036295</v>
      </c>
      <c r="C31" s="155">
        <f t="shared" si="9"/>
        <v>244</v>
      </c>
      <c r="D31" s="155">
        <f t="shared" si="1"/>
        <v>-668.60742905036295</v>
      </c>
    </row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B31">
    <cfRule type="cellIs" dxfId="7" priority="1" operator="greaterThanOrEqual">
      <formula>0</formula>
    </cfRule>
  </conditionalFormatting>
  <conditionalFormatting sqref="B31">
    <cfRule type="cellIs" dxfId="6" priority="2" operator="lessThan">
      <formula>0</formula>
    </cfRule>
  </conditionalFormatting>
  <conditionalFormatting sqref="D6">
    <cfRule type="cellIs" dxfId="5" priority="3" operator="lessThan">
      <formula>0</formula>
    </cfRule>
  </conditionalFormatting>
  <conditionalFormatting sqref="D6">
    <cfRule type="cellIs" dxfId="4" priority="4" operator="greaterThan">
      <formula>0</formula>
    </cfRule>
  </conditionalFormatting>
  <conditionalFormatting sqref="D9">
    <cfRule type="cellIs" dxfId="3" priority="5" operator="greaterThan">
      <formula>0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0000000}">
          <x14:formula1>
            <xm:f>'Task 7 &amp; 8 Solution data'!$B$2:$B$101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K1000"/>
  <sheetViews>
    <sheetView workbookViewId="0"/>
  </sheetViews>
  <sheetFormatPr defaultColWidth="12.6640625" defaultRowHeight="15" customHeight="1"/>
  <cols>
    <col min="1" max="2" width="17.21875" customWidth="1"/>
    <col min="3" max="3" width="26.77734375" customWidth="1"/>
    <col min="4" max="4" width="19.88671875" customWidth="1"/>
    <col min="5" max="5" width="18.33203125" customWidth="1"/>
    <col min="6" max="7" width="17.77734375" customWidth="1"/>
    <col min="8" max="8" width="14.33203125" customWidth="1"/>
    <col min="9" max="9" width="13" customWidth="1"/>
    <col min="10" max="10" width="29.109375" customWidth="1"/>
    <col min="11" max="11" width="25.88671875" customWidth="1"/>
    <col min="12" max="28" width="14.33203125" customWidth="1"/>
  </cols>
  <sheetData>
    <row r="1" spans="1:11" ht="15.75" customHeight="1">
      <c r="A1" s="156" t="s">
        <v>352</v>
      </c>
      <c r="B1" s="157" t="s">
        <v>353</v>
      </c>
      <c r="C1" s="158" t="s">
        <v>354</v>
      </c>
      <c r="D1" s="158" t="s">
        <v>355</v>
      </c>
      <c r="E1" s="159" t="s">
        <v>356</v>
      </c>
      <c r="F1" s="158" t="s">
        <v>357</v>
      </c>
      <c r="G1" s="160" t="s">
        <v>358</v>
      </c>
      <c r="I1" s="158" t="s">
        <v>357</v>
      </c>
      <c r="J1" s="161" t="s">
        <v>359</v>
      </c>
      <c r="K1" s="161" t="s">
        <v>360</v>
      </c>
    </row>
    <row r="2" spans="1:11" ht="15.75" customHeight="1">
      <c r="A2" s="162">
        <v>43145</v>
      </c>
      <c r="B2" s="162" t="str">
        <f t="shared" ref="B2:B101" si="0">TEXT(A2,"mmmm")&amp;" "&amp;TEXT(A2,"yyy")</f>
        <v>February 2018</v>
      </c>
      <c r="C2" s="22" t="s">
        <v>361</v>
      </c>
      <c r="D2" s="22" t="s">
        <v>344</v>
      </c>
      <c r="E2" s="30">
        <v>-250</v>
      </c>
      <c r="F2" s="22" t="s">
        <v>362</v>
      </c>
      <c r="G2" s="22" t="str">
        <f t="shared" ref="G2:G101" si="1">VLOOKUP(F2,$I$2:$K$8,3,FALSE)</f>
        <v>Family</v>
      </c>
      <c r="I2" s="22" t="s">
        <v>362</v>
      </c>
      <c r="J2" s="22" t="s">
        <v>363</v>
      </c>
      <c r="K2" s="22" t="s">
        <v>364</v>
      </c>
    </row>
    <row r="3" spans="1:11" ht="15.75" customHeight="1">
      <c r="A3" s="162">
        <v>43145</v>
      </c>
      <c r="B3" s="162" t="str">
        <f t="shared" si="0"/>
        <v>February 2018</v>
      </c>
      <c r="C3" s="22" t="s">
        <v>365</v>
      </c>
      <c r="D3" s="22" t="s">
        <v>339</v>
      </c>
      <c r="E3" s="30">
        <v>-10.095479406824349</v>
      </c>
      <c r="F3" s="22" t="s">
        <v>366</v>
      </c>
      <c r="G3" s="22" t="str">
        <f t="shared" si="1"/>
        <v>Daughter</v>
      </c>
      <c r="I3" s="22" t="s">
        <v>367</v>
      </c>
      <c r="J3" s="22" t="s">
        <v>368</v>
      </c>
      <c r="K3" s="22" t="s">
        <v>369</v>
      </c>
    </row>
    <row r="4" spans="1:11" ht="15.75" customHeight="1">
      <c r="A4" s="162">
        <v>43144</v>
      </c>
      <c r="B4" s="162" t="str">
        <f t="shared" si="0"/>
        <v>February 2018</v>
      </c>
      <c r="C4" s="22" t="s">
        <v>370</v>
      </c>
      <c r="D4" s="22" t="s">
        <v>341</v>
      </c>
      <c r="E4" s="30">
        <v>-38.689165809099251</v>
      </c>
      <c r="F4" s="22" t="s">
        <v>367</v>
      </c>
      <c r="G4" s="22" t="str">
        <f t="shared" si="1"/>
        <v>Dad</v>
      </c>
      <c r="I4" s="22" t="s">
        <v>371</v>
      </c>
      <c r="J4" s="22" t="s">
        <v>372</v>
      </c>
      <c r="K4" s="22" t="s">
        <v>369</v>
      </c>
    </row>
    <row r="5" spans="1:11" ht="15.75" customHeight="1">
      <c r="A5" s="162">
        <v>43143</v>
      </c>
      <c r="B5" s="162" t="str">
        <f t="shared" si="0"/>
        <v>February 2018</v>
      </c>
      <c r="C5" s="22" t="s">
        <v>373</v>
      </c>
      <c r="D5" s="22" t="s">
        <v>349</v>
      </c>
      <c r="E5" s="30">
        <v>-39.323944970056019</v>
      </c>
      <c r="F5" s="22" t="s">
        <v>374</v>
      </c>
      <c r="G5" s="22" t="str">
        <f t="shared" si="1"/>
        <v>Dad</v>
      </c>
      <c r="I5" s="22" t="s">
        <v>375</v>
      </c>
      <c r="J5" s="22" t="s">
        <v>376</v>
      </c>
      <c r="K5" s="22" t="s">
        <v>377</v>
      </c>
    </row>
    <row r="6" spans="1:11" ht="15.75" customHeight="1">
      <c r="A6" s="162">
        <v>43142</v>
      </c>
      <c r="B6" s="162" t="str">
        <f t="shared" si="0"/>
        <v>February 2018</v>
      </c>
      <c r="C6" s="22" t="s">
        <v>378</v>
      </c>
      <c r="D6" s="22" t="s">
        <v>341</v>
      </c>
      <c r="E6" s="30">
        <v>-3251.3820558013899</v>
      </c>
      <c r="F6" s="22" t="s">
        <v>374</v>
      </c>
      <c r="G6" s="22" t="str">
        <f t="shared" si="1"/>
        <v>Dad</v>
      </c>
      <c r="I6" s="22" t="s">
        <v>366</v>
      </c>
      <c r="J6" s="22" t="s">
        <v>379</v>
      </c>
      <c r="K6" s="22" t="s">
        <v>380</v>
      </c>
    </row>
    <row r="7" spans="1:11" ht="15.75" customHeight="1">
      <c r="A7" s="162">
        <v>43141</v>
      </c>
      <c r="B7" s="162" t="str">
        <f t="shared" si="0"/>
        <v>February 2018</v>
      </c>
      <c r="C7" s="22" t="s">
        <v>381</v>
      </c>
      <c r="D7" s="22" t="s">
        <v>349</v>
      </c>
      <c r="E7" s="30">
        <v>-25.808571837218487</v>
      </c>
      <c r="F7" s="22" t="s">
        <v>371</v>
      </c>
      <c r="G7" s="22" t="str">
        <f t="shared" si="1"/>
        <v>Dad</v>
      </c>
      <c r="I7" s="22" t="s">
        <v>382</v>
      </c>
      <c r="J7" s="22" t="s">
        <v>383</v>
      </c>
      <c r="K7" s="22" t="s">
        <v>377</v>
      </c>
    </row>
    <row r="8" spans="1:11" ht="15.75" customHeight="1">
      <c r="A8" s="162">
        <v>43140</v>
      </c>
      <c r="B8" s="162" t="str">
        <f t="shared" si="0"/>
        <v>February 2018</v>
      </c>
      <c r="C8" s="22" t="s">
        <v>384</v>
      </c>
      <c r="D8" s="22" t="s">
        <v>332</v>
      </c>
      <c r="E8" s="30">
        <v>-1903</v>
      </c>
      <c r="F8" s="22" t="s">
        <v>362</v>
      </c>
      <c r="G8" s="22" t="str">
        <f t="shared" si="1"/>
        <v>Family</v>
      </c>
      <c r="I8" s="22" t="s">
        <v>374</v>
      </c>
      <c r="J8" s="22" t="s">
        <v>385</v>
      </c>
      <c r="K8" s="22" t="s">
        <v>369</v>
      </c>
    </row>
    <row r="9" spans="1:11" ht="15.75" customHeight="1">
      <c r="A9" s="162">
        <v>43140</v>
      </c>
      <c r="B9" s="162" t="str">
        <f t="shared" si="0"/>
        <v>February 2018</v>
      </c>
      <c r="C9" s="22" t="s">
        <v>328</v>
      </c>
      <c r="D9" s="22" t="s">
        <v>328</v>
      </c>
      <c r="E9" s="163">
        <v>5544</v>
      </c>
      <c r="F9" s="22" t="s">
        <v>362</v>
      </c>
      <c r="G9" s="22" t="str">
        <f t="shared" si="1"/>
        <v>Family</v>
      </c>
    </row>
    <row r="10" spans="1:11" ht="15.75" customHeight="1">
      <c r="A10" s="162">
        <v>43140</v>
      </c>
      <c r="B10" s="162" t="str">
        <f t="shared" si="0"/>
        <v>February 2018</v>
      </c>
      <c r="C10" s="22" t="s">
        <v>386</v>
      </c>
      <c r="D10" s="22" t="s">
        <v>350</v>
      </c>
      <c r="E10" s="30">
        <v>-9.1152874139295825</v>
      </c>
      <c r="F10" s="22" t="s">
        <v>371</v>
      </c>
      <c r="G10" s="22" t="str">
        <f t="shared" si="1"/>
        <v>Dad</v>
      </c>
    </row>
    <row r="11" spans="1:11" ht="15.75" customHeight="1">
      <c r="A11" s="162">
        <v>43139</v>
      </c>
      <c r="B11" s="162" t="str">
        <f t="shared" si="0"/>
        <v>February 2018</v>
      </c>
      <c r="C11" s="22" t="s">
        <v>387</v>
      </c>
      <c r="D11" s="22" t="s">
        <v>338</v>
      </c>
      <c r="E11" s="30">
        <v>-8.9280584789857258</v>
      </c>
      <c r="F11" s="22" t="s">
        <v>382</v>
      </c>
      <c r="G11" s="22" t="str">
        <f t="shared" si="1"/>
        <v>Mom</v>
      </c>
    </row>
    <row r="12" spans="1:11" ht="15.75" customHeight="1">
      <c r="A12" s="162">
        <v>43139</v>
      </c>
      <c r="B12" s="162" t="str">
        <f t="shared" si="0"/>
        <v>February 2018</v>
      </c>
      <c r="C12" s="22" t="s">
        <v>388</v>
      </c>
      <c r="D12" s="22" t="s">
        <v>337</v>
      </c>
      <c r="E12" s="30">
        <v>-46.45521318072057</v>
      </c>
      <c r="F12" s="22" t="s">
        <v>367</v>
      </c>
      <c r="G12" s="22" t="str">
        <f t="shared" si="1"/>
        <v>Dad</v>
      </c>
    </row>
    <row r="13" spans="1:11" ht="15.75" customHeight="1">
      <c r="A13" s="162">
        <v>43138</v>
      </c>
      <c r="B13" s="162" t="str">
        <f t="shared" si="0"/>
        <v>February 2018</v>
      </c>
      <c r="C13" s="22" t="s">
        <v>389</v>
      </c>
      <c r="D13" s="22" t="s">
        <v>333</v>
      </c>
      <c r="E13" s="30">
        <v>-246.53506616141286</v>
      </c>
      <c r="F13" s="22" t="s">
        <v>374</v>
      </c>
      <c r="G13" s="22" t="str">
        <f t="shared" si="1"/>
        <v>Dad</v>
      </c>
    </row>
    <row r="14" spans="1:11" ht="15.75" customHeight="1">
      <c r="A14" s="162">
        <v>43137</v>
      </c>
      <c r="B14" s="162" t="str">
        <f t="shared" si="0"/>
        <v>February 2018</v>
      </c>
      <c r="C14" s="22" t="s">
        <v>390</v>
      </c>
      <c r="D14" s="22" t="s">
        <v>350</v>
      </c>
      <c r="E14" s="30">
        <v>-1.5893293546870486</v>
      </c>
      <c r="F14" s="22" t="s">
        <v>375</v>
      </c>
      <c r="G14" s="22" t="str">
        <f t="shared" si="1"/>
        <v>Mom</v>
      </c>
    </row>
    <row r="15" spans="1:11" ht="15.75" customHeight="1">
      <c r="A15" s="162">
        <v>43136</v>
      </c>
      <c r="B15" s="162" t="str">
        <f t="shared" si="0"/>
        <v>February 2018</v>
      </c>
      <c r="C15" s="22" t="s">
        <v>391</v>
      </c>
      <c r="D15" s="22" t="s">
        <v>338</v>
      </c>
      <c r="E15" s="30">
        <v>-15.534943959463117</v>
      </c>
      <c r="F15" s="22" t="s">
        <v>367</v>
      </c>
      <c r="G15" s="22" t="str">
        <f t="shared" si="1"/>
        <v>Dad</v>
      </c>
    </row>
    <row r="16" spans="1:11" ht="15.75" customHeight="1">
      <c r="A16" s="162">
        <v>43136</v>
      </c>
      <c r="B16" s="162" t="str">
        <f t="shared" si="0"/>
        <v>February 2018</v>
      </c>
      <c r="C16" s="22" t="s">
        <v>392</v>
      </c>
      <c r="D16" s="22" t="s">
        <v>350</v>
      </c>
      <c r="E16" s="30">
        <v>-18.083209013978067</v>
      </c>
      <c r="F16" s="22" t="s">
        <v>375</v>
      </c>
      <c r="G16" s="22" t="str">
        <f t="shared" si="1"/>
        <v>Mom</v>
      </c>
    </row>
    <row r="17" spans="1:7" ht="15.75" customHeight="1">
      <c r="A17" s="162">
        <v>43135</v>
      </c>
      <c r="B17" s="162" t="str">
        <f t="shared" si="0"/>
        <v>February 2018</v>
      </c>
      <c r="C17" s="22" t="s">
        <v>393</v>
      </c>
      <c r="D17" s="22" t="s">
        <v>350</v>
      </c>
      <c r="E17" s="30">
        <v>-35.848294657848044</v>
      </c>
      <c r="F17" s="22" t="s">
        <v>374</v>
      </c>
      <c r="G17" s="22" t="str">
        <f t="shared" si="1"/>
        <v>Dad</v>
      </c>
    </row>
    <row r="18" spans="1:7" ht="15.75" customHeight="1">
      <c r="A18" s="162">
        <v>43134</v>
      </c>
      <c r="B18" s="162" t="str">
        <f t="shared" si="0"/>
        <v>February 2018</v>
      </c>
      <c r="C18" s="22" t="s">
        <v>394</v>
      </c>
      <c r="D18" s="22" t="s">
        <v>341</v>
      </c>
      <c r="E18" s="30">
        <v>-27.690756578335399</v>
      </c>
      <c r="F18" s="22" t="s">
        <v>367</v>
      </c>
      <c r="G18" s="22" t="str">
        <f t="shared" si="1"/>
        <v>Dad</v>
      </c>
    </row>
    <row r="19" spans="1:7" ht="15.75" customHeight="1">
      <c r="A19" s="162">
        <v>43133</v>
      </c>
      <c r="B19" s="162" t="str">
        <f t="shared" si="0"/>
        <v>February 2018</v>
      </c>
      <c r="C19" s="22" t="s">
        <v>395</v>
      </c>
      <c r="D19" s="22" t="s">
        <v>341</v>
      </c>
      <c r="E19" s="30">
        <v>-25.280933498351065</v>
      </c>
      <c r="F19" s="22" t="s">
        <v>367</v>
      </c>
      <c r="G19" s="22" t="str">
        <f t="shared" si="1"/>
        <v>Dad</v>
      </c>
    </row>
    <row r="20" spans="1:7" ht="15.75" customHeight="1">
      <c r="A20" s="162">
        <v>43132</v>
      </c>
      <c r="B20" s="162" t="str">
        <f t="shared" si="0"/>
        <v>February 2018</v>
      </c>
      <c r="C20" s="22" t="s">
        <v>396</v>
      </c>
      <c r="D20" s="22" t="s">
        <v>341</v>
      </c>
      <c r="E20" s="30">
        <v>-19.15537966529622</v>
      </c>
      <c r="F20" s="22" t="s">
        <v>367</v>
      </c>
      <c r="G20" s="22" t="str">
        <f t="shared" si="1"/>
        <v>Dad</v>
      </c>
    </row>
    <row r="21" spans="1:7" ht="15.75" customHeight="1">
      <c r="A21" s="162">
        <v>43132</v>
      </c>
      <c r="B21" s="162" t="str">
        <f t="shared" si="0"/>
        <v>February 2018</v>
      </c>
      <c r="C21" s="22" t="s">
        <v>397</v>
      </c>
      <c r="D21" s="22" t="s">
        <v>350</v>
      </c>
      <c r="E21" s="30">
        <v>-6.1872186695911999</v>
      </c>
      <c r="F21" s="22" t="s">
        <v>382</v>
      </c>
      <c r="G21" s="22" t="str">
        <f t="shared" si="1"/>
        <v>Mom</v>
      </c>
    </row>
    <row r="22" spans="1:7" ht="15.75" customHeight="1">
      <c r="A22" s="162">
        <v>43131</v>
      </c>
      <c r="B22" s="162" t="str">
        <f t="shared" si="0"/>
        <v>January 2018</v>
      </c>
      <c r="C22" s="22" t="s">
        <v>398</v>
      </c>
      <c r="D22" s="22" t="s">
        <v>338</v>
      </c>
      <c r="E22" s="30">
        <v>-2.1049544549337211</v>
      </c>
      <c r="F22" s="22" t="s">
        <v>366</v>
      </c>
      <c r="G22" s="22" t="str">
        <f t="shared" si="1"/>
        <v>Daughter</v>
      </c>
    </row>
    <row r="23" spans="1:7" ht="15.75" customHeight="1">
      <c r="A23" s="162">
        <v>43131</v>
      </c>
      <c r="B23" s="162" t="str">
        <f t="shared" si="0"/>
        <v>January 2018</v>
      </c>
      <c r="C23" s="22" t="s">
        <v>399</v>
      </c>
      <c r="D23" s="22" t="s">
        <v>335</v>
      </c>
      <c r="E23" s="30">
        <v>-164.34778223566545</v>
      </c>
      <c r="F23" s="22" t="s">
        <v>374</v>
      </c>
      <c r="G23" s="22" t="str">
        <f t="shared" si="1"/>
        <v>Dad</v>
      </c>
    </row>
    <row r="24" spans="1:7" ht="15.75" customHeight="1">
      <c r="A24" s="162">
        <v>43130</v>
      </c>
      <c r="B24" s="162" t="str">
        <f t="shared" si="0"/>
        <v>January 2018</v>
      </c>
      <c r="C24" s="22" t="s">
        <v>400</v>
      </c>
      <c r="D24" s="22" t="s">
        <v>346</v>
      </c>
      <c r="E24" s="30">
        <v>-156.1</v>
      </c>
      <c r="F24" s="22" t="s">
        <v>366</v>
      </c>
      <c r="G24" s="22" t="str">
        <f t="shared" si="1"/>
        <v>Daughter</v>
      </c>
    </row>
    <row r="25" spans="1:7" ht="15.75" customHeight="1">
      <c r="A25" s="162">
        <v>43129</v>
      </c>
      <c r="B25" s="162" t="str">
        <f t="shared" si="0"/>
        <v>January 2018</v>
      </c>
      <c r="C25" s="22" t="s">
        <v>401</v>
      </c>
      <c r="D25" s="22" t="s">
        <v>344</v>
      </c>
      <c r="E25" s="30">
        <v>-400</v>
      </c>
      <c r="F25" s="22" t="s">
        <v>375</v>
      </c>
      <c r="G25" s="22" t="str">
        <f t="shared" si="1"/>
        <v>Mom</v>
      </c>
    </row>
    <row r="26" spans="1:7" ht="15.75" customHeight="1">
      <c r="A26" s="162">
        <v>43128</v>
      </c>
      <c r="B26" s="162" t="str">
        <f t="shared" si="0"/>
        <v>January 2018</v>
      </c>
      <c r="C26" s="22" t="s">
        <v>402</v>
      </c>
      <c r="D26" s="22" t="s">
        <v>337</v>
      </c>
      <c r="E26" s="30">
        <v>-69.099999999999994</v>
      </c>
      <c r="F26" s="22" t="s">
        <v>367</v>
      </c>
      <c r="G26" s="22" t="str">
        <f t="shared" si="1"/>
        <v>Dad</v>
      </c>
    </row>
    <row r="27" spans="1:7" ht="15.75" customHeight="1">
      <c r="A27" s="162">
        <v>43127</v>
      </c>
      <c r="B27" s="162" t="str">
        <f t="shared" si="0"/>
        <v>January 2018</v>
      </c>
      <c r="C27" s="22" t="s">
        <v>393</v>
      </c>
      <c r="D27" s="22" t="s">
        <v>350</v>
      </c>
      <c r="E27" s="30">
        <v>-56.98</v>
      </c>
      <c r="F27" s="22" t="s">
        <v>374</v>
      </c>
      <c r="G27" s="22" t="str">
        <f t="shared" si="1"/>
        <v>Dad</v>
      </c>
    </row>
    <row r="28" spans="1:7" ht="15.75" customHeight="1">
      <c r="A28" s="162">
        <v>43126</v>
      </c>
      <c r="B28" s="162" t="str">
        <f t="shared" si="0"/>
        <v>January 2018</v>
      </c>
      <c r="C28" s="22" t="s">
        <v>394</v>
      </c>
      <c r="D28" s="22" t="s">
        <v>341</v>
      </c>
      <c r="E28" s="30">
        <v>-37.619999999999997</v>
      </c>
      <c r="F28" s="22" t="s">
        <v>367</v>
      </c>
      <c r="G28" s="22" t="str">
        <f t="shared" si="1"/>
        <v>Dad</v>
      </c>
    </row>
    <row r="29" spans="1:7" ht="15.75" customHeight="1">
      <c r="A29" s="162">
        <v>43126</v>
      </c>
      <c r="B29" s="162" t="str">
        <f t="shared" si="0"/>
        <v>January 2018</v>
      </c>
      <c r="C29" s="22" t="s">
        <v>403</v>
      </c>
      <c r="D29" s="22" t="s">
        <v>350</v>
      </c>
      <c r="E29" s="30">
        <v>-10</v>
      </c>
      <c r="F29" s="22" t="s">
        <v>382</v>
      </c>
      <c r="G29" s="22" t="str">
        <f t="shared" si="1"/>
        <v>Mom</v>
      </c>
    </row>
    <row r="30" spans="1:7" ht="15.75" customHeight="1">
      <c r="A30" s="162">
        <v>43125</v>
      </c>
      <c r="B30" s="162" t="str">
        <f t="shared" si="0"/>
        <v>January 2018</v>
      </c>
      <c r="C30" s="22" t="s">
        <v>370</v>
      </c>
      <c r="D30" s="22" t="s">
        <v>341</v>
      </c>
      <c r="E30" s="30">
        <v>-47.83</v>
      </c>
      <c r="F30" s="22" t="s">
        <v>367</v>
      </c>
      <c r="G30" s="22" t="str">
        <f t="shared" si="1"/>
        <v>Dad</v>
      </c>
    </row>
    <row r="31" spans="1:7" ht="15.75" customHeight="1">
      <c r="A31" s="162">
        <v>43124</v>
      </c>
      <c r="B31" s="162" t="str">
        <f t="shared" si="0"/>
        <v>January 2018</v>
      </c>
      <c r="C31" s="22" t="s">
        <v>373</v>
      </c>
      <c r="D31" s="22" t="s">
        <v>347</v>
      </c>
      <c r="E31" s="30">
        <v>-55.82</v>
      </c>
      <c r="F31" s="22" t="s">
        <v>374</v>
      </c>
      <c r="G31" s="22" t="str">
        <f t="shared" si="1"/>
        <v>Dad</v>
      </c>
    </row>
    <row r="32" spans="1:7" ht="15.75" customHeight="1">
      <c r="A32" s="162">
        <v>43123</v>
      </c>
      <c r="B32" s="162" t="str">
        <f t="shared" si="0"/>
        <v>January 2018</v>
      </c>
      <c r="C32" s="22" t="s">
        <v>404</v>
      </c>
      <c r="D32" s="22" t="s">
        <v>344</v>
      </c>
      <c r="E32" s="30">
        <v>-400</v>
      </c>
      <c r="F32" s="22" t="s">
        <v>362</v>
      </c>
      <c r="G32" s="22" t="str">
        <f t="shared" si="1"/>
        <v>Family</v>
      </c>
    </row>
    <row r="33" spans="1:7" ht="15.75" customHeight="1">
      <c r="A33" s="162">
        <v>43122</v>
      </c>
      <c r="B33" s="162" t="str">
        <f t="shared" si="0"/>
        <v>January 2018</v>
      </c>
      <c r="C33" s="22" t="s">
        <v>405</v>
      </c>
      <c r="D33" s="22" t="s">
        <v>348</v>
      </c>
      <c r="E33" s="30">
        <v>-740</v>
      </c>
      <c r="F33" s="22" t="s">
        <v>362</v>
      </c>
      <c r="G33" s="22" t="str">
        <f t="shared" si="1"/>
        <v>Family</v>
      </c>
    </row>
    <row r="34" spans="1:7" ht="15.75" customHeight="1">
      <c r="A34" s="162">
        <v>43122</v>
      </c>
      <c r="B34" s="162" t="str">
        <f t="shared" si="0"/>
        <v>January 2018</v>
      </c>
      <c r="C34" s="22" t="s">
        <v>390</v>
      </c>
      <c r="D34" s="22" t="s">
        <v>350</v>
      </c>
      <c r="E34" s="30">
        <v>-2.99</v>
      </c>
      <c r="F34" s="22" t="s">
        <v>375</v>
      </c>
      <c r="G34" s="22" t="str">
        <f t="shared" si="1"/>
        <v>Mom</v>
      </c>
    </row>
    <row r="35" spans="1:7" ht="15.75" customHeight="1">
      <c r="A35" s="162">
        <v>43121</v>
      </c>
      <c r="B35" s="162" t="str">
        <f t="shared" si="0"/>
        <v>January 2018</v>
      </c>
      <c r="C35" s="22" t="s">
        <v>391</v>
      </c>
      <c r="D35" s="22" t="s">
        <v>338</v>
      </c>
      <c r="E35" s="30">
        <v>-18.18</v>
      </c>
      <c r="F35" s="22" t="s">
        <v>367</v>
      </c>
      <c r="G35" s="22" t="str">
        <f t="shared" si="1"/>
        <v>Dad</v>
      </c>
    </row>
    <row r="36" spans="1:7" ht="15.75" customHeight="1">
      <c r="A36" s="162">
        <v>43119</v>
      </c>
      <c r="B36" s="162" t="str">
        <f t="shared" si="0"/>
        <v>January 2018</v>
      </c>
      <c r="C36" s="22" t="s">
        <v>378</v>
      </c>
      <c r="D36" s="22" t="s">
        <v>341</v>
      </c>
      <c r="E36" s="30">
        <v>-435.11</v>
      </c>
      <c r="F36" s="22" t="s">
        <v>374</v>
      </c>
      <c r="G36" s="22" t="str">
        <f t="shared" si="1"/>
        <v>Dad</v>
      </c>
    </row>
    <row r="37" spans="1:7" ht="15.75" customHeight="1">
      <c r="A37" s="162">
        <v>43118</v>
      </c>
      <c r="B37" s="162" t="str">
        <f t="shared" si="0"/>
        <v>January 2018</v>
      </c>
      <c r="C37" s="22" t="s">
        <v>381</v>
      </c>
      <c r="D37" s="22" t="s">
        <v>349</v>
      </c>
      <c r="E37" s="30">
        <v>-30</v>
      </c>
      <c r="F37" s="22" t="s">
        <v>371</v>
      </c>
      <c r="G37" s="22" t="str">
        <f t="shared" si="1"/>
        <v>Dad</v>
      </c>
    </row>
    <row r="38" spans="1:7" ht="15.75" customHeight="1">
      <c r="A38" s="162">
        <v>43116</v>
      </c>
      <c r="B38" s="162" t="str">
        <f t="shared" si="0"/>
        <v>January 2018</v>
      </c>
      <c r="C38" s="22" t="s">
        <v>406</v>
      </c>
      <c r="D38" s="22" t="s">
        <v>337</v>
      </c>
      <c r="E38" s="30">
        <v>-23</v>
      </c>
      <c r="F38" s="22" t="s">
        <v>367</v>
      </c>
      <c r="G38" s="22" t="str">
        <f t="shared" si="1"/>
        <v>Dad</v>
      </c>
    </row>
    <row r="39" spans="1:7" ht="15.75" customHeight="1">
      <c r="A39" s="162">
        <v>43115</v>
      </c>
      <c r="B39" s="162" t="str">
        <f t="shared" si="0"/>
        <v>January 2018</v>
      </c>
      <c r="C39" s="22" t="s">
        <v>407</v>
      </c>
      <c r="D39" s="22" t="s">
        <v>329</v>
      </c>
      <c r="E39" s="163">
        <v>923</v>
      </c>
      <c r="F39" s="22" t="s">
        <v>362</v>
      </c>
      <c r="G39" s="22" t="str">
        <f t="shared" si="1"/>
        <v>Family</v>
      </c>
    </row>
    <row r="40" spans="1:7" ht="15.75" customHeight="1">
      <c r="A40" s="162">
        <v>43114</v>
      </c>
      <c r="B40" s="162" t="str">
        <f t="shared" si="0"/>
        <v>January 2018</v>
      </c>
      <c r="C40" s="22" t="s">
        <v>408</v>
      </c>
      <c r="D40" s="22" t="s">
        <v>338</v>
      </c>
      <c r="E40" s="30">
        <v>-7.25</v>
      </c>
      <c r="F40" s="22" t="s">
        <v>382</v>
      </c>
      <c r="G40" s="22" t="str">
        <f t="shared" si="1"/>
        <v>Mom</v>
      </c>
    </row>
    <row r="41" spans="1:7" ht="15.75" customHeight="1">
      <c r="A41" s="162">
        <v>43114</v>
      </c>
      <c r="B41" s="162" t="str">
        <f t="shared" si="0"/>
        <v>January 2018</v>
      </c>
      <c r="C41" s="22" t="s">
        <v>409</v>
      </c>
      <c r="D41" s="22" t="s">
        <v>338</v>
      </c>
      <c r="E41" s="30">
        <v>-16.350000000000001</v>
      </c>
      <c r="F41" s="22" t="s">
        <v>374</v>
      </c>
      <c r="G41" s="22" t="str">
        <f t="shared" si="1"/>
        <v>Dad</v>
      </c>
    </row>
    <row r="42" spans="1:7" ht="15.75" customHeight="1">
      <c r="A42" s="162">
        <v>43113</v>
      </c>
      <c r="B42" s="162" t="str">
        <f t="shared" si="0"/>
        <v>January 2018</v>
      </c>
      <c r="C42" s="22" t="s">
        <v>410</v>
      </c>
      <c r="D42" s="22" t="s">
        <v>252</v>
      </c>
      <c r="E42" s="30">
        <v>-125.43</v>
      </c>
      <c r="F42" s="22" t="s">
        <v>375</v>
      </c>
      <c r="G42" s="22" t="str">
        <f t="shared" si="1"/>
        <v>Mom</v>
      </c>
    </row>
    <row r="43" spans="1:7" ht="15.75" customHeight="1">
      <c r="A43" s="162">
        <v>43112</v>
      </c>
      <c r="B43" s="162" t="str">
        <f t="shared" si="0"/>
        <v>January 2018</v>
      </c>
      <c r="C43" s="22" t="s">
        <v>365</v>
      </c>
      <c r="D43" s="22" t="s">
        <v>338</v>
      </c>
      <c r="E43" s="30">
        <v>-12.51</v>
      </c>
      <c r="F43" s="22" t="s">
        <v>366</v>
      </c>
      <c r="G43" s="22" t="str">
        <f t="shared" si="1"/>
        <v>Daughter</v>
      </c>
    </row>
    <row r="44" spans="1:7" ht="15.75" customHeight="1">
      <c r="A44" s="162">
        <v>43111</v>
      </c>
      <c r="B44" s="162" t="str">
        <f t="shared" si="0"/>
        <v>January 2018</v>
      </c>
      <c r="C44" s="22" t="s">
        <v>411</v>
      </c>
      <c r="D44" s="22" t="s">
        <v>252</v>
      </c>
      <c r="E44" s="30">
        <v>-43.73</v>
      </c>
      <c r="F44" s="22" t="s">
        <v>375</v>
      </c>
      <c r="G44" s="22" t="str">
        <f t="shared" si="1"/>
        <v>Mom</v>
      </c>
    </row>
    <row r="45" spans="1:7" ht="15.75" customHeight="1">
      <c r="A45" s="162">
        <v>43110</v>
      </c>
      <c r="B45" s="162" t="str">
        <f t="shared" si="0"/>
        <v>January 2018</v>
      </c>
      <c r="C45" s="22" t="s">
        <v>412</v>
      </c>
      <c r="D45" s="22" t="s">
        <v>338</v>
      </c>
      <c r="E45" s="30">
        <v>-72.28</v>
      </c>
      <c r="F45" s="22" t="s">
        <v>382</v>
      </c>
      <c r="G45" s="22" t="str">
        <f t="shared" si="1"/>
        <v>Mom</v>
      </c>
    </row>
    <row r="46" spans="1:7" ht="15.75" customHeight="1">
      <c r="A46" s="162">
        <v>43110</v>
      </c>
      <c r="B46" s="162" t="str">
        <f t="shared" si="0"/>
        <v>January 2018</v>
      </c>
      <c r="C46" s="22" t="s">
        <v>413</v>
      </c>
      <c r="D46" s="22" t="s">
        <v>337</v>
      </c>
      <c r="E46" s="30">
        <v>-108.91</v>
      </c>
      <c r="F46" s="22" t="s">
        <v>367</v>
      </c>
      <c r="G46" s="22" t="str">
        <f t="shared" si="1"/>
        <v>Dad</v>
      </c>
    </row>
    <row r="47" spans="1:7" ht="15.75" customHeight="1">
      <c r="A47" s="162">
        <v>43110</v>
      </c>
      <c r="B47" s="162" t="str">
        <f t="shared" si="0"/>
        <v>January 2018</v>
      </c>
      <c r="C47" s="22" t="s">
        <v>384</v>
      </c>
      <c r="D47" s="22" t="s">
        <v>332</v>
      </c>
      <c r="E47" s="30">
        <v>-1903</v>
      </c>
      <c r="F47" s="22" t="s">
        <v>362</v>
      </c>
      <c r="G47" s="22" t="str">
        <f t="shared" si="1"/>
        <v>Family</v>
      </c>
    </row>
    <row r="48" spans="1:7" ht="15.75" customHeight="1">
      <c r="A48" s="162">
        <v>43110</v>
      </c>
      <c r="B48" s="162" t="str">
        <f t="shared" si="0"/>
        <v>January 2018</v>
      </c>
      <c r="C48" s="22" t="s">
        <v>328</v>
      </c>
      <c r="D48" s="22" t="s">
        <v>328</v>
      </c>
      <c r="E48" s="163">
        <v>5544</v>
      </c>
      <c r="F48" s="22" t="s">
        <v>362</v>
      </c>
      <c r="G48" s="22" t="str">
        <f t="shared" si="1"/>
        <v>Family</v>
      </c>
    </row>
    <row r="49" spans="1:7" ht="15.75" customHeight="1">
      <c r="A49" s="162">
        <v>43110</v>
      </c>
      <c r="B49" s="162" t="str">
        <f t="shared" si="0"/>
        <v>January 2018</v>
      </c>
      <c r="C49" s="22" t="s">
        <v>386</v>
      </c>
      <c r="D49" s="22" t="s">
        <v>350</v>
      </c>
      <c r="E49" s="30">
        <v>-16.18</v>
      </c>
      <c r="F49" s="22" t="s">
        <v>371</v>
      </c>
      <c r="G49" s="22" t="str">
        <f t="shared" si="1"/>
        <v>Dad</v>
      </c>
    </row>
    <row r="50" spans="1:7" ht="15.75" customHeight="1">
      <c r="A50" s="162">
        <v>43109</v>
      </c>
      <c r="B50" s="162" t="str">
        <f t="shared" si="0"/>
        <v>January 2018</v>
      </c>
      <c r="C50" s="22" t="s">
        <v>414</v>
      </c>
      <c r="D50" s="22" t="s">
        <v>349</v>
      </c>
      <c r="E50" s="30">
        <v>-513.97</v>
      </c>
      <c r="F50" s="22" t="s">
        <v>375</v>
      </c>
      <c r="G50" s="22" t="str">
        <f t="shared" si="1"/>
        <v>Mom</v>
      </c>
    </row>
    <row r="51" spans="1:7" ht="15.75" customHeight="1">
      <c r="A51" s="162">
        <v>43109</v>
      </c>
      <c r="B51" s="162" t="str">
        <f t="shared" si="0"/>
        <v>January 2018</v>
      </c>
      <c r="C51" s="22" t="s">
        <v>415</v>
      </c>
      <c r="D51" s="22" t="s">
        <v>342</v>
      </c>
      <c r="E51" s="30">
        <v>-50</v>
      </c>
      <c r="F51" s="22" t="s">
        <v>375</v>
      </c>
      <c r="G51" s="22" t="str">
        <f t="shared" si="1"/>
        <v>Mom</v>
      </c>
    </row>
    <row r="52" spans="1:7" ht="15.75" customHeight="1">
      <c r="A52" s="162">
        <v>43108</v>
      </c>
      <c r="B52" s="162" t="str">
        <f t="shared" si="0"/>
        <v>January 2018</v>
      </c>
      <c r="C52" s="22" t="s">
        <v>416</v>
      </c>
      <c r="D52" s="22" t="s">
        <v>337</v>
      </c>
      <c r="E52" s="30">
        <v>-36.76</v>
      </c>
      <c r="F52" s="22" t="s">
        <v>367</v>
      </c>
      <c r="G52" s="22" t="str">
        <f t="shared" si="1"/>
        <v>Dad</v>
      </c>
    </row>
    <row r="53" spans="1:7" ht="15.75" customHeight="1">
      <c r="A53" s="162">
        <v>43107</v>
      </c>
      <c r="B53" s="162" t="str">
        <f t="shared" si="0"/>
        <v>January 2018</v>
      </c>
      <c r="C53" s="22" t="s">
        <v>417</v>
      </c>
      <c r="D53" s="22" t="s">
        <v>338</v>
      </c>
      <c r="E53" s="30">
        <v>-35.340000000000003</v>
      </c>
      <c r="F53" s="22" t="s">
        <v>375</v>
      </c>
      <c r="G53" s="22" t="str">
        <f t="shared" si="1"/>
        <v>Mom</v>
      </c>
    </row>
    <row r="54" spans="1:7" ht="15.75" customHeight="1">
      <c r="A54" s="162">
        <v>43106</v>
      </c>
      <c r="B54" s="162" t="str">
        <f t="shared" si="0"/>
        <v>January 2018</v>
      </c>
      <c r="C54" s="22" t="s">
        <v>396</v>
      </c>
      <c r="D54" s="22" t="s">
        <v>341</v>
      </c>
      <c r="E54" s="30">
        <v>-19.670000000000002</v>
      </c>
      <c r="F54" s="22" t="s">
        <v>367</v>
      </c>
      <c r="G54" s="22" t="str">
        <f t="shared" si="1"/>
        <v>Dad</v>
      </c>
    </row>
    <row r="55" spans="1:7" ht="15.75" customHeight="1">
      <c r="A55" s="162">
        <v>43106</v>
      </c>
      <c r="B55" s="162" t="str">
        <f t="shared" si="0"/>
        <v>January 2018</v>
      </c>
      <c r="C55" s="22" t="s">
        <v>395</v>
      </c>
      <c r="D55" s="22" t="s">
        <v>341</v>
      </c>
      <c r="E55" s="30">
        <v>-48.74</v>
      </c>
      <c r="F55" s="22" t="s">
        <v>367</v>
      </c>
      <c r="G55" s="22" t="str">
        <f t="shared" si="1"/>
        <v>Dad</v>
      </c>
    </row>
    <row r="56" spans="1:7" ht="15.75" customHeight="1">
      <c r="A56" s="162">
        <v>43106</v>
      </c>
      <c r="B56" s="162" t="str">
        <f t="shared" si="0"/>
        <v>January 2018</v>
      </c>
      <c r="C56" s="22" t="s">
        <v>392</v>
      </c>
      <c r="D56" s="22" t="s">
        <v>350</v>
      </c>
      <c r="E56" s="30">
        <v>-20</v>
      </c>
      <c r="F56" s="22" t="s">
        <v>375</v>
      </c>
      <c r="G56" s="22" t="str">
        <f t="shared" si="1"/>
        <v>Mom</v>
      </c>
    </row>
    <row r="57" spans="1:7" ht="15.75" customHeight="1">
      <c r="A57" s="162">
        <v>43105</v>
      </c>
      <c r="B57" s="162" t="str">
        <f t="shared" si="0"/>
        <v>January 2018</v>
      </c>
      <c r="C57" s="22" t="s">
        <v>397</v>
      </c>
      <c r="D57" s="22" t="s">
        <v>350</v>
      </c>
      <c r="E57" s="30">
        <v>-10.81</v>
      </c>
      <c r="F57" s="22" t="s">
        <v>382</v>
      </c>
      <c r="G57" s="22" t="str">
        <f t="shared" si="1"/>
        <v>Mom</v>
      </c>
    </row>
    <row r="58" spans="1:7" ht="15.75" customHeight="1">
      <c r="A58" s="162">
        <v>43104</v>
      </c>
      <c r="B58" s="162" t="str">
        <f t="shared" si="0"/>
        <v>January 2018</v>
      </c>
      <c r="C58" s="22" t="s">
        <v>388</v>
      </c>
      <c r="D58" s="22" t="s">
        <v>337</v>
      </c>
      <c r="E58" s="30">
        <v>-52.69</v>
      </c>
      <c r="F58" s="22" t="s">
        <v>367</v>
      </c>
      <c r="G58" s="22" t="str">
        <f t="shared" si="1"/>
        <v>Dad</v>
      </c>
    </row>
    <row r="59" spans="1:7" ht="15.75" customHeight="1">
      <c r="A59" s="162">
        <v>43103</v>
      </c>
      <c r="B59" s="162" t="str">
        <f t="shared" si="0"/>
        <v>January 2018</v>
      </c>
      <c r="C59" s="22" t="s">
        <v>387</v>
      </c>
      <c r="D59" s="22" t="s">
        <v>338</v>
      </c>
      <c r="E59" s="30">
        <v>-12.91</v>
      </c>
      <c r="F59" s="22" t="s">
        <v>382</v>
      </c>
      <c r="G59" s="22" t="str">
        <f t="shared" si="1"/>
        <v>Mom</v>
      </c>
    </row>
    <row r="60" spans="1:7" ht="15.75" customHeight="1">
      <c r="A60" s="162">
        <v>43102</v>
      </c>
      <c r="B60" s="162" t="str">
        <f t="shared" si="0"/>
        <v>January 2018</v>
      </c>
      <c r="C60" s="22" t="s">
        <v>418</v>
      </c>
      <c r="D60" s="22" t="s">
        <v>333</v>
      </c>
      <c r="E60" s="30">
        <v>-251.33</v>
      </c>
      <c r="F60" s="22" t="s">
        <v>374</v>
      </c>
      <c r="G60" s="22" t="str">
        <f t="shared" si="1"/>
        <v>Dad</v>
      </c>
    </row>
    <row r="61" spans="1:7" ht="15.75" customHeight="1">
      <c r="A61" s="162">
        <v>43101</v>
      </c>
      <c r="B61" s="162" t="str">
        <f t="shared" si="0"/>
        <v>January 2018</v>
      </c>
      <c r="C61" s="22" t="s">
        <v>398</v>
      </c>
      <c r="D61" s="22" t="s">
        <v>338</v>
      </c>
      <c r="E61" s="30">
        <v>-3.56</v>
      </c>
      <c r="F61" s="22" t="s">
        <v>366</v>
      </c>
      <c r="G61" s="22" t="str">
        <f t="shared" si="1"/>
        <v>Daughter</v>
      </c>
    </row>
    <row r="62" spans="1:7" ht="15.75" customHeight="1">
      <c r="A62" s="162">
        <v>43101</v>
      </c>
      <c r="B62" s="162" t="str">
        <f t="shared" si="0"/>
        <v>January 2018</v>
      </c>
      <c r="C62" s="22" t="s">
        <v>399</v>
      </c>
      <c r="D62" s="22" t="s">
        <v>335</v>
      </c>
      <c r="E62" s="30">
        <v>-322.83999999999997</v>
      </c>
      <c r="F62" s="22" t="s">
        <v>374</v>
      </c>
      <c r="G62" s="22" t="str">
        <f t="shared" si="1"/>
        <v>Dad</v>
      </c>
    </row>
    <row r="63" spans="1:7" ht="15.75" customHeight="1">
      <c r="A63" s="162">
        <v>43100</v>
      </c>
      <c r="B63" s="162" t="str">
        <f t="shared" si="0"/>
        <v>December 2017</v>
      </c>
      <c r="C63" s="22" t="s">
        <v>400</v>
      </c>
      <c r="D63" s="22" t="s">
        <v>346</v>
      </c>
      <c r="E63" s="30">
        <v>-115.74967014479407</v>
      </c>
      <c r="F63" s="22" t="s">
        <v>366</v>
      </c>
      <c r="G63" s="22" t="str">
        <f t="shared" si="1"/>
        <v>Daughter</v>
      </c>
    </row>
    <row r="64" spans="1:7" ht="15.75" customHeight="1">
      <c r="A64" s="162">
        <v>43099</v>
      </c>
      <c r="B64" s="162" t="str">
        <f t="shared" si="0"/>
        <v>December 2017</v>
      </c>
      <c r="C64" s="22" t="s">
        <v>416</v>
      </c>
      <c r="D64" s="22" t="s">
        <v>337</v>
      </c>
      <c r="E64" s="30">
        <v>-28.600200780444766</v>
      </c>
      <c r="F64" s="22" t="s">
        <v>367</v>
      </c>
      <c r="G64" s="22" t="str">
        <f t="shared" si="1"/>
        <v>Dad</v>
      </c>
    </row>
    <row r="65" spans="1:7" ht="15.75" customHeight="1">
      <c r="A65" s="162">
        <v>43098</v>
      </c>
      <c r="B65" s="162" t="str">
        <f t="shared" si="0"/>
        <v>December 2017</v>
      </c>
      <c r="C65" s="22" t="s">
        <v>417</v>
      </c>
      <c r="D65" s="22" t="s">
        <v>338</v>
      </c>
      <c r="E65" s="30">
        <v>-27.972195350837076</v>
      </c>
      <c r="F65" s="22" t="s">
        <v>375</v>
      </c>
      <c r="G65" s="22" t="str">
        <f t="shared" si="1"/>
        <v>Mom</v>
      </c>
    </row>
    <row r="66" spans="1:7" ht="15.75" customHeight="1">
      <c r="A66" s="162">
        <v>43097</v>
      </c>
      <c r="B66" s="162" t="str">
        <f t="shared" si="0"/>
        <v>December 2017</v>
      </c>
      <c r="C66" s="22" t="s">
        <v>405</v>
      </c>
      <c r="D66" s="22" t="s">
        <v>348</v>
      </c>
      <c r="E66" s="30">
        <v>-621.1731484738832</v>
      </c>
      <c r="F66" s="22" t="s">
        <v>362</v>
      </c>
      <c r="G66" s="22" t="str">
        <f t="shared" si="1"/>
        <v>Family</v>
      </c>
    </row>
    <row r="67" spans="1:7" ht="15.75" customHeight="1">
      <c r="A67" s="162">
        <v>43096</v>
      </c>
      <c r="B67" s="162" t="str">
        <f t="shared" si="0"/>
        <v>December 2017</v>
      </c>
      <c r="C67" s="22" t="s">
        <v>419</v>
      </c>
      <c r="D67" s="22" t="s">
        <v>344</v>
      </c>
      <c r="E67" s="30">
        <v>-300</v>
      </c>
      <c r="F67" s="22" t="s">
        <v>375</v>
      </c>
      <c r="G67" s="22" t="str">
        <f t="shared" si="1"/>
        <v>Mom</v>
      </c>
    </row>
    <row r="68" spans="1:7" ht="15.75" customHeight="1">
      <c r="A68" s="162">
        <v>43095</v>
      </c>
      <c r="B68" s="162" t="str">
        <f t="shared" si="0"/>
        <v>December 2017</v>
      </c>
      <c r="C68" s="22" t="s">
        <v>403</v>
      </c>
      <c r="D68" s="22" t="s">
        <v>350</v>
      </c>
      <c r="E68" s="30">
        <v>-6.872212037170101</v>
      </c>
      <c r="F68" s="22" t="s">
        <v>382</v>
      </c>
      <c r="G68" s="22" t="str">
        <f t="shared" si="1"/>
        <v>Mom</v>
      </c>
    </row>
    <row r="69" spans="1:7" ht="15.75" customHeight="1">
      <c r="A69" s="162">
        <v>43094</v>
      </c>
      <c r="B69" s="162" t="str">
        <f t="shared" si="0"/>
        <v>December 2017</v>
      </c>
      <c r="C69" s="22" t="s">
        <v>406</v>
      </c>
      <c r="D69" s="22" t="s">
        <v>337</v>
      </c>
      <c r="E69" s="30">
        <v>-14.63268068805967</v>
      </c>
      <c r="F69" s="22" t="s">
        <v>367</v>
      </c>
      <c r="G69" s="22" t="str">
        <f t="shared" si="1"/>
        <v>Dad</v>
      </c>
    </row>
    <row r="70" spans="1:7" ht="15.75" customHeight="1">
      <c r="A70" s="162">
        <v>43093</v>
      </c>
      <c r="B70" s="162" t="str">
        <f t="shared" si="0"/>
        <v>December 2017</v>
      </c>
      <c r="C70" s="22" t="s">
        <v>407</v>
      </c>
      <c r="D70" s="22" t="s">
        <v>329</v>
      </c>
      <c r="E70" s="163">
        <v>653.58785518442778</v>
      </c>
      <c r="F70" s="22" t="s">
        <v>362</v>
      </c>
      <c r="G70" s="22" t="str">
        <f t="shared" si="1"/>
        <v>Family</v>
      </c>
    </row>
    <row r="71" spans="1:7" ht="15.75" customHeight="1">
      <c r="A71" s="162">
        <v>43092</v>
      </c>
      <c r="B71" s="162" t="str">
        <f t="shared" si="0"/>
        <v>December 2017</v>
      </c>
      <c r="C71" s="22" t="s">
        <v>408</v>
      </c>
      <c r="D71" s="22" t="s">
        <v>338</v>
      </c>
      <c r="E71" s="30">
        <v>-6.18155654415109</v>
      </c>
      <c r="F71" s="22" t="s">
        <v>382</v>
      </c>
      <c r="G71" s="22" t="str">
        <f t="shared" si="1"/>
        <v>Mom</v>
      </c>
    </row>
    <row r="72" spans="1:7" ht="15.75" customHeight="1">
      <c r="A72" s="162">
        <v>43092</v>
      </c>
      <c r="B72" s="162" t="str">
        <f t="shared" si="0"/>
        <v>December 2017</v>
      </c>
      <c r="C72" s="22" t="s">
        <v>409</v>
      </c>
      <c r="D72" s="22" t="s">
        <v>338</v>
      </c>
      <c r="E72" s="30">
        <v>-15.956849155308712</v>
      </c>
      <c r="F72" s="22" t="s">
        <v>374</v>
      </c>
      <c r="G72" s="22" t="str">
        <f t="shared" si="1"/>
        <v>Dad</v>
      </c>
    </row>
    <row r="73" spans="1:7" ht="15.75" customHeight="1">
      <c r="A73" s="162">
        <v>43091</v>
      </c>
      <c r="B73" s="162" t="str">
        <f t="shared" si="0"/>
        <v>December 2017</v>
      </c>
      <c r="C73" s="22" t="s">
        <v>370</v>
      </c>
      <c r="D73" s="22" t="s">
        <v>341</v>
      </c>
      <c r="E73" s="30">
        <v>-25.172198490266851</v>
      </c>
      <c r="F73" s="22" t="s">
        <v>367</v>
      </c>
      <c r="G73" s="22" t="str">
        <f t="shared" si="1"/>
        <v>Dad</v>
      </c>
    </row>
    <row r="74" spans="1:7" ht="15.75" customHeight="1">
      <c r="A74" s="162">
        <v>43091</v>
      </c>
      <c r="B74" s="162" t="str">
        <f t="shared" si="0"/>
        <v>December 2017</v>
      </c>
      <c r="C74" s="22" t="s">
        <v>373</v>
      </c>
      <c r="D74" s="22" t="s">
        <v>347</v>
      </c>
      <c r="E74" s="30">
        <v>-50.348574949595729</v>
      </c>
      <c r="F74" s="22" t="s">
        <v>374</v>
      </c>
      <c r="G74" s="22" t="str">
        <f t="shared" si="1"/>
        <v>Dad</v>
      </c>
    </row>
    <row r="75" spans="1:7" ht="15.75" customHeight="1">
      <c r="A75" s="162">
        <v>43090</v>
      </c>
      <c r="B75" s="162" t="str">
        <f t="shared" si="0"/>
        <v>December 2017</v>
      </c>
      <c r="C75" s="22" t="s">
        <v>414</v>
      </c>
      <c r="D75" s="22" t="s">
        <v>349</v>
      </c>
      <c r="E75" s="30">
        <v>-488.95510428597606</v>
      </c>
      <c r="F75" s="22" t="s">
        <v>375</v>
      </c>
      <c r="G75" s="22" t="str">
        <f t="shared" si="1"/>
        <v>Mom</v>
      </c>
    </row>
    <row r="76" spans="1:7" ht="15.75" customHeight="1">
      <c r="A76" s="162">
        <v>43089</v>
      </c>
      <c r="B76" s="162" t="str">
        <f t="shared" si="0"/>
        <v>December 2017</v>
      </c>
      <c r="C76" s="22" t="s">
        <v>378</v>
      </c>
      <c r="D76" s="22" t="s">
        <v>341</v>
      </c>
      <c r="E76" s="30">
        <v>-260.36726635699529</v>
      </c>
      <c r="F76" s="22" t="s">
        <v>374</v>
      </c>
      <c r="G76" s="22" t="str">
        <f t="shared" si="1"/>
        <v>Dad</v>
      </c>
    </row>
    <row r="77" spans="1:7" ht="15.75" customHeight="1">
      <c r="A77" s="162">
        <v>43088</v>
      </c>
      <c r="B77" s="162" t="str">
        <f t="shared" si="0"/>
        <v>December 2017</v>
      </c>
      <c r="C77" s="22" t="s">
        <v>381</v>
      </c>
      <c r="D77" s="22" t="s">
        <v>349</v>
      </c>
      <c r="E77" s="30">
        <v>-16.488964188554782</v>
      </c>
      <c r="F77" s="22" t="s">
        <v>371</v>
      </c>
      <c r="G77" s="22" t="str">
        <f t="shared" si="1"/>
        <v>Dad</v>
      </c>
    </row>
    <row r="78" spans="1:7" ht="15.75" customHeight="1">
      <c r="A78" s="162">
        <v>43086</v>
      </c>
      <c r="B78" s="162" t="str">
        <f t="shared" si="0"/>
        <v>December 2017</v>
      </c>
      <c r="C78" s="22" t="s">
        <v>388</v>
      </c>
      <c r="D78" s="22" t="s">
        <v>337</v>
      </c>
      <c r="E78" s="30">
        <v>-27.183768951838047</v>
      </c>
      <c r="F78" s="22" t="s">
        <v>367</v>
      </c>
      <c r="G78" s="22" t="str">
        <f t="shared" si="1"/>
        <v>Dad</v>
      </c>
    </row>
    <row r="79" spans="1:7" ht="15.75" customHeight="1">
      <c r="A79" s="162">
        <v>43085</v>
      </c>
      <c r="B79" s="162" t="str">
        <f t="shared" si="0"/>
        <v>December 2017</v>
      </c>
      <c r="C79" s="22" t="s">
        <v>420</v>
      </c>
      <c r="D79" s="22" t="s">
        <v>344</v>
      </c>
      <c r="E79" s="30">
        <v>-300</v>
      </c>
      <c r="F79" s="22" t="s">
        <v>362</v>
      </c>
      <c r="G79" s="22" t="str">
        <f t="shared" si="1"/>
        <v>Family</v>
      </c>
    </row>
    <row r="80" spans="1:7" ht="15.75" customHeight="1">
      <c r="A80" s="162">
        <v>43084</v>
      </c>
      <c r="B80" s="162" t="str">
        <f t="shared" si="0"/>
        <v>December 2017</v>
      </c>
      <c r="C80" s="22" t="s">
        <v>393</v>
      </c>
      <c r="D80" s="22" t="s">
        <v>350</v>
      </c>
      <c r="E80" s="30">
        <v>-34.21658162443002</v>
      </c>
      <c r="F80" s="22" t="s">
        <v>374</v>
      </c>
      <c r="G80" s="22" t="str">
        <f t="shared" si="1"/>
        <v>Dad</v>
      </c>
    </row>
    <row r="81" spans="1:7" ht="15.75" customHeight="1">
      <c r="A81" s="162">
        <v>43083</v>
      </c>
      <c r="B81" s="162" t="str">
        <f t="shared" si="0"/>
        <v>December 2017</v>
      </c>
      <c r="C81" s="22" t="s">
        <v>394</v>
      </c>
      <c r="D81" s="22" t="s">
        <v>341</v>
      </c>
      <c r="E81" s="30">
        <v>-25.753114033343255</v>
      </c>
      <c r="F81" s="22" t="s">
        <v>367</v>
      </c>
      <c r="G81" s="22" t="str">
        <f t="shared" si="1"/>
        <v>Dad</v>
      </c>
    </row>
    <row r="82" spans="1:7" ht="15.75" customHeight="1">
      <c r="A82" s="162">
        <v>43082</v>
      </c>
      <c r="B82" s="162" t="str">
        <f t="shared" si="0"/>
        <v>December 2017</v>
      </c>
      <c r="C82" s="22" t="s">
        <v>395</v>
      </c>
      <c r="D82" s="22" t="s">
        <v>341</v>
      </c>
      <c r="E82" s="30">
        <v>-44.813790300506582</v>
      </c>
      <c r="F82" s="22" t="s">
        <v>367</v>
      </c>
      <c r="G82" s="22" t="str">
        <f t="shared" si="1"/>
        <v>Dad</v>
      </c>
    </row>
    <row r="83" spans="1:7" ht="15.75" customHeight="1">
      <c r="A83" s="162">
        <v>43082</v>
      </c>
      <c r="B83" s="162" t="str">
        <f t="shared" si="0"/>
        <v>December 2017</v>
      </c>
      <c r="C83" s="22" t="s">
        <v>410</v>
      </c>
      <c r="D83" s="22" t="s">
        <v>252</v>
      </c>
      <c r="E83" s="30">
        <v>-102.85023221421071</v>
      </c>
      <c r="F83" s="22" t="s">
        <v>375</v>
      </c>
      <c r="G83" s="22" t="str">
        <f t="shared" si="1"/>
        <v>Mom</v>
      </c>
    </row>
    <row r="84" spans="1:7" ht="15.75" customHeight="1">
      <c r="A84" s="162">
        <v>43081</v>
      </c>
      <c r="B84" s="162" t="str">
        <f t="shared" si="0"/>
        <v>December 2017</v>
      </c>
      <c r="C84" s="22" t="s">
        <v>396</v>
      </c>
      <c r="D84" s="22" t="s">
        <v>341</v>
      </c>
      <c r="E84" s="30">
        <v>-13.772233433191696</v>
      </c>
      <c r="F84" s="22" t="s">
        <v>367</v>
      </c>
      <c r="G84" s="22" t="str">
        <f t="shared" si="1"/>
        <v>Dad</v>
      </c>
    </row>
    <row r="85" spans="1:7" ht="15.75" customHeight="1">
      <c r="A85" s="162">
        <v>43080</v>
      </c>
      <c r="B85" s="162" t="str">
        <f t="shared" si="0"/>
        <v>December 2017</v>
      </c>
      <c r="C85" s="22" t="s">
        <v>365</v>
      </c>
      <c r="D85" s="22" t="s">
        <v>338</v>
      </c>
      <c r="E85" s="30">
        <v>-10.264651962190525</v>
      </c>
      <c r="F85" s="22" t="s">
        <v>366</v>
      </c>
      <c r="G85" s="22" t="str">
        <f t="shared" si="1"/>
        <v>Daughter</v>
      </c>
    </row>
    <row r="86" spans="1:7" ht="15.75" customHeight="1">
      <c r="A86" s="162">
        <v>43080</v>
      </c>
      <c r="B86" s="162" t="str">
        <f t="shared" si="0"/>
        <v>December 2017</v>
      </c>
      <c r="C86" s="22" t="s">
        <v>397</v>
      </c>
      <c r="D86" s="22" t="s">
        <v>350</v>
      </c>
      <c r="E86" s="30">
        <v>-9.7146032923612324</v>
      </c>
      <c r="F86" s="22" t="s">
        <v>382</v>
      </c>
      <c r="G86" s="22" t="str">
        <f t="shared" si="1"/>
        <v>Mom</v>
      </c>
    </row>
    <row r="87" spans="1:7" ht="15.75" customHeight="1">
      <c r="A87" s="162">
        <v>43079</v>
      </c>
      <c r="B87" s="162" t="str">
        <f t="shared" si="0"/>
        <v>December 2017</v>
      </c>
      <c r="C87" s="22" t="s">
        <v>387</v>
      </c>
      <c r="D87" s="22" t="s">
        <v>338</v>
      </c>
      <c r="E87" s="30">
        <v>-11.733451140784947</v>
      </c>
      <c r="F87" s="22" t="s">
        <v>382</v>
      </c>
      <c r="G87" s="22" t="str">
        <f t="shared" si="1"/>
        <v>Mom</v>
      </c>
    </row>
    <row r="88" spans="1:7" ht="15.75" customHeight="1">
      <c r="A88" s="162">
        <v>43079</v>
      </c>
      <c r="B88" s="162" t="str">
        <f t="shared" si="0"/>
        <v>December 2017</v>
      </c>
      <c r="C88" s="22" t="s">
        <v>384</v>
      </c>
      <c r="D88" s="22" t="s">
        <v>332</v>
      </c>
      <c r="E88" s="30">
        <v>-1903</v>
      </c>
      <c r="F88" s="22" t="s">
        <v>362</v>
      </c>
      <c r="G88" s="22" t="str">
        <f t="shared" si="1"/>
        <v>Family</v>
      </c>
    </row>
    <row r="89" spans="1:7" ht="15.75" customHeight="1">
      <c r="A89" s="162">
        <v>43079</v>
      </c>
      <c r="B89" s="162" t="str">
        <f t="shared" si="0"/>
        <v>December 2017</v>
      </c>
      <c r="C89" s="22" t="s">
        <v>328</v>
      </c>
      <c r="D89" s="22" t="s">
        <v>328</v>
      </c>
      <c r="E89" s="163">
        <v>5544</v>
      </c>
      <c r="F89" s="22" t="s">
        <v>362</v>
      </c>
      <c r="G89" s="22" t="str">
        <f t="shared" si="1"/>
        <v>Family</v>
      </c>
    </row>
    <row r="90" spans="1:7" ht="15.75" customHeight="1">
      <c r="A90" s="162">
        <v>43079</v>
      </c>
      <c r="B90" s="162" t="str">
        <f t="shared" si="0"/>
        <v>December 2017</v>
      </c>
      <c r="C90" s="22" t="s">
        <v>386</v>
      </c>
      <c r="D90" s="22" t="s">
        <v>350</v>
      </c>
      <c r="E90" s="30">
        <v>-15.119178234607485</v>
      </c>
      <c r="F90" s="22" t="s">
        <v>371</v>
      </c>
      <c r="G90" s="22" t="str">
        <f t="shared" si="1"/>
        <v>Dad</v>
      </c>
    </row>
    <row r="91" spans="1:7" ht="15.75" customHeight="1">
      <c r="A91" s="162">
        <v>43078</v>
      </c>
      <c r="B91" s="162" t="str">
        <f t="shared" si="0"/>
        <v>December 2017</v>
      </c>
      <c r="C91" s="22" t="s">
        <v>421</v>
      </c>
      <c r="D91" s="22" t="s">
        <v>333</v>
      </c>
      <c r="E91" s="30">
        <v>-249.68057299921207</v>
      </c>
      <c r="F91" s="22" t="s">
        <v>374</v>
      </c>
      <c r="G91" s="22" t="str">
        <f t="shared" si="1"/>
        <v>Dad</v>
      </c>
    </row>
    <row r="92" spans="1:7" ht="15.75" customHeight="1">
      <c r="A92" s="162">
        <v>43077</v>
      </c>
      <c r="B92" s="162" t="str">
        <f t="shared" si="0"/>
        <v>December 2017</v>
      </c>
      <c r="C92" s="22" t="s">
        <v>390</v>
      </c>
      <c r="D92" s="22" t="s">
        <v>350</v>
      </c>
      <c r="E92" s="30">
        <v>-2.0757459156642257</v>
      </c>
      <c r="F92" s="22" t="s">
        <v>375</v>
      </c>
      <c r="G92" s="22" t="str">
        <f t="shared" si="1"/>
        <v>Mom</v>
      </c>
    </row>
    <row r="93" spans="1:7" ht="15.75" customHeight="1">
      <c r="A93" s="162">
        <v>43076</v>
      </c>
      <c r="B93" s="162" t="str">
        <f t="shared" si="0"/>
        <v>December 2017</v>
      </c>
      <c r="C93" s="22" t="s">
        <v>391</v>
      </c>
      <c r="D93" s="22" t="s">
        <v>338</v>
      </c>
      <c r="E93" s="30">
        <v>-16.06684016842345</v>
      </c>
      <c r="F93" s="22" t="s">
        <v>367</v>
      </c>
      <c r="G93" s="22" t="str">
        <f t="shared" si="1"/>
        <v>Dad</v>
      </c>
    </row>
    <row r="94" spans="1:7" ht="15.75" customHeight="1">
      <c r="A94" s="162">
        <v>43075</v>
      </c>
      <c r="B94" s="162" t="str">
        <f t="shared" si="0"/>
        <v>December 2017</v>
      </c>
      <c r="C94" s="22" t="s">
        <v>402</v>
      </c>
      <c r="D94" s="22" t="s">
        <v>337</v>
      </c>
      <c r="E94" s="30">
        <v>-68.515374889743356</v>
      </c>
      <c r="F94" s="22" t="s">
        <v>367</v>
      </c>
      <c r="G94" s="22" t="str">
        <f t="shared" si="1"/>
        <v>Dad</v>
      </c>
    </row>
    <row r="95" spans="1:7" ht="15.75" customHeight="1">
      <c r="A95" s="162">
        <v>43075</v>
      </c>
      <c r="B95" s="162" t="str">
        <f t="shared" si="0"/>
        <v>December 2017</v>
      </c>
      <c r="C95" s="22" t="s">
        <v>392</v>
      </c>
      <c r="D95" s="22" t="s">
        <v>350</v>
      </c>
      <c r="E95" s="30">
        <v>-18.121327125937889</v>
      </c>
      <c r="F95" s="22" t="s">
        <v>375</v>
      </c>
      <c r="G95" s="22" t="str">
        <f t="shared" si="1"/>
        <v>Mom</v>
      </c>
    </row>
    <row r="96" spans="1:7" ht="15.75" customHeight="1">
      <c r="A96" s="162">
        <v>43074</v>
      </c>
      <c r="B96" s="162" t="str">
        <f t="shared" si="0"/>
        <v>December 2017</v>
      </c>
      <c r="C96" s="22" t="s">
        <v>411</v>
      </c>
      <c r="D96" s="22" t="s">
        <v>252</v>
      </c>
      <c r="E96" s="30">
        <v>-24.422722278885228</v>
      </c>
      <c r="F96" s="22" t="s">
        <v>375</v>
      </c>
      <c r="G96" s="22" t="str">
        <f t="shared" si="1"/>
        <v>Mom</v>
      </c>
    </row>
    <row r="97" spans="1:7" ht="15.75" customHeight="1">
      <c r="A97" s="162">
        <v>43073</v>
      </c>
      <c r="B97" s="162" t="str">
        <f t="shared" si="0"/>
        <v>December 2017</v>
      </c>
      <c r="C97" s="22" t="s">
        <v>413</v>
      </c>
      <c r="D97" s="22" t="s">
        <v>337</v>
      </c>
      <c r="E97" s="30">
        <v>-107.75932954943372</v>
      </c>
      <c r="F97" s="22" t="s">
        <v>367</v>
      </c>
      <c r="G97" s="22" t="str">
        <f t="shared" si="1"/>
        <v>Dad</v>
      </c>
    </row>
    <row r="98" spans="1:7" ht="15.75" customHeight="1">
      <c r="A98" s="162">
        <v>43072</v>
      </c>
      <c r="B98" s="162" t="str">
        <f t="shared" si="0"/>
        <v>December 2017</v>
      </c>
      <c r="C98" s="22" t="s">
        <v>412</v>
      </c>
      <c r="D98" s="22" t="s">
        <v>338</v>
      </c>
      <c r="E98" s="30">
        <v>-60.205891588102475</v>
      </c>
      <c r="F98" s="22" t="s">
        <v>382</v>
      </c>
      <c r="G98" s="22" t="str">
        <f t="shared" si="1"/>
        <v>Mom</v>
      </c>
    </row>
    <row r="99" spans="1:7" ht="15.75" customHeight="1">
      <c r="A99" s="162">
        <v>43072</v>
      </c>
      <c r="B99" s="162" t="str">
        <f t="shared" si="0"/>
        <v>December 2017</v>
      </c>
      <c r="C99" s="22" t="s">
        <v>415</v>
      </c>
      <c r="D99" s="22" t="s">
        <v>342</v>
      </c>
      <c r="E99" s="30">
        <v>-25.409532702415337</v>
      </c>
      <c r="F99" s="22" t="s">
        <v>382</v>
      </c>
      <c r="G99" s="22" t="str">
        <f t="shared" si="1"/>
        <v>Mom</v>
      </c>
    </row>
    <row r="100" spans="1:7" ht="15.75" customHeight="1">
      <c r="A100" s="162">
        <v>43071</v>
      </c>
      <c r="B100" s="162" t="str">
        <f t="shared" si="0"/>
        <v>December 2017</v>
      </c>
      <c r="C100" s="22" t="s">
        <v>398</v>
      </c>
      <c r="D100" s="22" t="s">
        <v>338</v>
      </c>
      <c r="E100" s="30">
        <v>-2.5152269314867968</v>
      </c>
      <c r="F100" s="22" t="s">
        <v>366</v>
      </c>
      <c r="G100" s="22" t="str">
        <f t="shared" si="1"/>
        <v>Daughter</v>
      </c>
    </row>
    <row r="101" spans="1:7" ht="15.75" customHeight="1">
      <c r="A101" s="162">
        <v>43071</v>
      </c>
      <c r="B101" s="162" t="str">
        <f t="shared" si="0"/>
        <v>December 2017</v>
      </c>
      <c r="C101" s="22" t="s">
        <v>399</v>
      </c>
      <c r="D101" s="22" t="s">
        <v>335</v>
      </c>
      <c r="E101" s="30">
        <v>-205.43755902360425</v>
      </c>
      <c r="F101" s="22" t="s">
        <v>374</v>
      </c>
      <c r="G101" s="22" t="str">
        <f t="shared" si="1"/>
        <v>Dad</v>
      </c>
    </row>
    <row r="102" spans="1:7" ht="15.75" customHeight="1"/>
    <row r="103" spans="1:7" ht="15.75" customHeight="1"/>
    <row r="104" spans="1:7" ht="15.75" customHeight="1"/>
    <row r="105" spans="1:7" ht="15.75" customHeight="1"/>
    <row r="106" spans="1:7" ht="15.75" customHeight="1"/>
    <row r="107" spans="1:7" ht="15.75" customHeight="1"/>
    <row r="108" spans="1:7" ht="15.75" customHeight="1"/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FF"/>
    <outlinePr summaryBelow="0" summaryRight="0"/>
  </sheetPr>
  <dimension ref="A1:H1000"/>
  <sheetViews>
    <sheetView workbookViewId="0"/>
  </sheetViews>
  <sheetFormatPr defaultColWidth="12.6640625" defaultRowHeight="15" customHeight="1"/>
  <cols>
    <col min="1" max="1" width="20.77734375" customWidth="1"/>
    <col min="2" max="2" width="18" customWidth="1"/>
    <col min="3" max="3" width="17.109375" customWidth="1"/>
    <col min="4" max="4" width="16.33203125" customWidth="1"/>
    <col min="5" max="5" width="14.33203125" customWidth="1"/>
    <col min="6" max="6" width="21" customWidth="1"/>
    <col min="7" max="26" width="14.33203125" customWidth="1"/>
  </cols>
  <sheetData>
    <row r="1" spans="1:8" ht="15.75" customHeight="1">
      <c r="A1" s="87" t="s">
        <v>321</v>
      </c>
      <c r="B1" s="164" t="s">
        <v>322</v>
      </c>
      <c r="E1" s="165"/>
      <c r="F1" s="165"/>
      <c r="G1" s="165"/>
      <c r="H1" s="165"/>
    </row>
    <row r="2" spans="1:8" ht="15.75" customHeight="1">
      <c r="A2" s="48"/>
      <c r="B2" s="165"/>
      <c r="C2" s="48"/>
    </row>
    <row r="3" spans="1:8" ht="15.75" customHeight="1">
      <c r="A3" s="82" t="s">
        <v>422</v>
      </c>
      <c r="B3" s="165"/>
      <c r="C3" s="48"/>
    </row>
    <row r="4" spans="1:8" ht="15.75" customHeight="1"/>
    <row r="5" spans="1:8" ht="15.75" customHeight="1">
      <c r="A5" s="166"/>
      <c r="B5" s="167" t="s">
        <v>423</v>
      </c>
      <c r="C5" s="167" t="s">
        <v>424</v>
      </c>
    </row>
    <row r="6" spans="1:8" ht="15.75" customHeight="1">
      <c r="A6" s="168" t="s">
        <v>364</v>
      </c>
      <c r="B6" s="169">
        <f>SUMIFS('Task 7 &amp; 8 Solution data'!$F:$F,'Task 7 &amp; 8 Solution data'!$H:$H,$A6,'Task 7 &amp; 8 Solution data'!$C:$C,$B$1,'Task 7 &amp; 8 Solution data'!$F:$F,"&gt;0")</f>
        <v>5544</v>
      </c>
      <c r="C6" s="169">
        <f>-SUMIFS('Task 7 &amp; 8 Solution data'!$F:$F,'Task 7 &amp; 8 Solution data'!$H:$H,$A6,'Task 7 &amp; 8 Solution data'!$C:$C,$B$1,'Task 7 &amp; 8 Solution data'!$F:$F,"&lt;0")</f>
        <v>2153</v>
      </c>
    </row>
    <row r="7" spans="1:8" ht="15.75" customHeight="1">
      <c r="A7" s="168" t="s">
        <v>369</v>
      </c>
      <c r="B7" s="169">
        <f>SUMIFS('Task 7 &amp; 8 Solution data'!$F:$F,'Task 7 &amp; 8 Solution data'!$H:$H,$A7,'Task 7 &amp; 8 Solution data'!$C:$C,$B$1,'Task 7 &amp; 8 Solution data'!$F:$F,"&gt;0")</f>
        <v>0</v>
      </c>
      <c r="C7" s="169">
        <f>-SUMIFS('Task 7 &amp; 8 Solution data'!$F:$F,'Task 7 &amp; 8 Solution data'!$H:$H,$A7,'Task 7 &amp; 8 Solution data'!$C:$C,$B$1,'Task 7 &amp; 8 Solution data'!$F:$F,"&lt;0")</f>
        <v>3780.8196135331204</v>
      </c>
    </row>
    <row r="8" spans="1:8" ht="15.75" customHeight="1">
      <c r="A8" s="168" t="s">
        <v>377</v>
      </c>
      <c r="B8" s="169">
        <f>SUMIFS('Task 7 &amp; 8 Solution data'!$F:$F,'Task 7 &amp; 8 Solution data'!$H:$H,$A8,'Task 7 &amp; 8 Solution data'!$C:$C,$B$1,'Task 7 &amp; 8 Solution data'!$F:$F,"&gt;0")</f>
        <v>0</v>
      </c>
      <c r="C8" s="169">
        <f>-SUMIFS('Task 7 &amp; 8 Solution data'!$F:$F,'Task 7 &amp; 8 Solution data'!$H:$H,$A8,'Task 7 &amp; 8 Solution data'!$C:$C,$B$1,'Task 7 &amp; 8 Solution data'!$F:$F,"&lt;0")</f>
        <v>34.787815517242038</v>
      </c>
    </row>
    <row r="9" spans="1:8" ht="15.75" customHeight="1">
      <c r="A9" s="168" t="s">
        <v>380</v>
      </c>
      <c r="B9" s="169">
        <f>SUMIFS('Task 7 &amp; 8 Solution data'!$F:$F,'Task 7 &amp; 8 Solution data'!$H:$H,$A9,'Task 7 &amp; 8 Solution data'!$C:$C,$B$1,'Task 7 &amp; 8 Solution data'!$F:$F,"&gt;0")</f>
        <v>0</v>
      </c>
      <c r="C9" s="169">
        <f>-SUMIFS('Task 7 &amp; 8 Solution data'!$F:$F,'Task 7 &amp; 8 Solution data'!$H:$H,$A9,'Task 7 &amp; 8 Solution data'!$C:$C,$B$1,'Task 7 &amp; 8 Solution data'!$F:$F,"&lt;0")</f>
        <v>10.095479406824349</v>
      </c>
    </row>
    <row r="10" spans="1:8" ht="15.75" customHeight="1">
      <c r="A10" s="168" t="s">
        <v>148</v>
      </c>
      <c r="B10" s="170">
        <f t="shared" ref="B10:C10" si="0">SUM(B6:B9)</f>
        <v>5544</v>
      </c>
      <c r="C10" s="170">
        <f t="shared" si="0"/>
        <v>5978.7029084571868</v>
      </c>
    </row>
    <row r="11" spans="1:8" ht="15.75" customHeight="1"/>
    <row r="12" spans="1:8" ht="15.75" customHeight="1"/>
    <row r="13" spans="1:8" ht="15.75" customHeight="1">
      <c r="A13" s="82" t="s">
        <v>425</v>
      </c>
    </row>
    <row r="14" spans="1:8" ht="15.75" customHeight="1"/>
    <row r="15" spans="1:8" ht="15.75" customHeight="1">
      <c r="A15" s="166"/>
      <c r="B15" s="171" t="s">
        <v>426</v>
      </c>
      <c r="C15" s="171" t="s">
        <v>427</v>
      </c>
      <c r="D15" s="171" t="s">
        <v>322</v>
      </c>
    </row>
    <row r="16" spans="1:8" ht="15.75" customHeight="1">
      <c r="A16" s="168" t="s">
        <v>423</v>
      </c>
      <c r="B16" s="169">
        <f>SUMIFS('Task 7 &amp; 8 Solution data'!$F:$F,'Task 7 &amp; 8 Solution data'!$C:$C,B$15,'Task 7 &amp; 8 Solution data'!$F:$F,"&gt;0")</f>
        <v>6197.587855184428</v>
      </c>
      <c r="C16" s="169">
        <f>SUMIFS('Task 7 &amp; 8 Solution data'!$F:$F,'Task 7 &amp; 8 Solution data'!$C:$C,C$15,'Task 7 &amp; 8 Solution data'!$F:$F,"&gt;0")</f>
        <v>6467</v>
      </c>
      <c r="D16" s="169">
        <f>SUMIFS('Task 7 &amp; 8 Solution data'!$F:$F,'Task 7 &amp; 8 Solution data'!$C:$C,D$15,'Task 7 &amp; 8 Solution data'!$F:$F,"&gt;0")</f>
        <v>5544</v>
      </c>
    </row>
    <row r="17" spans="1:4" ht="15.75" customHeight="1">
      <c r="A17" s="168" t="s">
        <v>428</v>
      </c>
      <c r="B17" s="169">
        <f>-SUMIFS('Task 7 &amp; 8 Solution data'!$F:$F,'Task 7 &amp; 8 Solution data'!$C:$C,B$15,'Task 7 &amp; 8 Solution data'!$F:$F,"&lt;0")</f>
        <v>5257.1023498064096</v>
      </c>
      <c r="C17" s="169">
        <f>-SUMIFS('Task 7 &amp; 8 Solution data'!$F:$F,'Task 7 &amp; 8 Solution data'!$C:$C,C$15,'Task 7 &amp; 8 Solution data'!$F:$F,"&lt;0")</f>
        <v>6333.4427366906002</v>
      </c>
      <c r="D17" s="169">
        <f>-SUMIFS('Task 7 &amp; 8 Solution data'!$F:$F,'Task 7 &amp; 8 Solution data'!$C:$C,D$15,'Task 7 &amp; 8 Solution data'!$F:$F,"&lt;0")</f>
        <v>5978.7029084571868</v>
      </c>
    </row>
    <row r="18" spans="1:4" ht="15.75" customHeight="1">
      <c r="A18" s="168" t="s">
        <v>429</v>
      </c>
      <c r="B18" s="170">
        <f t="shared" ref="B18:D18" si="1">B16-B17</f>
        <v>940.48550537801839</v>
      </c>
      <c r="C18" s="170">
        <f t="shared" si="1"/>
        <v>133.55726330939979</v>
      </c>
      <c r="D18" s="170">
        <f t="shared" si="1"/>
        <v>-434.70290845718682</v>
      </c>
    </row>
    <row r="19" spans="1:4" ht="15.75" customHeight="1"/>
    <row r="20" spans="1:4" ht="15.75" customHeight="1"/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'Task 7 &amp; 8 Solution data'!$C$2:$C$101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Task 1 The Basics</vt:lpstr>
      <vt:lpstr>Task 2 Cell References</vt:lpstr>
      <vt:lpstr>Task 3 Basic Functions</vt:lpstr>
      <vt:lpstr>Task 4 Error Messages</vt:lpstr>
      <vt:lpstr>Task 5 Advanced Functions</vt:lpstr>
      <vt:lpstr>Task 6 Formatting &amp; Sorting</vt:lpstr>
      <vt:lpstr>Task 7a Analyse your expenses</vt:lpstr>
      <vt:lpstr>Task 7b Expense data</vt:lpstr>
      <vt:lpstr>Task 8 Basic charts</vt:lpstr>
      <vt:lpstr>Task 7 &amp; 8 Solution example</vt:lpstr>
      <vt:lpstr>Task 7 &amp; 8 Solution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Ramos</cp:lastModifiedBy>
  <dcterms:modified xsi:type="dcterms:W3CDTF">2023-11-05T05:18:45Z</dcterms:modified>
</cp:coreProperties>
</file>