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HexProperty\hexproperty\"/>
    </mc:Choice>
  </mc:AlternateContent>
  <xr:revisionPtr revIDLastSave="0" documentId="13_ncr:1_{52FB9DA9-A5C6-4FDA-B9B9-75297B8C37F9}" xr6:coauthVersionLast="47" xr6:coauthVersionMax="47" xr10:uidLastSave="{00000000-0000-0000-0000-000000000000}"/>
  <bookViews>
    <workbookView xWindow="28680" yWindow="-75" windowWidth="29040" windowHeight="15720" xr2:uid="{E451082F-EC2E-41C4-A8CB-9C2A1B943E31}"/>
  </bookViews>
  <sheets>
    <sheet name="Operations Data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O13" i="1"/>
  <c r="N13" i="1"/>
  <c r="M13" i="1"/>
  <c r="L13" i="1"/>
  <c r="K13" i="1"/>
  <c r="J13" i="1"/>
  <c r="I13" i="1"/>
  <c r="H13" i="1"/>
  <c r="G13" i="1"/>
  <c r="F13" i="1"/>
  <c r="R16" i="1"/>
  <c r="S16" i="1" s="1"/>
  <c r="G15" i="1"/>
  <c r="H15" i="1"/>
  <c r="I15" i="1"/>
  <c r="J15" i="1"/>
  <c r="K15" i="1"/>
  <c r="L15" i="1"/>
  <c r="M15" i="1"/>
  <c r="N15" i="1"/>
  <c r="O15" i="1"/>
  <c r="P15" i="1"/>
  <c r="Q15" i="1"/>
  <c r="F15" i="1"/>
  <c r="R15" i="1" s="1"/>
  <c r="S15" i="1" s="1"/>
  <c r="A5" i="1"/>
  <c r="A4" i="1"/>
  <c r="A3" i="1"/>
  <c r="A6" i="1"/>
  <c r="B9" i="1"/>
  <c r="R5" i="1"/>
  <c r="S5" i="1" s="1"/>
  <c r="R6" i="1"/>
  <c r="S6" i="1" s="1"/>
  <c r="R4" i="1"/>
  <c r="S4" i="1" s="1"/>
  <c r="Q3" i="1"/>
  <c r="J22" i="1"/>
  <c r="F22" i="1"/>
  <c r="F23" i="1" s="1"/>
  <c r="M32" i="1"/>
  <c r="M33" i="1" s="1"/>
  <c r="Q18" i="1"/>
  <c r="Q19" i="1" s="1"/>
  <c r="P18" i="1"/>
  <c r="P19" i="1" s="1"/>
  <c r="O18" i="1"/>
  <c r="N18" i="1"/>
  <c r="G18" i="1"/>
  <c r="G19" i="1" s="1"/>
  <c r="H18" i="1"/>
  <c r="I18" i="1"/>
  <c r="I19" i="1" s="1"/>
  <c r="J18" i="1"/>
  <c r="J19" i="1" s="1"/>
  <c r="K18" i="1"/>
  <c r="K19" i="1" s="1"/>
  <c r="F18" i="1"/>
  <c r="F19" i="1" s="1"/>
  <c r="Q25" i="1"/>
  <c r="P25" i="1"/>
  <c r="P26" i="1" s="1"/>
  <c r="O25" i="1"/>
  <c r="O26" i="1" s="1"/>
  <c r="N25" i="1"/>
  <c r="N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32" i="1"/>
  <c r="E29" i="1"/>
  <c r="E22" i="1"/>
  <c r="E13" i="1"/>
  <c r="Q26" i="1"/>
  <c r="M26" i="1"/>
  <c r="L26" i="1"/>
  <c r="O19" i="1"/>
  <c r="N19" i="1"/>
  <c r="M19" i="1"/>
  <c r="L19" i="1"/>
  <c r="H19" i="1"/>
  <c r="P6" i="1"/>
  <c r="H32" i="1" s="1"/>
  <c r="H34" i="1" s="1"/>
  <c r="P5" i="1"/>
  <c r="H29" i="1" s="1"/>
  <c r="H31" i="1" s="1"/>
  <c r="O6" i="1"/>
  <c r="P32" i="1" s="1"/>
  <c r="P34" i="1" s="1"/>
  <c r="O5" i="1"/>
  <c r="G29" i="1" s="1"/>
  <c r="Q6" i="1"/>
  <c r="J32" i="1" s="1"/>
  <c r="J34" i="1" s="1"/>
  <c r="Q5" i="1"/>
  <c r="N29" i="1" s="1"/>
  <c r="N31" i="1" s="1"/>
  <c r="Q4" i="1"/>
  <c r="O22" i="1" s="1"/>
  <c r="P4" i="1"/>
  <c r="I22" i="1" s="1"/>
  <c r="O4" i="1"/>
  <c r="H22" i="1" s="1"/>
  <c r="P3" i="1"/>
  <c r="O3" i="1"/>
  <c r="H6" i="1"/>
  <c r="H5" i="1"/>
  <c r="H4" i="1"/>
  <c r="H3" i="1"/>
  <c r="N32" i="1" l="1"/>
  <c r="N34" i="1" s="1"/>
  <c r="P29" i="1"/>
  <c r="P31" i="1" s="1"/>
  <c r="M22" i="1"/>
  <c r="M23" i="1" s="1"/>
  <c r="M27" i="1" s="1"/>
  <c r="H30" i="1"/>
  <c r="Q29" i="1"/>
  <c r="Q31" i="1" s="1"/>
  <c r="G22" i="1"/>
  <c r="G23" i="1" s="1"/>
  <c r="L32" i="1"/>
  <c r="L33" i="1" s="1"/>
  <c r="Q22" i="1"/>
  <c r="Q23" i="1" s="1"/>
  <c r="H33" i="1"/>
  <c r="K14" i="1"/>
  <c r="K20" i="1" s="1"/>
  <c r="O29" i="1"/>
  <c r="O31" i="1" s="1"/>
  <c r="L14" i="1"/>
  <c r="L20" i="1" s="1"/>
  <c r="K22" i="1"/>
  <c r="K23" i="1" s="1"/>
  <c r="K27" i="1" s="1"/>
  <c r="J29" i="1"/>
  <c r="L29" i="1"/>
  <c r="L31" i="1" s="1"/>
  <c r="L22" i="1"/>
  <c r="Q32" i="1"/>
  <c r="Q34" i="1" s="1"/>
  <c r="I29" i="1"/>
  <c r="I31" i="1" s="1"/>
  <c r="N33" i="1"/>
  <c r="P22" i="1"/>
  <c r="P23" i="1" s="1"/>
  <c r="P24" i="1" s="1"/>
  <c r="P28" i="1" s="1"/>
  <c r="P14" i="1"/>
  <c r="K29" i="1"/>
  <c r="M29" i="1"/>
  <c r="M31" i="1" s="1"/>
  <c r="K32" i="1"/>
  <c r="N22" i="1"/>
  <c r="N23" i="1" s="1"/>
  <c r="N27" i="1" s="1"/>
  <c r="F29" i="1"/>
  <c r="F32" i="1"/>
  <c r="F34" i="1" s="1"/>
  <c r="O32" i="1"/>
  <c r="I32" i="1"/>
  <c r="I34" i="1" s="1"/>
  <c r="G32" i="1"/>
  <c r="G33" i="1" s="1"/>
  <c r="O23" i="1"/>
  <c r="L23" i="1"/>
  <c r="L24" i="1" s="1"/>
  <c r="L28" i="1" s="1"/>
  <c r="H23" i="1"/>
  <c r="H27" i="1" s="1"/>
  <c r="J14" i="1"/>
  <c r="J20" i="1" s="1"/>
  <c r="I14" i="1"/>
  <c r="I21" i="1" s="1"/>
  <c r="O14" i="1"/>
  <c r="O20" i="1" s="1"/>
  <c r="Q14" i="1"/>
  <c r="Q20" i="1" s="1"/>
  <c r="I23" i="1"/>
  <c r="I24" i="1" s="1"/>
  <c r="I28" i="1" s="1"/>
  <c r="Q30" i="1"/>
  <c r="J30" i="1"/>
  <c r="F30" i="1"/>
  <c r="I30" i="1"/>
  <c r="G30" i="1"/>
  <c r="P33" i="1"/>
  <c r="O33" i="1"/>
  <c r="J33" i="1"/>
  <c r="M14" i="1"/>
  <c r="M20" i="1" s="1"/>
  <c r="M34" i="1"/>
  <c r="O34" i="1"/>
  <c r="M30" i="1"/>
  <c r="P30" i="1"/>
  <c r="G31" i="1"/>
  <c r="O30" i="1"/>
  <c r="N30" i="1"/>
  <c r="J31" i="1"/>
  <c r="O27" i="1"/>
  <c r="O24" i="1"/>
  <c r="O28" i="1" s="1"/>
  <c r="I27" i="1"/>
  <c r="F24" i="1"/>
  <c r="F28" i="1" s="1"/>
  <c r="F27" i="1"/>
  <c r="L27" i="1"/>
  <c r="J23" i="1"/>
  <c r="M24" i="1"/>
  <c r="M28" i="1" s="1"/>
  <c r="H10" i="1"/>
  <c r="I10" i="1" s="1"/>
  <c r="F14" i="1"/>
  <c r="F20" i="1" s="1"/>
  <c r="H14" i="1"/>
  <c r="H20" i="1" s="1"/>
  <c r="G14" i="1"/>
  <c r="G20" i="1" s="1"/>
  <c r="I20" i="1" l="1"/>
  <c r="P20" i="1"/>
  <c r="P17" i="1"/>
  <c r="P21" i="1" s="1"/>
  <c r="Q24" i="1"/>
  <c r="Q28" i="1" s="1"/>
  <c r="Q27" i="1"/>
  <c r="G24" i="1"/>
  <c r="G28" i="1" s="1"/>
  <c r="G27" i="1"/>
  <c r="G34" i="1"/>
  <c r="L30" i="1"/>
  <c r="S29" i="1"/>
  <c r="P27" i="1"/>
  <c r="I33" i="1"/>
  <c r="S32" i="1"/>
  <c r="L34" i="1"/>
  <c r="O21" i="1"/>
  <c r="F31" i="1"/>
  <c r="Q33" i="1"/>
  <c r="K33" i="1"/>
  <c r="K34" i="1"/>
  <c r="K30" i="1"/>
  <c r="K31" i="1"/>
  <c r="F33" i="1"/>
  <c r="N24" i="1"/>
  <c r="N28" i="1" s="1"/>
  <c r="K24" i="1"/>
  <c r="K28" i="1" s="1"/>
  <c r="F21" i="1"/>
  <c r="H24" i="1"/>
  <c r="H28" i="1" s="1"/>
  <c r="L21" i="1"/>
  <c r="G21" i="1"/>
  <c r="K21" i="1"/>
  <c r="Q21" i="1"/>
  <c r="M21" i="1"/>
  <c r="N14" i="1"/>
  <c r="N20" i="1" s="1"/>
  <c r="R20" i="1" s="1"/>
  <c r="R30" i="1"/>
  <c r="S30" i="1" s="1"/>
  <c r="J27" i="1"/>
  <c r="J24" i="1"/>
  <c r="J28" i="1" s="1"/>
  <c r="H21" i="1"/>
  <c r="J21" i="1"/>
  <c r="S13" i="1"/>
  <c r="R33" i="1" l="1"/>
  <c r="S33" i="1" s="1"/>
  <c r="R14" i="1"/>
  <c r="S14" i="1" s="1"/>
  <c r="R31" i="1"/>
  <c r="R28" i="1"/>
  <c r="R34" i="1"/>
  <c r="N21" i="1"/>
  <c r="R21" i="1" s="1"/>
  <c r="R17" i="1"/>
  <c r="S22" i="1"/>
  <c r="R26" i="1" l="1"/>
  <c r="R23" i="1"/>
  <c r="S23" i="1" s="1"/>
  <c r="R24" i="1" l="1"/>
  <c r="E9" i="1" l="1"/>
  <c r="A9" i="1" s="1"/>
  <c r="F9" i="1"/>
  <c r="J10" i="1" s="1"/>
  <c r="L10" i="1" l="1"/>
  <c r="N10" i="1" s="1"/>
  <c r="K10" i="1"/>
  <c r="M10" i="1" s="1"/>
  <c r="R19" i="1"/>
</calcChain>
</file>

<file path=xl/sharedStrings.xml><?xml version="1.0" encoding="utf-8"?>
<sst xmlns="http://schemas.openxmlformats.org/spreadsheetml/2006/main" count="82" uniqueCount="56">
  <si>
    <t>Sokhna</t>
  </si>
  <si>
    <t>Towers</t>
  </si>
  <si>
    <t>Port Said</t>
  </si>
  <si>
    <t>Matrouh</t>
  </si>
  <si>
    <t>Minia</t>
  </si>
  <si>
    <t>Short Stays</t>
  </si>
  <si>
    <t>Units</t>
  </si>
  <si>
    <t>Golf</t>
  </si>
  <si>
    <t xml:space="preserve">Avg Family </t>
  </si>
  <si>
    <t>Long Stays</t>
  </si>
  <si>
    <t>Galala Students</t>
  </si>
  <si>
    <t>Avg Student Group</t>
  </si>
  <si>
    <t>Low Occ.</t>
  </si>
  <si>
    <t xml:space="preserve">Mid Occ. </t>
  </si>
  <si>
    <t>High Occ.</t>
  </si>
  <si>
    <t>May-Oct</t>
  </si>
  <si>
    <t>Nov-Feb</t>
  </si>
  <si>
    <t>Mar-Apr</t>
  </si>
  <si>
    <t>Low Occ. month</t>
  </si>
  <si>
    <t>Mid Occ. month</t>
  </si>
  <si>
    <t>High Occ. month</t>
  </si>
  <si>
    <t>Apr-Oct</t>
  </si>
  <si>
    <t>Jun-Oct</t>
  </si>
  <si>
    <t>Location</t>
  </si>
  <si>
    <t>Compound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</si>
  <si>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</si>
  <si>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</si>
  <si>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</si>
  <si>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</si>
  <si>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</si>
  <si>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</si>
  <si>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</si>
  <si>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</si>
  <si>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</si>
  <si>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</si>
  <si>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</si>
  <si>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</si>
  <si>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Weekly Avg</t>
  </si>
  <si>
    <t>Monthly Avg</t>
  </si>
  <si>
    <t>per min</t>
  </si>
  <si>
    <t>yearly</t>
  </si>
  <si>
    <t>per month</t>
  </si>
  <si>
    <t>per day</t>
  </si>
  <si>
    <t>per year</t>
  </si>
  <si>
    <t>Peak Checkin</t>
  </si>
  <si>
    <t>Pax (Estimated)</t>
  </si>
  <si>
    <t>Galala Uni</t>
  </si>
  <si>
    <t>Short Stay</t>
  </si>
  <si>
    <t>Sub Total Units</t>
  </si>
  <si>
    <t>Sub Total Pax</t>
  </si>
  <si>
    <t>Units for Rent</t>
  </si>
  <si>
    <t>% rentable units</t>
  </si>
  <si>
    <t>Feb-May</t>
  </si>
  <si>
    <t>Checkin window</t>
  </si>
  <si>
    <t>Total Chek-ins / pax</t>
  </si>
  <si>
    <t>Short stays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</si>
</sst>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9" fontId="0" fillId="0" borderId="0" xfId="2" applyFont="1"/>
    <xf numFmtId="164" fontId="0" fillId="0" borderId="0" xfId="1" applyNumberFormat="1" applyFont="1" applyBorder="1"/>
    <xf numFmtId="164" fontId="3" fillId="0" borderId="0" xfId="1" applyNumberFormat="1" applyFont="1" applyBorder="1" applyAlignment="1">
      <alignment wrapText="1"/>
    </xf>
    <xf numFmtId="164" fontId="3" fillId="0" borderId="0" xfId="1" applyNumberFormat="1" applyFont="1" applyBorder="1" applyAlignment="1">
      <alignment horizontal="right" wrapText="1"/>
    </xf>
    <xf numFmtId="9" fontId="3" fillId="0" borderId="0" xfId="2" applyFont="1" applyBorder="1" applyAlignment="1">
      <alignment horizontal="right" wrapText="1"/>
    </xf>
    <xf numFmtId="164" fontId="4" fillId="0" borderId="0" xfId="1" applyNumberFormat="1" applyFont="1" applyBorder="1" applyAlignment="1">
      <alignment wrapText="1"/>
    </xf>
    <xf numFmtId="9" fontId="4" fillId="0" borderId="0" xfId="2" applyFont="1" applyBorder="1" applyAlignment="1">
      <alignment wrapText="1"/>
    </xf>
    <xf numFmtId="164" fontId="4" fillId="0" borderId="0" xfId="1" applyNumberFormat="1" applyFont="1" applyBorder="1" applyAlignment="1">
      <alignment horizontal="right" wrapText="1"/>
    </xf>
    <xf numFmtId="164" fontId="4" fillId="0" borderId="0" xfId="1" applyNumberFormat="1" applyFont="1" applyBorder="1" applyAlignment="1">
      <alignment horizontal="center" vertical="top" wrapText="1"/>
    </xf>
    <xf numFmtId="164" fontId="2" fillId="0" borderId="0" xfId="1" applyNumberFormat="1" applyFont="1"/>
    <xf numFmtId="164" fontId="0" fillId="2" borderId="0" xfId="1" applyNumberFormat="1" applyFont="1" applyFill="1"/>
    <xf numFmtId="164" fontId="4" fillId="2" borderId="0" xfId="1" applyNumberFormat="1" applyFont="1" applyFill="1" applyBorder="1" applyAlignment="1">
      <alignment wrapText="1"/>
    </xf>
    <xf numFmtId="9" fontId="2" fillId="0" borderId="0" xfId="2" applyFont="1"/>
    <xf numFmtId="164" fontId="2" fillId="0" borderId="0" xfId="1" applyNumberFormat="1" applyFont="1" applyAlignment="1">
      <alignment horizontal="center"/>
    </xf>
    <xf numFmtId="9" fontId="3" fillId="2" borderId="0" xfId="2" applyFont="1" applyFill="1" applyBorder="1" applyAlignment="1">
      <alignment horizontal="right" wrapText="1"/>
    </xf>
    <xf numFmtId="9" fontId="0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33</xdr:col>
      <xdr:colOff>451571</xdr:colOff>
      <xdr:row>57</xdr:row>
      <xdr:rowOff>76308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F82882-6A40-6E2E-C471-8B74C6711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60929" y="176893"/>
          <a:ext cx="8411749" cy="10526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EB59-2F82-440C-A0A6-28865C8AFCA8}">
  <dimension ref="A2:S35"/>
  <sheetViews>
    <sheetView tabSelected="1" topLeftCell="F2" zoomScaleNormal="100" workbookViewId="0">
      <selection activeCell="F3" sqref="F3:F4"/>
    </sheetView>
  </sheetViews>
  <sheetFormatPr defaultRowHeight="14.4" x14ac:dyDescent="0.3"/>
  <cols>
    <col min="1" max="2" width="8.88671875" style="2"/>
    <col min="3" max="3" width="10.5546875" style="2" customWidth="1"/>
    <col min="4" max="4" width="10.6640625" style="2" bestFit="1" customWidth="1"/>
    <col min="5" max="5" width="15.44140625" style="2" customWidth="1"/>
    <col min="6" max="6" width="10.33203125" style="2" bestFit="1" customWidth="1"/>
    <col min="7" max="7" width="9.21875" style="2" bestFit="1" customWidth="1"/>
    <col min="8" max="8" width="9.44140625" style="2" bestFit="1" customWidth="1"/>
    <col min="9" max="10" width="10.21875" style="2" bestFit="1" customWidth="1"/>
    <col min="11" max="11" width="11" style="2" bestFit="1" customWidth="1"/>
    <col min="12" max="15" width="10.21875" style="2" bestFit="1" customWidth="1"/>
    <col min="16" max="17" width="9.21875" style="2" bestFit="1" customWidth="1"/>
    <col min="18" max="18" width="11" style="2" bestFit="1" customWidth="1"/>
    <col min="19" max="19" width="9" style="2" bestFit="1" customWidth="1"/>
    <col min="20" max="16384" width="8.88671875" style="2"/>
  </cols>
  <sheetData>
    <row r="2" spans="1:19" s="1" customFormat="1" ht="43.2" x14ac:dyDescent="0.3">
      <c r="A2" s="1" t="s">
        <v>51</v>
      </c>
      <c r="B2" s="1" t="s">
        <v>6</v>
      </c>
      <c r="C2" s="1" t="s">
        <v>23</v>
      </c>
      <c r="D2" s="1" t="s">
        <v>24</v>
      </c>
      <c r="E2" s="1" t="s">
        <v>50</v>
      </c>
      <c r="F2" s="1" t="s">
        <v>5</v>
      </c>
      <c r="G2" s="1" t="s">
        <v>8</v>
      </c>
      <c r="H2" s="1" t="s">
        <v>54</v>
      </c>
      <c r="I2" s="1" t="s">
        <v>9</v>
      </c>
      <c r="J2" s="1" t="s">
        <v>10</v>
      </c>
      <c r="K2" s="1" t="s">
        <v>11</v>
      </c>
      <c r="L2" s="1" t="s">
        <v>18</v>
      </c>
      <c r="M2" s="1" t="s">
        <v>19</v>
      </c>
      <c r="N2" s="1" t="s">
        <v>20</v>
      </c>
      <c r="O2" s="1" t="s">
        <v>12</v>
      </c>
      <c r="P2" s="1" t="s">
        <v>13</v>
      </c>
      <c r="Q2" s="1" t="s">
        <v>14</v>
      </c>
    </row>
    <row r="3" spans="1:19" x14ac:dyDescent="0.3">
      <c r="A3" s="3">
        <f t="shared" ref="A3:A5" si="0">E3/B3</f>
        <v>0.27629911280101394</v>
      </c>
      <c r="B3" s="2">
        <v>1578</v>
      </c>
      <c r="C3" s="13" t="s">
        <v>0</v>
      </c>
      <c r="D3" s="2" t="s">
        <v>1</v>
      </c>
      <c r="E3" s="2">
        <v>436</v>
      </c>
      <c r="F3" s="2">
        <v>19296</v>
      </c>
      <c r="G3" s="2">
        <v>4</v>
      </c>
      <c r="H3" s="2">
        <f>F3*G3</f>
        <v>77184</v>
      </c>
      <c r="I3" s="2">
        <v>372</v>
      </c>
      <c r="J3" s="2">
        <v>266</v>
      </c>
      <c r="K3" s="2">
        <v>4</v>
      </c>
      <c r="L3" s="2" t="s">
        <v>16</v>
      </c>
      <c r="M3" s="2" t="s">
        <v>17</v>
      </c>
      <c r="N3" s="2" t="s">
        <v>15</v>
      </c>
      <c r="O3" s="18">
        <f>AVERAGE(20%,25%)</f>
        <v>0.22500000000000001</v>
      </c>
      <c r="P3" s="18">
        <f>AVERAGE(40%,50%)</f>
        <v>0.45</v>
      </c>
      <c r="Q3" s="18">
        <f>AVERAGE(90%,120%)</f>
        <v>1.05</v>
      </c>
    </row>
    <row r="4" spans="1:19" x14ac:dyDescent="0.3">
      <c r="A4" s="3">
        <f t="shared" si="0"/>
        <v>6.992845603507962E-2</v>
      </c>
      <c r="B4" s="2">
        <v>4333</v>
      </c>
      <c r="C4" s="13"/>
      <c r="D4" s="2" t="s">
        <v>7</v>
      </c>
      <c r="E4" s="2">
        <v>303</v>
      </c>
      <c r="F4" s="13">
        <v>6469</v>
      </c>
      <c r="G4" s="2">
        <v>4</v>
      </c>
      <c r="H4" s="2">
        <f t="shared" ref="H4:H6" si="1">F4*G4</f>
        <v>25876</v>
      </c>
      <c r="J4" s="2">
        <v>206</v>
      </c>
      <c r="K4" s="2">
        <v>4</v>
      </c>
      <c r="L4" s="2" t="s">
        <v>16</v>
      </c>
      <c r="M4" s="2" t="s">
        <v>17</v>
      </c>
      <c r="N4" s="2" t="s">
        <v>15</v>
      </c>
      <c r="O4" s="18">
        <f>AVERAGE(20%,25%)</f>
        <v>0.22500000000000001</v>
      </c>
      <c r="P4" s="18">
        <f>AVERAGE(40%,50%)</f>
        <v>0.45</v>
      </c>
      <c r="Q4" s="18">
        <f>AVERAGE(90%,120%)</f>
        <v>1.05</v>
      </c>
      <c r="R4" s="12">
        <f>E4/$E$3*$F$3</f>
        <v>13409.834862385322</v>
      </c>
      <c r="S4" s="13">
        <f>F4-R4</f>
        <v>-6940.8348623853217</v>
      </c>
    </row>
    <row r="5" spans="1:19" x14ac:dyDescent="0.3">
      <c r="A5" s="3">
        <f t="shared" si="0"/>
        <v>0.20952821461609622</v>
      </c>
      <c r="B5" s="2">
        <v>2162</v>
      </c>
      <c r="C5" s="13" t="s">
        <v>2</v>
      </c>
      <c r="E5" s="2">
        <v>453</v>
      </c>
      <c r="F5" s="13">
        <v>15216</v>
      </c>
      <c r="G5" s="2">
        <v>4</v>
      </c>
      <c r="H5" s="2">
        <f t="shared" si="1"/>
        <v>60864</v>
      </c>
      <c r="K5" s="2">
        <v>4</v>
      </c>
      <c r="L5" s="2" t="s">
        <v>16</v>
      </c>
      <c r="M5" s="2" t="s">
        <v>27</v>
      </c>
      <c r="N5" s="2" t="s">
        <v>21</v>
      </c>
      <c r="O5" s="18">
        <f t="shared" ref="O5:O6" si="2">AVERAGE(20%,25%)</f>
        <v>0.22500000000000001</v>
      </c>
      <c r="P5" s="18">
        <f t="shared" ref="P5:P6" si="3">AVERAGE(40%,50%)</f>
        <v>0.45</v>
      </c>
      <c r="Q5" s="18">
        <f>AVERAGE(80%,90%)</f>
        <v>0.85000000000000009</v>
      </c>
      <c r="R5" s="12">
        <f>E5/$E$3*$F$3</f>
        <v>20048.366972477063</v>
      </c>
      <c r="S5" s="13">
        <f t="shared" ref="S5:S6" si="4">F5-R5</f>
        <v>-4832.3669724770625</v>
      </c>
    </row>
    <row r="6" spans="1:19" x14ac:dyDescent="0.3">
      <c r="A6" s="3">
        <f>E6/B6</f>
        <v>0.51164596273291929</v>
      </c>
      <c r="B6" s="2">
        <v>1288</v>
      </c>
      <c r="C6" s="13" t="s">
        <v>3</v>
      </c>
      <c r="E6" s="2">
        <v>659</v>
      </c>
      <c r="F6" s="13">
        <v>15164</v>
      </c>
      <c r="G6" s="2">
        <v>4</v>
      </c>
      <c r="H6" s="2">
        <f t="shared" si="1"/>
        <v>60656</v>
      </c>
      <c r="K6" s="2">
        <v>4</v>
      </c>
      <c r="L6" s="2" t="s">
        <v>16</v>
      </c>
      <c r="M6" s="2" t="s">
        <v>52</v>
      </c>
      <c r="N6" s="2" t="s">
        <v>22</v>
      </c>
      <c r="O6" s="18">
        <f t="shared" si="2"/>
        <v>0.22500000000000001</v>
      </c>
      <c r="P6" s="18">
        <f t="shared" si="3"/>
        <v>0.45</v>
      </c>
      <c r="Q6" s="18">
        <f>AVERAGE(80%,90%)</f>
        <v>0.85000000000000009</v>
      </c>
      <c r="R6" s="12">
        <f>E6/$E$3*$F$3</f>
        <v>29165.284403669728</v>
      </c>
      <c r="S6" s="13">
        <f t="shared" si="4"/>
        <v>-14001.284403669728</v>
      </c>
    </row>
    <row r="7" spans="1:19" x14ac:dyDescent="0.3">
      <c r="B7" s="2">
        <v>0</v>
      </c>
      <c r="C7" s="13" t="s">
        <v>4</v>
      </c>
      <c r="E7" s="2">
        <v>0</v>
      </c>
      <c r="F7" s="2">
        <v>0</v>
      </c>
      <c r="G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9" spans="1:19" x14ac:dyDescent="0.3">
      <c r="A9" s="15">
        <f>E9/B9</f>
        <v>0.19773528469180643</v>
      </c>
      <c r="B9" s="12">
        <f>SUM(B3:B8)</f>
        <v>9361</v>
      </c>
      <c r="C9" s="12"/>
      <c r="D9" s="12"/>
      <c r="E9" s="12">
        <f>SUM(E3:E8)</f>
        <v>1851</v>
      </c>
      <c r="F9" s="12">
        <f>SUM(F3:F8)</f>
        <v>56145</v>
      </c>
      <c r="H9" s="16" t="s">
        <v>43</v>
      </c>
      <c r="I9" s="16" t="s">
        <v>41</v>
      </c>
      <c r="J9" s="16" t="s">
        <v>42</v>
      </c>
      <c r="K9" s="12" t="s">
        <v>53</v>
      </c>
      <c r="L9" s="16" t="s">
        <v>44</v>
      </c>
      <c r="M9" s="16" t="s">
        <v>39</v>
      </c>
      <c r="N9" s="12"/>
    </row>
    <row r="10" spans="1:19" x14ac:dyDescent="0.3">
      <c r="G10" s="2">
        <v>12</v>
      </c>
      <c r="H10" s="12">
        <f>SUM(H3:H8)</f>
        <v>224580</v>
      </c>
      <c r="I10" s="12">
        <f>H10/G10</f>
        <v>18715</v>
      </c>
      <c r="J10" s="12">
        <f>I10/30</f>
        <v>623.83333333333337</v>
      </c>
      <c r="K10" s="12">
        <f>J10/4</f>
        <v>155.95833333333334</v>
      </c>
      <c r="L10" s="12">
        <f>J10/2</f>
        <v>311.91666666666669</v>
      </c>
      <c r="M10" s="12">
        <f>K10/60</f>
        <v>2.5993055555555555</v>
      </c>
      <c r="N10" s="12">
        <f>L10/60</f>
        <v>5.1986111111111111</v>
      </c>
    </row>
    <row r="11" spans="1:19" x14ac:dyDescent="0.3">
      <c r="F11" s="2" t="s">
        <v>40</v>
      </c>
    </row>
    <row r="12" spans="1:19" s="4" customFormat="1" ht="27" x14ac:dyDescent="0.3">
      <c r="C12" s="5" t="s">
        <v>23</v>
      </c>
      <c r="D12" s="5" t="s">
        <v>24</v>
      </c>
      <c r="E12" s="5" t="s">
        <v>6</v>
      </c>
      <c r="F12" s="8" t="s">
        <v>25</v>
      </c>
      <c r="G12" s="8" t="s">
        <v>26</v>
      </c>
      <c r="H12" s="8" t="s">
        <v>27</v>
      </c>
      <c r="I12" s="8" t="s">
        <v>28</v>
      </c>
      <c r="J12" s="8" t="s">
        <v>29</v>
      </c>
      <c r="K12" s="8" t="s">
        <v>30</v>
      </c>
      <c r="L12" s="8" t="s">
        <v>31</v>
      </c>
      <c r="M12" s="8" t="s">
        <v>32</v>
      </c>
      <c r="N12" s="8" t="s">
        <v>33</v>
      </c>
      <c r="O12" s="8" t="s">
        <v>34</v>
      </c>
      <c r="P12" s="8" t="s">
        <v>35</v>
      </c>
      <c r="Q12" s="8" t="s">
        <v>36</v>
      </c>
      <c r="R12" s="5" t="s">
        <v>37</v>
      </c>
      <c r="S12" s="5" t="s">
        <v>38</v>
      </c>
    </row>
    <row r="13" spans="1:19" s="4" customFormat="1" x14ac:dyDescent="0.3">
      <c r="C13" s="10" t="s">
        <v>0</v>
      </c>
      <c r="D13" s="10" t="s">
        <v>1</v>
      </c>
      <c r="E13" s="11">
        <f>$E$3</f>
        <v>436</v>
      </c>
      <c r="F13" s="17">
        <f>F16/$E$13</f>
        <v>0.46559633027522934</v>
      </c>
      <c r="G13" s="17">
        <f t="shared" ref="G13:Q13" si="5">G16/$E$13</f>
        <v>0.41513761467889909</v>
      </c>
      <c r="H13" s="17">
        <f t="shared" si="5"/>
        <v>0.59862385321100919</v>
      </c>
      <c r="I13" s="17">
        <f t="shared" si="5"/>
        <v>0.77522935779816515</v>
      </c>
      <c r="J13" s="17">
        <f t="shared" si="5"/>
        <v>0.63073394495412849</v>
      </c>
      <c r="K13" s="17">
        <f t="shared" si="5"/>
        <v>0.97477064220183485</v>
      </c>
      <c r="L13" s="17">
        <f t="shared" si="5"/>
        <v>0.94266055045871555</v>
      </c>
      <c r="M13" s="17">
        <f t="shared" si="5"/>
        <v>1.0504587155963303</v>
      </c>
      <c r="N13" s="17">
        <f t="shared" si="5"/>
        <v>0.95183486238532111</v>
      </c>
      <c r="O13" s="17">
        <f t="shared" si="5"/>
        <v>0.50917431192660545</v>
      </c>
      <c r="P13" s="17">
        <f t="shared" si="5"/>
        <v>0.46559633027522934</v>
      </c>
      <c r="Q13" s="17">
        <f t="shared" si="5"/>
        <v>0.41513761467889909</v>
      </c>
      <c r="R13" s="7">
        <v>0.72</v>
      </c>
      <c r="S13" s="9">
        <f>AVERAGE(F13:Q13)</f>
        <v>0.68291284403669728</v>
      </c>
    </row>
    <row r="14" spans="1:19" s="4" customFormat="1" x14ac:dyDescent="0.3">
      <c r="C14" s="10"/>
      <c r="D14" s="10"/>
      <c r="E14" s="5" t="s">
        <v>47</v>
      </c>
      <c r="F14" s="6">
        <f>IF(F13&gt;100%,(($E$13-IF(F18&lt;=0,0,F18))*F13),($E$13*F13))</f>
        <v>203</v>
      </c>
      <c r="G14" s="6">
        <f t="shared" ref="G14:Q14" si="6">IF(G13&gt;100%,(($E$13-IF(G18&lt;=0,0,G18))*G13),($E$13*G13))</f>
        <v>181</v>
      </c>
      <c r="H14" s="6">
        <f t="shared" si="6"/>
        <v>261</v>
      </c>
      <c r="I14" s="6">
        <f t="shared" si="6"/>
        <v>338</v>
      </c>
      <c r="J14" s="6">
        <f t="shared" si="6"/>
        <v>275</v>
      </c>
      <c r="K14" s="6">
        <f t="shared" si="6"/>
        <v>425</v>
      </c>
      <c r="L14" s="6">
        <f t="shared" si="6"/>
        <v>411</v>
      </c>
      <c r="M14" s="6">
        <f t="shared" si="6"/>
        <v>458</v>
      </c>
      <c r="N14" s="6">
        <f t="shared" si="6"/>
        <v>415</v>
      </c>
      <c r="O14" s="6">
        <f t="shared" si="6"/>
        <v>221.99999999999997</v>
      </c>
      <c r="P14" s="6">
        <f t="shared" si="6"/>
        <v>203</v>
      </c>
      <c r="Q14" s="6">
        <f t="shared" si="6"/>
        <v>181</v>
      </c>
      <c r="R14" s="8">
        <f>SUM(F14:Q14)</f>
        <v>3573</v>
      </c>
      <c r="S14" s="14">
        <f>R14-F3</f>
        <v>-15723</v>
      </c>
    </row>
    <row r="15" spans="1:19" s="4" customFormat="1" x14ac:dyDescent="0.3">
      <c r="C15" s="10"/>
      <c r="D15" s="10"/>
      <c r="E15" s="5"/>
      <c r="F15" s="6">
        <f>$F$3/12</f>
        <v>1608</v>
      </c>
      <c r="G15" s="6">
        <f t="shared" ref="G15:Q15" si="7">$F$3/12</f>
        <v>1608</v>
      </c>
      <c r="H15" s="6">
        <f t="shared" si="7"/>
        <v>1608</v>
      </c>
      <c r="I15" s="6">
        <f t="shared" si="7"/>
        <v>1608</v>
      </c>
      <c r="J15" s="6">
        <f t="shared" si="7"/>
        <v>1608</v>
      </c>
      <c r="K15" s="6">
        <f t="shared" si="7"/>
        <v>1608</v>
      </c>
      <c r="L15" s="6">
        <f t="shared" si="7"/>
        <v>1608</v>
      </c>
      <c r="M15" s="6">
        <f t="shared" si="7"/>
        <v>1608</v>
      </c>
      <c r="N15" s="6">
        <f t="shared" si="7"/>
        <v>1608</v>
      </c>
      <c r="O15" s="6">
        <f t="shared" si="7"/>
        <v>1608</v>
      </c>
      <c r="P15" s="6">
        <f t="shared" si="7"/>
        <v>1608</v>
      </c>
      <c r="Q15" s="6">
        <f t="shared" si="7"/>
        <v>1608</v>
      </c>
      <c r="R15" s="8">
        <f>SUM(F15:Q15)</f>
        <v>19296</v>
      </c>
      <c r="S15" s="14">
        <f>R15-F3</f>
        <v>0</v>
      </c>
    </row>
    <row r="16" spans="1:19" s="4" customFormat="1" x14ac:dyDescent="0.3">
      <c r="C16" s="10"/>
      <c r="D16" s="10"/>
      <c r="E16" s="5" t="s">
        <v>55</v>
      </c>
      <c r="F16" s="6">
        <v>203</v>
      </c>
      <c r="G16" s="6">
        <v>181</v>
      </c>
      <c r="H16" s="6">
        <v>261</v>
      </c>
      <c r="I16" s="6">
        <v>338</v>
      </c>
      <c r="J16" s="6">
        <v>275</v>
      </c>
      <c r="K16" s="6">
        <v>425</v>
      </c>
      <c r="L16" s="6">
        <v>411</v>
      </c>
      <c r="M16" s="6">
        <v>458</v>
      </c>
      <c r="N16" s="6">
        <v>415</v>
      </c>
      <c r="O16" s="6">
        <v>222</v>
      </c>
      <c r="P16" s="6">
        <v>203</v>
      </c>
      <c r="Q16" s="6">
        <v>181</v>
      </c>
      <c r="R16" s="8">
        <f>SUM(F16:Q16)</f>
        <v>3573</v>
      </c>
      <c r="S16" s="14">
        <f>R16-F4</f>
        <v>-2896</v>
      </c>
    </row>
    <row r="17" spans="3:19" s="4" customFormat="1" x14ac:dyDescent="0.3">
      <c r="C17" s="10"/>
      <c r="D17" s="10"/>
      <c r="E17" s="5" t="s">
        <v>45</v>
      </c>
      <c r="F17" s="6">
        <v>393</v>
      </c>
      <c r="G17" s="6">
        <v>659</v>
      </c>
      <c r="H17" s="6">
        <v>261</v>
      </c>
      <c r="I17" s="6">
        <v>360</v>
      </c>
      <c r="J17" s="6">
        <v>807</v>
      </c>
      <c r="K17" s="6">
        <v>2949</v>
      </c>
      <c r="L17" s="6">
        <v>3673</v>
      </c>
      <c r="M17" s="6">
        <v>3369</v>
      </c>
      <c r="N17" s="6">
        <v>2272</v>
      </c>
      <c r="O17" s="6">
        <v>875</v>
      </c>
      <c r="P17" s="6">
        <f t="shared" ref="P17" si="8">P14*$G$3</f>
        <v>812</v>
      </c>
      <c r="Q17" s="6">
        <v>333</v>
      </c>
      <c r="R17" s="8">
        <f>SUM(F17:Q17)</f>
        <v>16763</v>
      </c>
      <c r="S17" s="5"/>
    </row>
    <row r="18" spans="3:19" s="4" customFormat="1" x14ac:dyDescent="0.3">
      <c r="C18" s="10"/>
      <c r="D18" s="10"/>
      <c r="E18" s="5" t="s">
        <v>46</v>
      </c>
      <c r="F18" s="6">
        <f>-$J$3</f>
        <v>-266</v>
      </c>
      <c r="G18" s="6">
        <f t="shared" ref="G18:K18" si="9">-$J$3</f>
        <v>-266</v>
      </c>
      <c r="H18" s="6">
        <f t="shared" si="9"/>
        <v>-266</v>
      </c>
      <c r="I18" s="6">
        <f t="shared" si="9"/>
        <v>-266</v>
      </c>
      <c r="J18" s="6">
        <f t="shared" si="9"/>
        <v>-266</v>
      </c>
      <c r="K18" s="6">
        <f t="shared" si="9"/>
        <v>-266</v>
      </c>
      <c r="L18" s="5"/>
      <c r="M18" s="5"/>
      <c r="N18" s="6">
        <f t="shared" ref="N18:Q18" si="10">-$J$3</f>
        <v>-266</v>
      </c>
      <c r="O18" s="6">
        <f t="shared" si="10"/>
        <v>-266</v>
      </c>
      <c r="P18" s="6">
        <f t="shared" si="10"/>
        <v>-266</v>
      </c>
      <c r="Q18" s="6">
        <f t="shared" si="10"/>
        <v>-266</v>
      </c>
      <c r="R18" s="5"/>
      <c r="S18" s="5"/>
    </row>
    <row r="19" spans="3:19" s="4" customFormat="1" x14ac:dyDescent="0.3">
      <c r="C19" s="10"/>
      <c r="D19" s="10"/>
      <c r="E19" s="5" t="s">
        <v>45</v>
      </c>
      <c r="F19" s="6">
        <f>IF(F18&lt;=0,-F18*$K$3,0)</f>
        <v>1064</v>
      </c>
      <c r="G19" s="6">
        <f>IF(G18&lt;=0,-G18*$K$3,0)</f>
        <v>1064</v>
      </c>
      <c r="H19" s="6">
        <f t="shared" ref="H19:Q19" si="11">IF(H18&lt;=0,-H18*$K$3,0)</f>
        <v>1064</v>
      </c>
      <c r="I19" s="6">
        <f t="shared" si="11"/>
        <v>1064</v>
      </c>
      <c r="J19" s="6">
        <f t="shared" si="11"/>
        <v>1064</v>
      </c>
      <c r="K19" s="6">
        <f t="shared" si="11"/>
        <v>1064</v>
      </c>
      <c r="L19" s="6">
        <f t="shared" si="11"/>
        <v>0</v>
      </c>
      <c r="M19" s="6">
        <f t="shared" si="11"/>
        <v>0</v>
      </c>
      <c r="N19" s="6">
        <f t="shared" si="11"/>
        <v>1064</v>
      </c>
      <c r="O19" s="6">
        <f t="shared" si="11"/>
        <v>1064</v>
      </c>
      <c r="P19" s="6">
        <f t="shared" si="11"/>
        <v>1064</v>
      </c>
      <c r="Q19" s="6">
        <f t="shared" si="11"/>
        <v>1064</v>
      </c>
      <c r="R19" s="8">
        <f>SUM(F19:Q19)</f>
        <v>10640</v>
      </c>
      <c r="S19" s="5"/>
    </row>
    <row r="20" spans="3:19" s="4" customFormat="1" x14ac:dyDescent="0.3">
      <c r="C20" s="10"/>
      <c r="D20" s="10"/>
      <c r="E20" s="5" t="s">
        <v>48</v>
      </c>
      <c r="F20" s="6">
        <f>F14+IF(F18&lt;0,-F18,F18)</f>
        <v>469</v>
      </c>
      <c r="G20" s="6">
        <f t="shared" ref="G20:Q20" si="12">G14+IF(G18&lt;0,-G18,G18)</f>
        <v>447</v>
      </c>
      <c r="H20" s="6">
        <f t="shared" si="12"/>
        <v>527</v>
      </c>
      <c r="I20" s="6">
        <f t="shared" si="12"/>
        <v>604</v>
      </c>
      <c r="J20" s="6">
        <f t="shared" si="12"/>
        <v>541</v>
      </c>
      <c r="K20" s="6">
        <f t="shared" si="12"/>
        <v>691</v>
      </c>
      <c r="L20" s="6">
        <f t="shared" si="12"/>
        <v>411</v>
      </c>
      <c r="M20" s="6">
        <f t="shared" si="12"/>
        <v>458</v>
      </c>
      <c r="N20" s="6">
        <f t="shared" si="12"/>
        <v>681</v>
      </c>
      <c r="O20" s="6">
        <f t="shared" si="12"/>
        <v>488</v>
      </c>
      <c r="P20" s="6">
        <f t="shared" si="12"/>
        <v>469</v>
      </c>
      <c r="Q20" s="6">
        <f t="shared" si="12"/>
        <v>447</v>
      </c>
      <c r="R20" s="8">
        <f>SUM(F20:Q20)</f>
        <v>6233</v>
      </c>
      <c r="S20" s="5"/>
    </row>
    <row r="21" spans="3:19" s="4" customFormat="1" x14ac:dyDescent="0.3">
      <c r="C21" s="10"/>
      <c r="D21" s="10"/>
      <c r="E21" s="5" t="s">
        <v>49</v>
      </c>
      <c r="F21" s="6">
        <f>F17+F19</f>
        <v>1457</v>
      </c>
      <c r="G21" s="6">
        <f t="shared" ref="G21:Q21" si="13">G17+G19</f>
        <v>1723</v>
      </c>
      <c r="H21" s="6">
        <f t="shared" si="13"/>
        <v>1325</v>
      </c>
      <c r="I21" s="6">
        <f t="shared" si="13"/>
        <v>1424</v>
      </c>
      <c r="J21" s="6">
        <f t="shared" si="13"/>
        <v>1871</v>
      </c>
      <c r="K21" s="6">
        <f t="shared" si="13"/>
        <v>4013</v>
      </c>
      <c r="L21" s="6">
        <f t="shared" si="13"/>
        <v>3673</v>
      </c>
      <c r="M21" s="6">
        <f t="shared" si="13"/>
        <v>3369</v>
      </c>
      <c r="N21" s="6">
        <f t="shared" si="13"/>
        <v>3336</v>
      </c>
      <c r="O21" s="6">
        <f t="shared" si="13"/>
        <v>1939</v>
      </c>
      <c r="P21" s="6">
        <f t="shared" si="13"/>
        <v>1876</v>
      </c>
      <c r="Q21" s="6">
        <f t="shared" si="13"/>
        <v>1397</v>
      </c>
      <c r="R21" s="8">
        <f>SUM(F21:Q21)</f>
        <v>27403</v>
      </c>
      <c r="S21" s="5"/>
    </row>
    <row r="22" spans="3:19" s="4" customFormat="1" x14ac:dyDescent="0.3">
      <c r="C22" s="10"/>
      <c r="D22" s="10" t="s">
        <v>7</v>
      </c>
      <c r="E22" s="11">
        <f>$E$4</f>
        <v>303</v>
      </c>
      <c r="F22" s="17">
        <f>$O$4</f>
        <v>0.22500000000000001</v>
      </c>
      <c r="G22" s="17">
        <f>$O$4</f>
        <v>0.22500000000000001</v>
      </c>
      <c r="H22" s="17">
        <f>$O$4</f>
        <v>0.22500000000000001</v>
      </c>
      <c r="I22" s="17">
        <f>AVERAGE($P$4)</f>
        <v>0.45</v>
      </c>
      <c r="J22" s="17">
        <f>$P$4</f>
        <v>0.45</v>
      </c>
      <c r="K22" s="17">
        <f>($Q$4)</f>
        <v>1.05</v>
      </c>
      <c r="L22" s="17">
        <f>($Q$4)</f>
        <v>1.05</v>
      </c>
      <c r="M22" s="17">
        <f t="shared" ref="M22" si="14">AVERAGE($Q$3)</f>
        <v>1.05</v>
      </c>
      <c r="N22" s="17">
        <f>($Q$4)</f>
        <v>1.05</v>
      </c>
      <c r="O22" s="17">
        <f>($Q$4)/1.95</f>
        <v>0.53846153846153855</v>
      </c>
      <c r="P22" s="17">
        <f>AVERAGE($O$3)</f>
        <v>0.22500000000000001</v>
      </c>
      <c r="Q22" s="17">
        <f>AVERAGE($O$3)</f>
        <v>0.22500000000000001</v>
      </c>
      <c r="R22" s="7">
        <v>0.72</v>
      </c>
      <c r="S22" s="9">
        <f>AVERAGE(F22:Q22)</f>
        <v>0.56362179487179476</v>
      </c>
    </row>
    <row r="23" spans="3:19" s="4" customFormat="1" x14ac:dyDescent="0.3">
      <c r="C23" s="10"/>
      <c r="D23" s="10"/>
      <c r="E23" s="5" t="s">
        <v>47</v>
      </c>
      <c r="F23" s="6">
        <f t="shared" ref="F23:Q23" si="15">IF(F22&gt;100%,(($E$22-IF(F25&lt;=0,0,F25))*F22),($E$22*F22))</f>
        <v>68.174999999999997</v>
      </c>
      <c r="G23" s="6">
        <f t="shared" si="15"/>
        <v>68.174999999999997</v>
      </c>
      <c r="H23" s="6">
        <f t="shared" si="15"/>
        <v>68.174999999999997</v>
      </c>
      <c r="I23" s="6">
        <f t="shared" si="15"/>
        <v>136.35</v>
      </c>
      <c r="J23" s="6">
        <f t="shared" si="15"/>
        <v>136.35</v>
      </c>
      <c r="K23" s="6">
        <f t="shared" si="15"/>
        <v>318.15000000000003</v>
      </c>
      <c r="L23" s="6">
        <f t="shared" si="15"/>
        <v>318.15000000000003</v>
      </c>
      <c r="M23" s="6">
        <f t="shared" si="15"/>
        <v>318.15000000000003</v>
      </c>
      <c r="N23" s="6">
        <f t="shared" si="15"/>
        <v>318.15000000000003</v>
      </c>
      <c r="O23" s="6">
        <f t="shared" si="15"/>
        <v>163.15384615384619</v>
      </c>
      <c r="P23" s="6">
        <f t="shared" si="15"/>
        <v>68.174999999999997</v>
      </c>
      <c r="Q23" s="6">
        <f t="shared" si="15"/>
        <v>68.174999999999997</v>
      </c>
      <c r="R23" s="14">
        <f>SUM(F23:Q23)</f>
        <v>2049.3288461538464</v>
      </c>
      <c r="S23" s="14">
        <f>R23-F4</f>
        <v>-4419.6711538461532</v>
      </c>
    </row>
    <row r="24" spans="3:19" s="4" customFormat="1" x14ac:dyDescent="0.3">
      <c r="C24" s="10"/>
      <c r="D24" s="10"/>
      <c r="E24" s="5" t="s">
        <v>45</v>
      </c>
      <c r="F24" s="6">
        <f>F23*$G$3</f>
        <v>272.7</v>
      </c>
      <c r="G24" s="6">
        <f t="shared" ref="G24" si="16">G23*$G$3</f>
        <v>272.7</v>
      </c>
      <c r="H24" s="6">
        <f t="shared" ref="H24" si="17">H23*$G$3</f>
        <v>272.7</v>
      </c>
      <c r="I24" s="6">
        <f t="shared" ref="I24" si="18">I23*$G$3</f>
        <v>545.4</v>
      </c>
      <c r="J24" s="6">
        <f t="shared" ref="J24" si="19">J23*$G$3</f>
        <v>545.4</v>
      </c>
      <c r="K24" s="6">
        <f t="shared" ref="K24" si="20">K23*$G$3</f>
        <v>1272.6000000000001</v>
      </c>
      <c r="L24" s="6">
        <f t="shared" ref="L24" si="21">L23*$G$3</f>
        <v>1272.6000000000001</v>
      </c>
      <c r="M24" s="6">
        <f t="shared" ref="M24" si="22">M23*$G$3</f>
        <v>1272.6000000000001</v>
      </c>
      <c r="N24" s="6">
        <f t="shared" ref="N24" si="23">N23*$G$3</f>
        <v>1272.6000000000001</v>
      </c>
      <c r="O24" s="6">
        <f t="shared" ref="O24" si="24">O23*$G$3</f>
        <v>652.61538461538476</v>
      </c>
      <c r="P24" s="6">
        <f t="shared" ref="P24" si="25">P23*$G$3</f>
        <v>272.7</v>
      </c>
      <c r="Q24" s="6">
        <f t="shared" ref="Q24" si="26">Q23*$G$3</f>
        <v>272.7</v>
      </c>
      <c r="R24" s="8">
        <f>SUM(F24:Q24)</f>
        <v>8197.3153846153855</v>
      </c>
      <c r="S24" s="5"/>
    </row>
    <row r="25" spans="3:19" s="4" customFormat="1" x14ac:dyDescent="0.3">
      <c r="C25" s="10"/>
      <c r="D25" s="10"/>
      <c r="E25" s="5" t="s">
        <v>46</v>
      </c>
      <c r="F25" s="6">
        <f>-$J$4</f>
        <v>-206</v>
      </c>
      <c r="G25" s="6">
        <f t="shared" ref="G25:K25" si="27">-$J$4</f>
        <v>-206</v>
      </c>
      <c r="H25" s="6">
        <f t="shared" si="27"/>
        <v>-206</v>
      </c>
      <c r="I25" s="6">
        <f t="shared" si="27"/>
        <v>-206</v>
      </c>
      <c r="J25" s="6">
        <f t="shared" si="27"/>
        <v>-206</v>
      </c>
      <c r="K25" s="6">
        <f t="shared" si="27"/>
        <v>-206</v>
      </c>
      <c r="L25" s="5"/>
      <c r="M25" s="5"/>
      <c r="N25" s="6">
        <f t="shared" ref="N25:Q25" si="28">-$J$4</f>
        <v>-206</v>
      </c>
      <c r="O25" s="6">
        <f t="shared" si="28"/>
        <v>-206</v>
      </c>
      <c r="P25" s="6">
        <f t="shared" si="28"/>
        <v>-206</v>
      </c>
      <c r="Q25" s="6">
        <f t="shared" si="28"/>
        <v>-206</v>
      </c>
      <c r="R25" s="5"/>
      <c r="S25" s="5"/>
    </row>
    <row r="26" spans="3:19" s="4" customFormat="1" x14ac:dyDescent="0.3">
      <c r="C26" s="10"/>
      <c r="D26" s="10"/>
      <c r="E26" s="5" t="s">
        <v>45</v>
      </c>
      <c r="F26" s="6">
        <f>IF(F25&lt;=0,-F25*$K$3,0)</f>
        <v>824</v>
      </c>
      <c r="G26" s="6">
        <f>IF(G25&lt;=0,-G25*$K$3,0)</f>
        <v>824</v>
      </c>
      <c r="H26" s="6">
        <f t="shared" ref="H26" si="29">IF(H25&lt;=0,-H25*$K$3,0)</f>
        <v>824</v>
      </c>
      <c r="I26" s="6">
        <f t="shared" ref="I26" si="30">IF(I25&lt;=0,-I25*$K$3,0)</f>
        <v>824</v>
      </c>
      <c r="J26" s="6">
        <f t="shared" ref="J26" si="31">IF(J25&lt;=0,-J25*$K$3,0)</f>
        <v>824</v>
      </c>
      <c r="K26" s="6">
        <f t="shared" ref="K26" si="32">IF(K25&lt;=0,-K25*$K$3,0)</f>
        <v>824</v>
      </c>
      <c r="L26" s="6">
        <f t="shared" ref="L26" si="33">IF(L25&lt;=0,-L25*$K$3,0)</f>
        <v>0</v>
      </c>
      <c r="M26" s="6">
        <f t="shared" ref="M26" si="34">IF(M25&lt;=0,-M25*$K$3,0)</f>
        <v>0</v>
      </c>
      <c r="N26" s="6">
        <f t="shared" ref="N26" si="35">IF(N25&lt;=0,-N25*$K$3,0)</f>
        <v>824</v>
      </c>
      <c r="O26" s="6">
        <f t="shared" ref="O26" si="36">IF(O25&lt;=0,-O25*$K$3,0)</f>
        <v>824</v>
      </c>
      <c r="P26" s="6">
        <f t="shared" ref="P26" si="37">IF(P25&lt;=0,-P25*$K$3,0)</f>
        <v>824</v>
      </c>
      <c r="Q26" s="6">
        <f t="shared" ref="Q26" si="38">IF(Q25&lt;=0,-Q25*$K$3,0)</f>
        <v>824</v>
      </c>
      <c r="R26" s="8">
        <f>SUM(F26:Q26)</f>
        <v>8240</v>
      </c>
      <c r="S26" s="5"/>
    </row>
    <row r="27" spans="3:19" s="4" customFormat="1" x14ac:dyDescent="0.3">
      <c r="C27" s="10"/>
      <c r="D27" s="10"/>
      <c r="E27" s="5" t="s">
        <v>48</v>
      </c>
      <c r="F27" s="6">
        <f>F23+IF(F25&lt;0,-F25,F25)</f>
        <v>274.17500000000001</v>
      </c>
      <c r="G27" s="6">
        <f t="shared" ref="G27:Q27" si="39">G23+IF(G25&lt;0,-G25,G25)</f>
        <v>274.17500000000001</v>
      </c>
      <c r="H27" s="6">
        <f t="shared" si="39"/>
        <v>274.17500000000001</v>
      </c>
      <c r="I27" s="6">
        <f t="shared" si="39"/>
        <v>342.35</v>
      </c>
      <c r="J27" s="6">
        <f t="shared" si="39"/>
        <v>342.35</v>
      </c>
      <c r="K27" s="6">
        <f t="shared" si="39"/>
        <v>524.15000000000009</v>
      </c>
      <c r="L27" s="6">
        <f t="shared" si="39"/>
        <v>318.15000000000003</v>
      </c>
      <c r="M27" s="6">
        <f t="shared" si="39"/>
        <v>318.15000000000003</v>
      </c>
      <c r="N27" s="6">
        <f t="shared" si="39"/>
        <v>524.15000000000009</v>
      </c>
      <c r="O27" s="6">
        <f t="shared" si="39"/>
        <v>369.15384615384619</v>
      </c>
      <c r="P27" s="6">
        <f t="shared" si="39"/>
        <v>274.17500000000001</v>
      </c>
      <c r="Q27" s="6">
        <f t="shared" si="39"/>
        <v>274.17500000000001</v>
      </c>
      <c r="R27" s="5"/>
      <c r="S27" s="5"/>
    </row>
    <row r="28" spans="3:19" s="4" customFormat="1" x14ac:dyDescent="0.3">
      <c r="C28" s="10"/>
      <c r="D28" s="10"/>
      <c r="E28" s="5" t="s">
        <v>49</v>
      </c>
      <c r="F28" s="6">
        <f>F24+F26</f>
        <v>1096.7</v>
      </c>
      <c r="G28" s="6">
        <f t="shared" ref="G28:Q28" si="40">G24+G26</f>
        <v>1096.7</v>
      </c>
      <c r="H28" s="6">
        <f t="shared" si="40"/>
        <v>1096.7</v>
      </c>
      <c r="I28" s="6">
        <f t="shared" si="40"/>
        <v>1369.4</v>
      </c>
      <c r="J28" s="6">
        <f t="shared" si="40"/>
        <v>1369.4</v>
      </c>
      <c r="K28" s="6">
        <f t="shared" si="40"/>
        <v>2096.6000000000004</v>
      </c>
      <c r="L28" s="6">
        <f t="shared" si="40"/>
        <v>1272.6000000000001</v>
      </c>
      <c r="M28" s="6">
        <f t="shared" si="40"/>
        <v>1272.6000000000001</v>
      </c>
      <c r="N28" s="6">
        <f t="shared" si="40"/>
        <v>2096.6000000000004</v>
      </c>
      <c r="O28" s="6">
        <f t="shared" si="40"/>
        <v>1476.6153846153848</v>
      </c>
      <c r="P28" s="6">
        <f t="shared" si="40"/>
        <v>1096.7</v>
      </c>
      <c r="Q28" s="6">
        <f t="shared" si="40"/>
        <v>1096.7</v>
      </c>
      <c r="R28" s="8">
        <f>SUM(F28:Q28)</f>
        <v>16437.315384615387</v>
      </c>
      <c r="S28" s="5"/>
    </row>
    <row r="29" spans="3:19" s="4" customFormat="1" x14ac:dyDescent="0.3">
      <c r="C29" s="10" t="s">
        <v>2</v>
      </c>
      <c r="D29" s="10"/>
      <c r="E29" s="11">
        <f>$E$5</f>
        <v>453</v>
      </c>
      <c r="F29" s="7">
        <f>($O$5)*1.3</f>
        <v>0.29250000000000004</v>
      </c>
      <c r="G29" s="7">
        <f>($O$5)*1.3</f>
        <v>0.29250000000000004</v>
      </c>
      <c r="H29" s="7">
        <f>($P$5)</f>
        <v>0.45</v>
      </c>
      <c r="I29" s="7">
        <f>($Q$5)*0.9</f>
        <v>0.76500000000000012</v>
      </c>
      <c r="J29" s="7">
        <f>($Q$5)</f>
        <v>0.85000000000000009</v>
      </c>
      <c r="K29" s="7">
        <f>($Q$5)</f>
        <v>0.85000000000000009</v>
      </c>
      <c r="L29" s="7">
        <f>($Q$5)*1.2</f>
        <v>1.02</v>
      </c>
      <c r="M29" s="7">
        <f>($Q$5)*1.2</f>
        <v>1.02</v>
      </c>
      <c r="N29" s="7">
        <f t="shared" ref="N29:O29" si="41">($Q$5)</f>
        <v>0.85000000000000009</v>
      </c>
      <c r="O29" s="7">
        <f t="shared" si="41"/>
        <v>0.85000000000000009</v>
      </c>
      <c r="P29" s="7">
        <f>($O$5)*1.3</f>
        <v>0.29250000000000004</v>
      </c>
      <c r="Q29" s="7">
        <f>($O$5)*1.3</f>
        <v>0.29250000000000004</v>
      </c>
      <c r="R29" s="7">
        <v>0.72</v>
      </c>
      <c r="S29" s="9">
        <f>AVERAGE(F29:Q29)</f>
        <v>0.65208333333333346</v>
      </c>
    </row>
    <row r="30" spans="3:19" s="4" customFormat="1" x14ac:dyDescent="0.3">
      <c r="C30" s="10"/>
      <c r="D30" s="10"/>
      <c r="E30" s="5" t="s">
        <v>47</v>
      </c>
      <c r="F30" s="6">
        <f>IF(F29&gt;100%,(($E$29-IF(F32&lt;=0,0,F32))*F29),($E$29*F29))</f>
        <v>132.50250000000003</v>
      </c>
      <c r="G30" s="6">
        <f>IF(G29&gt;100%,(($E$29-IF(G32&lt;=0,0,G32))*G29),($E$29*G29))</f>
        <v>132.50250000000003</v>
      </c>
      <c r="H30" s="6">
        <f t="shared" ref="H30:Q30" si="42">IF(H29&gt;100%,(($E$29-IF(H32&lt;=0,0,H32))*H29),($E$29*H29))</f>
        <v>203.85</v>
      </c>
      <c r="I30" s="6">
        <f t="shared" si="42"/>
        <v>346.54500000000007</v>
      </c>
      <c r="J30" s="6">
        <f t="shared" si="42"/>
        <v>385.05000000000007</v>
      </c>
      <c r="K30" s="6">
        <f t="shared" si="42"/>
        <v>385.05000000000007</v>
      </c>
      <c r="L30" s="6">
        <f t="shared" si="42"/>
        <v>461.01960000000003</v>
      </c>
      <c r="M30" s="6">
        <f t="shared" si="42"/>
        <v>461.01960000000003</v>
      </c>
      <c r="N30" s="6">
        <f t="shared" si="42"/>
        <v>385.05000000000007</v>
      </c>
      <c r="O30" s="6">
        <f t="shared" si="42"/>
        <v>385.05000000000007</v>
      </c>
      <c r="P30" s="6">
        <f t="shared" si="42"/>
        <v>132.50250000000003</v>
      </c>
      <c r="Q30" s="6">
        <f t="shared" si="42"/>
        <v>132.50250000000003</v>
      </c>
      <c r="R30" s="14">
        <f>SUM(F30:Q30)</f>
        <v>3542.6442000000011</v>
      </c>
      <c r="S30" s="14">
        <f>R30-F5</f>
        <v>-11673.355799999999</v>
      </c>
    </row>
    <row r="31" spans="3:19" s="4" customFormat="1" x14ac:dyDescent="0.3">
      <c r="C31" s="10"/>
      <c r="D31" s="10"/>
      <c r="E31" s="5" t="s">
        <v>45</v>
      </c>
      <c r="F31" s="6">
        <f>$F$5/12*F29</f>
        <v>370.89000000000004</v>
      </c>
      <c r="G31" s="6">
        <f t="shared" ref="G31:Q31" si="43">$F$5/12*G29</f>
        <v>370.89000000000004</v>
      </c>
      <c r="H31" s="6">
        <f t="shared" si="43"/>
        <v>570.6</v>
      </c>
      <c r="I31" s="6">
        <f t="shared" si="43"/>
        <v>970.02000000000021</v>
      </c>
      <c r="J31" s="6">
        <f t="shared" si="43"/>
        <v>1077.8000000000002</v>
      </c>
      <c r="K31" s="6">
        <f t="shared" si="43"/>
        <v>1077.8000000000002</v>
      </c>
      <c r="L31" s="6">
        <f t="shared" si="43"/>
        <v>1293.3600000000001</v>
      </c>
      <c r="M31" s="6">
        <f t="shared" si="43"/>
        <v>1293.3600000000001</v>
      </c>
      <c r="N31" s="6">
        <f t="shared" si="43"/>
        <v>1077.8000000000002</v>
      </c>
      <c r="O31" s="6">
        <f t="shared" si="43"/>
        <v>1077.8000000000002</v>
      </c>
      <c r="P31" s="6">
        <f t="shared" si="43"/>
        <v>370.89000000000004</v>
      </c>
      <c r="Q31" s="6">
        <f t="shared" si="43"/>
        <v>370.89000000000004</v>
      </c>
      <c r="R31" s="8">
        <f>SUM(F31:Q31)</f>
        <v>9922.1</v>
      </c>
      <c r="S31" s="5"/>
    </row>
    <row r="32" spans="3:19" s="4" customFormat="1" x14ac:dyDescent="0.3">
      <c r="C32" s="10" t="s">
        <v>3</v>
      </c>
      <c r="D32" s="10"/>
      <c r="E32" s="11">
        <f>$E$6</f>
        <v>659</v>
      </c>
      <c r="F32" s="7">
        <f>($O$6)*1.3</f>
        <v>0.29250000000000004</v>
      </c>
      <c r="G32" s="7">
        <f>($O$6)*1.3</f>
        <v>0.29250000000000004</v>
      </c>
      <c r="H32" s="7">
        <f>($P$6)</f>
        <v>0.45</v>
      </c>
      <c r="I32" s="7">
        <f>($Q$6)*0.8</f>
        <v>0.68000000000000016</v>
      </c>
      <c r="J32" s="7">
        <f>($Q$6)*0.9</f>
        <v>0.76500000000000012</v>
      </c>
      <c r="K32" s="7">
        <f>($Q$6)</f>
        <v>0.85000000000000009</v>
      </c>
      <c r="L32" s="7">
        <f>($Q$6)*1.2</f>
        <v>1.02</v>
      </c>
      <c r="M32" s="7">
        <f>($Q$6)*1.2</f>
        <v>1.02</v>
      </c>
      <c r="N32" s="7">
        <f>($Q$6)</f>
        <v>0.85000000000000009</v>
      </c>
      <c r="O32" s="7">
        <f>($Q$6)</f>
        <v>0.85000000000000009</v>
      </c>
      <c r="P32" s="7">
        <f>($O$6)*1.3</f>
        <v>0.29250000000000004</v>
      </c>
      <c r="Q32" s="7">
        <f>($O$6)*1.3</f>
        <v>0.29250000000000004</v>
      </c>
      <c r="R32" s="7">
        <v>0.72</v>
      </c>
      <c r="S32" s="9">
        <f>AVERAGE(F32:Q32)</f>
        <v>0.6379166666666668</v>
      </c>
    </row>
    <row r="33" spans="3:19" s="4" customFormat="1" x14ac:dyDescent="0.3">
      <c r="C33" s="10"/>
      <c r="D33" s="10"/>
      <c r="E33" s="5" t="s">
        <v>47</v>
      </c>
      <c r="F33" s="6">
        <f>IF(F32&gt;100%,(($E$32-IF(F35&lt;=0,0,F35))*F32),($E$32*F32))</f>
        <v>192.75750000000002</v>
      </c>
      <c r="G33" s="6">
        <f t="shared" ref="G33:Q33" si="44">IF(G32&gt;100%,(($E$32-IF(G35&lt;=0,0,G35))*G32),($E$32*G32))</f>
        <v>192.75750000000002</v>
      </c>
      <c r="H33" s="6">
        <f t="shared" si="44"/>
        <v>296.55</v>
      </c>
      <c r="I33" s="6">
        <f t="shared" si="44"/>
        <v>448.12000000000012</v>
      </c>
      <c r="J33" s="6">
        <f t="shared" si="44"/>
        <v>504.1350000000001</v>
      </c>
      <c r="K33" s="6">
        <f t="shared" si="44"/>
        <v>560.15000000000009</v>
      </c>
      <c r="L33" s="6">
        <f t="shared" si="44"/>
        <v>672.18000000000006</v>
      </c>
      <c r="M33" s="6">
        <f t="shared" si="44"/>
        <v>672.18000000000006</v>
      </c>
      <c r="N33" s="6">
        <f t="shared" si="44"/>
        <v>560.15000000000009</v>
      </c>
      <c r="O33" s="6">
        <f t="shared" si="44"/>
        <v>560.15000000000009</v>
      </c>
      <c r="P33" s="6">
        <f t="shared" si="44"/>
        <v>192.75750000000002</v>
      </c>
      <c r="Q33" s="6">
        <f t="shared" si="44"/>
        <v>192.75750000000002</v>
      </c>
      <c r="R33" s="14">
        <f>SUM(F33:Q33)</f>
        <v>5044.6450000000004</v>
      </c>
      <c r="S33" s="14">
        <f>R33-F6</f>
        <v>-10119.355</v>
      </c>
    </row>
    <row r="34" spans="3:19" s="4" customFormat="1" x14ac:dyDescent="0.3">
      <c r="C34" s="10"/>
      <c r="D34" s="10"/>
      <c r="E34" s="5" t="s">
        <v>45</v>
      </c>
      <c r="F34" s="6">
        <f>$F$5/12*F32</f>
        <v>370.89000000000004</v>
      </c>
      <c r="G34" s="6">
        <f t="shared" ref="G34:Q34" si="45">$F$5/12*G32</f>
        <v>370.89000000000004</v>
      </c>
      <c r="H34" s="6">
        <f t="shared" si="45"/>
        <v>570.6</v>
      </c>
      <c r="I34" s="6">
        <f t="shared" si="45"/>
        <v>862.24000000000024</v>
      </c>
      <c r="J34" s="6">
        <f t="shared" si="45"/>
        <v>970.02000000000021</v>
      </c>
      <c r="K34" s="6">
        <f t="shared" si="45"/>
        <v>1077.8000000000002</v>
      </c>
      <c r="L34" s="6">
        <f t="shared" si="45"/>
        <v>1293.3600000000001</v>
      </c>
      <c r="M34" s="6">
        <f t="shared" si="45"/>
        <v>1293.3600000000001</v>
      </c>
      <c r="N34" s="6">
        <f t="shared" si="45"/>
        <v>1077.8000000000002</v>
      </c>
      <c r="O34" s="6">
        <f t="shared" si="45"/>
        <v>1077.8000000000002</v>
      </c>
      <c r="P34" s="6">
        <f t="shared" si="45"/>
        <v>370.89000000000004</v>
      </c>
      <c r="Q34" s="6">
        <f t="shared" si="45"/>
        <v>370.89000000000004</v>
      </c>
      <c r="R34" s="8">
        <f>SUM(F34:Q34)</f>
        <v>9706.5400000000009</v>
      </c>
      <c r="S34" s="5"/>
    </row>
    <row r="35" spans="3:19" s="4" customFormat="1" x14ac:dyDescent="0.3">
      <c r="C35" s="10" t="s">
        <v>4</v>
      </c>
      <c r="D35" s="10"/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EBD6118-41BB-4EBD-87F2-15285936C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'Operations Data'!F13:Q13</xm:f>
              <xm:sqref>T13</xm:sqref>
            </x14:sparkline>
          </x14:sparklines>
        </x14:sparklineGroup>
        <x14:sparklineGroup displayEmptyCellsAs="gap" xr2:uid="{D08CECFD-1297-424A-BD8F-1A00E4F51A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'Operations Data'!F21:Q21</xm:f>
              <xm:sqref>T21</xm:sqref>
            </x14:sparkline>
          </x14:sparklines>
        </x14:sparklineGroup>
        <x14:sparklineGroup displayEmptyCellsAs="gap" xr2:uid="{7266DAB0-B5AC-4F80-8111-782B216B03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'Operations Data'!F17:Q17</xm:f>
              <xm:sqref>T17</xm:sqref>
            </x14:sparkline>
          </x14:sparklines>
        </x14:sparklineGroup>
        <x14:sparklineGroup displayEmptyCellsAs="gap" xr2:uid="{228E6BA3-C456-4D44-B55E-69F3948C60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'Operations Data'!F24:Q24</xm:f>
              <xm:sqref>T24</xm:sqref>
            </x14:sparkline>
          </x14:sparklines>
        </x14:sparklineGroup>
        <x14:sparklineGroup displayEmptyCellsAs="gap" xr2:uid="{549B0D3F-397A-4306-851D-2FC92064BE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'Operations Data'!F31:Q31</xm:f>
              <xm:sqref>T31</xm:sqref>
            </x14:sparkline>
          </x14:sparklines>
        </x14:sparklineGroup>
        <x14:sparklineGroup displayEmptyCellsAs="gap" xr2:uid="{87577DDD-C4FF-4AEB-B3DB-60ACA505C1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'Operations Data'!F34:Q34</xm:f>
              <xm:sqref>T34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Bakri</dc:creator>
  <cp:lastModifiedBy>K. Bakri</cp:lastModifiedBy>
  <dcterms:created xsi:type="dcterms:W3CDTF">2024-11-25T08:05:26Z</dcterms:created>
  <dcterms:modified xsi:type="dcterms:W3CDTF">2024-11-27T21:23:33Z</dcterms:modified>
</cp:coreProperties>
</file>